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G:\3022_Library\2. Informasjonsressurser\Samlinger\Studentoppgaver\MSc\2017\1758331\"/>
    </mc:Choice>
  </mc:AlternateContent>
  <bookViews>
    <workbookView xWindow="0" yWindow="525" windowWidth="28755" windowHeight="17400" firstSheet="9" activeTab="13"/>
  </bookViews>
  <sheets>
    <sheet name="NBIM ABS+REL" sheetId="1" state="hidden" r:id="rId1"/>
    <sheet name="NBIM" sheetId="4" r:id="rId2"/>
    <sheet name="APG" sheetId="2" r:id="rId3"/>
    <sheet name="CPPIB." sheetId="7" r:id="rId4"/>
    <sheet name="USD" sheetId="9" r:id="rId5"/>
    <sheet name="Returns" sheetId="21" r:id="rId6"/>
    <sheet name="CPPIB" sheetId="3" state="hidden" r:id="rId7"/>
    <sheet name="Regression" sheetId="20" r:id="rId8"/>
    <sheet name="Risk" sheetId="17" r:id="rId9"/>
    <sheet name="Costs" sheetId="16" r:id="rId10"/>
    <sheet name="Risk Free Return+SR" sheetId="19" r:id="rId11"/>
    <sheet name="Return beyond inflation" sheetId="13" r:id="rId12"/>
    <sheet name="CPI+exchange rates" sheetId="15" r:id="rId13"/>
    <sheet name="Tables" sheetId="24" r:id="rId14"/>
    <sheet name="Benchmark finished" sheetId="22" r:id="rId15"/>
    <sheet name="Exch. rates etc." sheetId="12" state="hidden" r:id="rId16"/>
    <sheet name="Benchmark Returns APG" sheetId="26" r:id="rId17"/>
    <sheet name="Benchmark Returns NBIM" sheetId="27" r:id="rId18"/>
    <sheet name="Benchmark Returns CPPIB" sheetId="28" r:id="rId19"/>
    <sheet name="Datastream - Indices" sheetId="29" r:id="rId20"/>
    <sheet name="Market Value end of quarter" sheetId="10" state="hidden" r:id="rId21"/>
    <sheet name="Total Return EUR unhedged" sheetId="11" state="hidden" r:id="rId22"/>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52" i="9" l="1"/>
  <c r="C52" i="9"/>
  <c r="D52" i="9"/>
  <c r="F52" i="9"/>
  <c r="Z50" i="4"/>
  <c r="F51" i="9"/>
  <c r="B51" i="9"/>
  <c r="C51" i="9"/>
  <c r="D51" i="9"/>
  <c r="H52" i="9" s="1"/>
  <c r="J52" i="9" s="1"/>
  <c r="T52" i="9" s="1"/>
  <c r="V52" i="9" s="1"/>
  <c r="S52" i="9" s="1"/>
  <c r="C52" i="21" s="1"/>
  <c r="F51" i="22" s="1"/>
  <c r="U52" i="9"/>
  <c r="B53" i="9"/>
  <c r="C53" i="9"/>
  <c r="D53" i="9"/>
  <c r="H53" i="9" s="1"/>
  <c r="J53" i="9" s="1"/>
  <c r="T53" i="9" s="1"/>
  <c r="V53" i="9" s="1"/>
  <c r="S53" i="9" s="1"/>
  <c r="C53" i="21" s="1"/>
  <c r="F52" i="22" s="1"/>
  <c r="F53" i="9"/>
  <c r="U53" i="9"/>
  <c r="B54" i="9"/>
  <c r="C54" i="9"/>
  <c r="D54" i="9"/>
  <c r="H54" i="9" s="1"/>
  <c r="J54" i="9" s="1"/>
  <c r="T54" i="9" s="1"/>
  <c r="V54" i="9" s="1"/>
  <c r="S54" i="9" s="1"/>
  <c r="C54" i="21" s="1"/>
  <c r="F53" i="22" s="1"/>
  <c r="F54" i="9"/>
  <c r="U54" i="9"/>
  <c r="B55" i="9"/>
  <c r="C55" i="9"/>
  <c r="D55" i="9"/>
  <c r="H55" i="9" s="1"/>
  <c r="J55" i="9" s="1"/>
  <c r="T55" i="9" s="1"/>
  <c r="V55" i="9" s="1"/>
  <c r="S55" i="9" s="1"/>
  <c r="C55" i="21" s="1"/>
  <c r="F54" i="22" s="1"/>
  <c r="F55" i="9"/>
  <c r="U55" i="9"/>
  <c r="O35" i="4"/>
  <c r="P35" i="4"/>
  <c r="S36" i="9"/>
  <c r="C36" i="21"/>
  <c r="F35" i="22" s="1"/>
  <c r="O36" i="4"/>
  <c r="P36" i="4"/>
  <c r="S37" i="9"/>
  <c r="C37" i="21" s="1"/>
  <c r="F36" i="22" s="1"/>
  <c r="O37" i="4"/>
  <c r="P37" i="4"/>
  <c r="S38" i="9" s="1"/>
  <c r="C38" i="21" s="1"/>
  <c r="F37" i="22" s="1"/>
  <c r="O38" i="4"/>
  <c r="P38" i="4" s="1"/>
  <c r="S39" i="9" s="1"/>
  <c r="C39" i="21" s="1"/>
  <c r="F38" i="22"/>
  <c r="B40" i="9"/>
  <c r="C40" i="9"/>
  <c r="D40" i="9"/>
  <c r="AA48" i="4"/>
  <c r="AA49" i="4" s="1"/>
  <c r="AA50" i="4" s="1"/>
  <c r="Z49" i="4" s="1"/>
  <c r="AA44" i="4"/>
  <c r="AA45" i="4"/>
  <c r="AA46" i="4" s="1"/>
  <c r="AA40" i="4"/>
  <c r="AA41" i="4"/>
  <c r="AA42" i="4"/>
  <c r="U40" i="9"/>
  <c r="B41" i="9"/>
  <c r="C41" i="9"/>
  <c r="D41" i="9"/>
  <c r="U41" i="9"/>
  <c r="B42" i="9"/>
  <c r="C42" i="9"/>
  <c r="D42" i="9"/>
  <c r="U42" i="9"/>
  <c r="B43" i="9"/>
  <c r="C43" i="9"/>
  <c r="D43" i="9"/>
  <c r="U43" i="9"/>
  <c r="B44" i="9"/>
  <c r="C44" i="9"/>
  <c r="D44" i="9"/>
  <c r="U44" i="9"/>
  <c r="B45" i="9"/>
  <c r="C45" i="9"/>
  <c r="D45" i="9"/>
  <c r="U45" i="9"/>
  <c r="B46" i="9"/>
  <c r="C46" i="9"/>
  <c r="D46" i="9"/>
  <c r="U46" i="9"/>
  <c r="B47" i="9"/>
  <c r="C47" i="9"/>
  <c r="D47" i="9"/>
  <c r="U47" i="9"/>
  <c r="B48" i="9"/>
  <c r="C48" i="9"/>
  <c r="D48" i="9"/>
  <c r="U48" i="9"/>
  <c r="B49" i="9"/>
  <c r="C49" i="9"/>
  <c r="D49" i="9"/>
  <c r="U49" i="9"/>
  <c r="B50" i="9"/>
  <c r="C50" i="9"/>
  <c r="D50" i="9" s="1"/>
  <c r="U50" i="9"/>
  <c r="U51" i="9"/>
  <c r="B56" i="9"/>
  <c r="C56" i="9"/>
  <c r="D56" i="9" s="1"/>
  <c r="H56" i="9" s="1"/>
  <c r="F56" i="9"/>
  <c r="J56" i="9"/>
  <c r="T56" i="9" s="1"/>
  <c r="V56" i="9" s="1"/>
  <c r="S56" i="9" s="1"/>
  <c r="C56" i="21" s="1"/>
  <c r="F55" i="22" s="1"/>
  <c r="U56" i="9"/>
  <c r="B57" i="9"/>
  <c r="C57" i="9"/>
  <c r="D57" i="9"/>
  <c r="H57" i="9" s="1"/>
  <c r="J57" i="9" s="1"/>
  <c r="T57" i="9" s="1"/>
  <c r="V57" i="9" s="1"/>
  <c r="S57" i="9" s="1"/>
  <c r="C57" i="21" s="1"/>
  <c r="F56" i="22" s="1"/>
  <c r="F57" i="9"/>
  <c r="U57" i="9"/>
  <c r="B58" i="9"/>
  <c r="C58" i="9"/>
  <c r="D58" i="9" s="1"/>
  <c r="H58" i="9" s="1"/>
  <c r="J58" i="9" s="1"/>
  <c r="T58" i="9" s="1"/>
  <c r="V58" i="9" s="1"/>
  <c r="S58" i="9" s="1"/>
  <c r="C58" i="21" s="1"/>
  <c r="F57" i="22" s="1"/>
  <c r="F58" i="9"/>
  <c r="U58" i="9"/>
  <c r="B59" i="9"/>
  <c r="C59" i="9"/>
  <c r="D59" i="9"/>
  <c r="F59" i="9"/>
  <c r="U59" i="9"/>
  <c r="B60" i="9"/>
  <c r="C60" i="9"/>
  <c r="D60" i="9" s="1"/>
  <c r="H60" i="9" s="1"/>
  <c r="J60" i="9" s="1"/>
  <c r="T60" i="9" s="1"/>
  <c r="V60" i="9" s="1"/>
  <c r="S60" i="9" s="1"/>
  <c r="C60" i="21" s="1"/>
  <c r="F59" i="22" s="1"/>
  <c r="F60" i="9"/>
  <c r="U60" i="9"/>
  <c r="B61" i="9"/>
  <c r="C61" i="9"/>
  <c r="D61" i="9"/>
  <c r="F61" i="9"/>
  <c r="U61" i="9"/>
  <c r="B62" i="9"/>
  <c r="C62" i="9"/>
  <c r="D62" i="9" s="1"/>
  <c r="H62" i="9" s="1"/>
  <c r="F62" i="9"/>
  <c r="J62" i="9"/>
  <c r="T62" i="9" s="1"/>
  <c r="V62" i="9" s="1"/>
  <c r="S62" i="9" s="1"/>
  <c r="C62" i="21" s="1"/>
  <c r="F61" i="22" s="1"/>
  <c r="U62" i="9"/>
  <c r="B63" i="9"/>
  <c r="C63" i="9"/>
  <c r="D63" i="9"/>
  <c r="F63" i="9"/>
  <c r="U63" i="9"/>
  <c r="B64" i="9"/>
  <c r="C64" i="9"/>
  <c r="D64" i="9" s="1"/>
  <c r="H64" i="9" s="1"/>
  <c r="F64" i="9"/>
  <c r="J64" i="9"/>
  <c r="T64" i="9" s="1"/>
  <c r="V64" i="9" s="1"/>
  <c r="S64" i="9" s="1"/>
  <c r="C64" i="21" s="1"/>
  <c r="F63" i="22" s="1"/>
  <c r="U64" i="9"/>
  <c r="B65" i="9"/>
  <c r="C65" i="9"/>
  <c r="D65" i="9"/>
  <c r="H65" i="9" s="1"/>
  <c r="J65" i="9" s="1"/>
  <c r="T65" i="9" s="1"/>
  <c r="V65" i="9" s="1"/>
  <c r="S65" i="9" s="1"/>
  <c r="C65" i="21" s="1"/>
  <c r="F64" i="22" s="1"/>
  <c r="F65" i="9"/>
  <c r="U65" i="9"/>
  <c r="B66" i="9"/>
  <c r="C66" i="9"/>
  <c r="D66" i="9" s="1"/>
  <c r="H66" i="9" s="1"/>
  <c r="J66" i="9" s="1"/>
  <c r="T66" i="9" s="1"/>
  <c r="V66" i="9" s="1"/>
  <c r="S66" i="9" s="1"/>
  <c r="C66" i="21" s="1"/>
  <c r="F65" i="22" s="1"/>
  <c r="F66" i="9"/>
  <c r="U66" i="9"/>
  <c r="B67" i="9"/>
  <c r="C67" i="9"/>
  <c r="D67" i="9"/>
  <c r="F67" i="9"/>
  <c r="U67" i="9"/>
  <c r="B68" i="9"/>
  <c r="C68" i="9"/>
  <c r="D68" i="9" s="1"/>
  <c r="H68" i="9" s="1"/>
  <c r="J68" i="9" s="1"/>
  <c r="T68" i="9" s="1"/>
  <c r="V68" i="9" s="1"/>
  <c r="S68" i="9" s="1"/>
  <c r="C68" i="21" s="1"/>
  <c r="F67" i="22" s="1"/>
  <c r="F68" i="9"/>
  <c r="U68" i="9"/>
  <c r="B69" i="9"/>
  <c r="C69" i="9"/>
  <c r="D69" i="9"/>
  <c r="H69" i="9" s="1"/>
  <c r="J69" i="9" s="1"/>
  <c r="T69" i="9" s="1"/>
  <c r="F69" i="9"/>
  <c r="U69" i="9"/>
  <c r="B70" i="9"/>
  <c r="C70" i="9"/>
  <c r="D70" i="9" s="1"/>
  <c r="H70" i="9" s="1"/>
  <c r="F70" i="9"/>
  <c r="J70" i="9"/>
  <c r="T70" i="9" s="1"/>
  <c r="V70" i="9" s="1"/>
  <c r="S70" i="9" s="1"/>
  <c r="C70" i="21" s="1"/>
  <c r="F69" i="22" s="1"/>
  <c r="U70" i="9"/>
  <c r="B71" i="9"/>
  <c r="C71" i="9"/>
  <c r="D71" i="9"/>
  <c r="F71" i="9"/>
  <c r="U71" i="9"/>
  <c r="B72" i="9"/>
  <c r="C72" i="9"/>
  <c r="D72" i="9" s="1"/>
  <c r="H72" i="9" s="1"/>
  <c r="F72" i="9"/>
  <c r="J72" i="9"/>
  <c r="T72" i="9" s="1"/>
  <c r="V72" i="9" s="1"/>
  <c r="S72" i="9" s="1"/>
  <c r="C72" i="21" s="1"/>
  <c r="F71" i="22" s="1"/>
  <c r="U72" i="9"/>
  <c r="B73" i="9"/>
  <c r="C73" i="9"/>
  <c r="D73" i="9"/>
  <c r="H73" i="9" s="1"/>
  <c r="J73" i="9" s="1"/>
  <c r="T73" i="9" s="1"/>
  <c r="V73" i="9" s="1"/>
  <c r="S73" i="9" s="1"/>
  <c r="C73" i="21" s="1"/>
  <c r="F72" i="22" s="1"/>
  <c r="F73" i="9"/>
  <c r="U73" i="9"/>
  <c r="B74" i="9"/>
  <c r="C74" i="9"/>
  <c r="D74" i="9" s="1"/>
  <c r="H74" i="9" s="1"/>
  <c r="J74" i="9" s="1"/>
  <c r="T74" i="9" s="1"/>
  <c r="V74" i="9" s="1"/>
  <c r="S74" i="9" s="1"/>
  <c r="F74" i="9"/>
  <c r="U74" i="9"/>
  <c r="C74" i="21"/>
  <c r="F73" i="22" s="1"/>
  <c r="B75" i="9"/>
  <c r="C75" i="9"/>
  <c r="D75" i="9"/>
  <c r="F75" i="9"/>
  <c r="U75" i="9"/>
  <c r="B76" i="9"/>
  <c r="C76" i="9"/>
  <c r="D76" i="9" s="1"/>
  <c r="H76" i="9" s="1"/>
  <c r="J76" i="9" s="1"/>
  <c r="T76" i="9" s="1"/>
  <c r="V76" i="9" s="1"/>
  <c r="S76" i="9" s="1"/>
  <c r="C76" i="21" s="1"/>
  <c r="F75" i="22" s="1"/>
  <c r="F76" i="9"/>
  <c r="U76" i="9"/>
  <c r="B77" i="9"/>
  <c r="C77" i="9"/>
  <c r="D77" i="9"/>
  <c r="H77" i="9" s="1"/>
  <c r="J77" i="9" s="1"/>
  <c r="T77" i="9" s="1"/>
  <c r="F77" i="9"/>
  <c r="U77" i="9"/>
  <c r="B78" i="9"/>
  <c r="D78" i="9" s="1"/>
  <c r="C78" i="9"/>
  <c r="F78" i="9"/>
  <c r="H78" i="9"/>
  <c r="J78" i="9" s="1"/>
  <c r="T78" i="9" s="1"/>
  <c r="V78" i="9" s="1"/>
  <c r="S78" i="9" s="1"/>
  <c r="C78" i="21" s="1"/>
  <c r="F77" i="22" s="1"/>
  <c r="U78" i="9"/>
  <c r="B79" i="9"/>
  <c r="D79" i="9" s="1"/>
  <c r="C79" i="9"/>
  <c r="F79" i="9"/>
  <c r="H79" i="9"/>
  <c r="J79" i="9" s="1"/>
  <c r="T79" i="9" s="1"/>
  <c r="U79" i="9"/>
  <c r="V79" i="9"/>
  <c r="S79" i="9" s="1"/>
  <c r="C79" i="21" s="1"/>
  <c r="F78" i="22" s="1"/>
  <c r="P6" i="24"/>
  <c r="P7" i="24"/>
  <c r="P5" i="24"/>
  <c r="D12" i="7"/>
  <c r="CD16" i="9" s="1"/>
  <c r="CE16" i="9"/>
  <c r="CF16" i="9" s="1"/>
  <c r="CG16" i="9" s="1"/>
  <c r="CH16" i="9" s="1"/>
  <c r="CW16" i="9" s="1"/>
  <c r="CX16" i="9" s="1"/>
  <c r="U16" i="21" s="1"/>
  <c r="M11" i="19" s="1"/>
  <c r="CE15" i="9"/>
  <c r="D11" i="7"/>
  <c r="CD15" i="9" s="1"/>
  <c r="DE16" i="9"/>
  <c r="B11" i="19"/>
  <c r="C11" i="19" s="1"/>
  <c r="D13" i="7"/>
  <c r="CD17" i="9"/>
  <c r="CF17" i="9" s="1"/>
  <c r="CG17" i="9" s="1"/>
  <c r="CE17" i="9"/>
  <c r="CH17" i="9"/>
  <c r="CW17" i="9" s="1"/>
  <c r="CX17" i="9" s="1"/>
  <c r="U17" i="21" s="1"/>
  <c r="M12" i="19" s="1"/>
  <c r="N12" i="19" s="1"/>
  <c r="DE17" i="9"/>
  <c r="B12" i="19"/>
  <c r="C12" i="19" s="1"/>
  <c r="D14" i="7"/>
  <c r="CD18" i="9" s="1"/>
  <c r="CE18" i="9"/>
  <c r="DE18" i="9"/>
  <c r="B13" i="19"/>
  <c r="C13" i="19" s="1"/>
  <c r="D15" i="7"/>
  <c r="CD19" i="9"/>
  <c r="CF19" i="9" s="1"/>
  <c r="CG19" i="9" s="1"/>
  <c r="CH19" i="9" s="1"/>
  <c r="CW19" i="9" s="1"/>
  <c r="CX19" i="9" s="1"/>
  <c r="CE19" i="9"/>
  <c r="DE19" i="9"/>
  <c r="U19" i="21"/>
  <c r="M14" i="19" s="1"/>
  <c r="N14" i="19" s="1"/>
  <c r="B14" i="19"/>
  <c r="C14" i="19" s="1"/>
  <c r="D16" i="7"/>
  <c r="CD20" i="9" s="1"/>
  <c r="CE20" i="9"/>
  <c r="DE20" i="9"/>
  <c r="B15" i="19"/>
  <c r="C15" i="19" s="1"/>
  <c r="D17" i="7"/>
  <c r="CD21" i="9"/>
  <c r="CF21" i="9" s="1"/>
  <c r="CG21" i="9" s="1"/>
  <c r="CE21" i="9"/>
  <c r="CH21" i="9"/>
  <c r="CW21" i="9" s="1"/>
  <c r="CX21" i="9" s="1"/>
  <c r="U21" i="21" s="1"/>
  <c r="M16" i="19" s="1"/>
  <c r="DE21" i="9"/>
  <c r="B16" i="19"/>
  <c r="C16" i="19" s="1"/>
  <c r="N16" i="19"/>
  <c r="D18" i="7"/>
  <c r="CD22" i="9" s="1"/>
  <c r="CE22" i="9"/>
  <c r="DE22" i="9"/>
  <c r="B17" i="19"/>
  <c r="C17" i="19" s="1"/>
  <c r="D19" i="7"/>
  <c r="CD23" i="9"/>
  <c r="CF23" i="9" s="1"/>
  <c r="CG23" i="9" s="1"/>
  <c r="CH23" i="9" s="1"/>
  <c r="CW23" i="9" s="1"/>
  <c r="CX23" i="9" s="1"/>
  <c r="CE23" i="9"/>
  <c r="DE23" i="9"/>
  <c r="U23" i="21"/>
  <c r="M18" i="19" s="1"/>
  <c r="N18" i="19" s="1"/>
  <c r="B18" i="19"/>
  <c r="C18" i="19" s="1"/>
  <c r="D20" i="7"/>
  <c r="CD24" i="9" s="1"/>
  <c r="CF24" i="9" s="1"/>
  <c r="CG24" i="9" s="1"/>
  <c r="CH24" i="9" s="1"/>
  <c r="CW24" i="9" s="1"/>
  <c r="CX24" i="9" s="1"/>
  <c r="U24" i="21" s="1"/>
  <c r="M19" i="19" s="1"/>
  <c r="CE24" i="9"/>
  <c r="DE24" i="9"/>
  <c r="B19" i="19"/>
  <c r="C19" i="19"/>
  <c r="D21" i="7"/>
  <c r="CD25" i="9"/>
  <c r="CE25" i="9"/>
  <c r="DE25" i="9"/>
  <c r="B20" i="19"/>
  <c r="C20" i="19" s="1"/>
  <c r="D22" i="7"/>
  <c r="CD26" i="9" s="1"/>
  <c r="CE26" i="9"/>
  <c r="CF26" i="9"/>
  <c r="CG26" i="9" s="1"/>
  <c r="CH26" i="9" s="1"/>
  <c r="CW26" i="9" s="1"/>
  <c r="CX26" i="9" s="1"/>
  <c r="U26" i="21" s="1"/>
  <c r="M21" i="19" s="1"/>
  <c r="N21" i="19" s="1"/>
  <c r="DE26" i="9"/>
  <c r="B21" i="19"/>
  <c r="C21" i="19"/>
  <c r="D23" i="7"/>
  <c r="CD27" i="9"/>
  <c r="CE27" i="9"/>
  <c r="CF27" i="9" s="1"/>
  <c r="CG27" i="9"/>
  <c r="CH27" i="9" s="1"/>
  <c r="CW27" i="9" s="1"/>
  <c r="CX27" i="9" s="1"/>
  <c r="U27" i="21" s="1"/>
  <c r="M22" i="19" s="1"/>
  <c r="N22" i="19" s="1"/>
  <c r="DE27" i="9"/>
  <c r="B22" i="19"/>
  <c r="C22" i="19"/>
  <c r="D24" i="7"/>
  <c r="CD28" i="9" s="1"/>
  <c r="CF28" i="9" s="1"/>
  <c r="CG28" i="9" s="1"/>
  <c r="CH28" i="9" s="1"/>
  <c r="CW28" i="9" s="1"/>
  <c r="CX28" i="9" s="1"/>
  <c r="U28" i="21" s="1"/>
  <c r="CE28" i="9"/>
  <c r="DE28" i="9"/>
  <c r="M23" i="19"/>
  <c r="N23" i="19" s="1"/>
  <c r="B23" i="19"/>
  <c r="C23" i="19"/>
  <c r="D25" i="7"/>
  <c r="CD29" i="9" s="1"/>
  <c r="CE29" i="9"/>
  <c r="DE29" i="9"/>
  <c r="B24" i="19"/>
  <c r="C24" i="19"/>
  <c r="D26" i="7"/>
  <c r="CD30" i="9" s="1"/>
  <c r="CE30" i="9"/>
  <c r="DE30" i="9"/>
  <c r="B25" i="19"/>
  <c r="C25" i="19"/>
  <c r="D27" i="7"/>
  <c r="CD31" i="9" s="1"/>
  <c r="CF31" i="9" s="1"/>
  <c r="CG31" i="9" s="1"/>
  <c r="CH31" i="9" s="1"/>
  <c r="CW31" i="9" s="1"/>
  <c r="CX31" i="9" s="1"/>
  <c r="U31" i="21" s="1"/>
  <c r="M26" i="19" s="1"/>
  <c r="N26" i="19" s="1"/>
  <c r="CE31" i="9"/>
  <c r="DE31" i="9"/>
  <c r="B26" i="19"/>
  <c r="C26" i="19"/>
  <c r="D28" i="7"/>
  <c r="CD32" i="9" s="1"/>
  <c r="CE32" i="9"/>
  <c r="DE32" i="9"/>
  <c r="B27" i="19"/>
  <c r="C27" i="19"/>
  <c r="D29" i="7"/>
  <c r="CD33" i="9" s="1"/>
  <c r="CE33" i="9"/>
  <c r="DE33" i="9"/>
  <c r="B28" i="19"/>
  <c r="C28" i="19"/>
  <c r="D30" i="7"/>
  <c r="CD34" i="9" s="1"/>
  <c r="CF34" i="9" s="1"/>
  <c r="CG34" i="9" s="1"/>
  <c r="CH34" i="9" s="1"/>
  <c r="CW34" i="9" s="1"/>
  <c r="CX34" i="9" s="1"/>
  <c r="U34" i="21" s="1"/>
  <c r="M29" i="19" s="1"/>
  <c r="N29" i="19" s="1"/>
  <c r="CE34" i="9"/>
  <c r="DE34" i="9"/>
  <c r="B29" i="19"/>
  <c r="C29" i="19"/>
  <c r="D31" i="7"/>
  <c r="CD35" i="9" s="1"/>
  <c r="CE35" i="9"/>
  <c r="DE35" i="9"/>
  <c r="B30" i="19"/>
  <c r="C30" i="19"/>
  <c r="D32" i="7"/>
  <c r="CD36" i="9" s="1"/>
  <c r="CF36" i="9" s="1"/>
  <c r="CG36" i="9" s="1"/>
  <c r="CH36" i="9" s="1"/>
  <c r="CW36" i="9" s="1"/>
  <c r="CX36" i="9" s="1"/>
  <c r="U36" i="21" s="1"/>
  <c r="CE36" i="9"/>
  <c r="DE36" i="9"/>
  <c r="M31" i="19"/>
  <c r="N31" i="19" s="1"/>
  <c r="B31" i="19"/>
  <c r="C31" i="19"/>
  <c r="D33" i="7"/>
  <c r="CD37" i="9" s="1"/>
  <c r="CE37" i="9"/>
  <c r="DE37" i="9"/>
  <c r="B32" i="19"/>
  <c r="C32" i="19"/>
  <c r="D34" i="7"/>
  <c r="CD38" i="9" s="1"/>
  <c r="CE38" i="9"/>
  <c r="DE38" i="9"/>
  <c r="B33" i="19"/>
  <c r="C33" i="19"/>
  <c r="D35" i="7"/>
  <c r="CD39" i="9" s="1"/>
  <c r="CF39" i="9" s="1"/>
  <c r="CG39" i="9" s="1"/>
  <c r="CH39" i="9" s="1"/>
  <c r="CW39" i="9" s="1"/>
  <c r="CX39" i="9" s="1"/>
  <c r="U39" i="21" s="1"/>
  <c r="M34" i="19" s="1"/>
  <c r="N34" i="19" s="1"/>
  <c r="CE39" i="9"/>
  <c r="DE39" i="9"/>
  <c r="B34" i="19"/>
  <c r="C34" i="19"/>
  <c r="D36" i="7"/>
  <c r="CD40" i="9" s="1"/>
  <c r="CE40" i="9"/>
  <c r="DE40" i="9"/>
  <c r="B35" i="19"/>
  <c r="C35" i="19"/>
  <c r="D37" i="7"/>
  <c r="CD41" i="9" s="1"/>
  <c r="CE41" i="9"/>
  <c r="DE41" i="9"/>
  <c r="B36" i="19"/>
  <c r="C36" i="19"/>
  <c r="D38" i="7"/>
  <c r="CD42" i="9" s="1"/>
  <c r="CF42" i="9" s="1"/>
  <c r="CG42" i="9" s="1"/>
  <c r="CH42" i="9" s="1"/>
  <c r="CW42" i="9" s="1"/>
  <c r="CX42" i="9" s="1"/>
  <c r="U42" i="21" s="1"/>
  <c r="M37" i="19" s="1"/>
  <c r="N37" i="19" s="1"/>
  <c r="CE42" i="9"/>
  <c r="DE42" i="9"/>
  <c r="B37" i="19"/>
  <c r="C37" i="19"/>
  <c r="D39" i="7"/>
  <c r="CD43" i="9" s="1"/>
  <c r="CF43" i="9" s="1"/>
  <c r="CG43" i="9" s="1"/>
  <c r="CH43" i="9" s="1"/>
  <c r="CW43" i="9" s="1"/>
  <c r="CX43" i="9" s="1"/>
  <c r="U43" i="21" s="1"/>
  <c r="M38" i="19" s="1"/>
  <c r="N38" i="19" s="1"/>
  <c r="CE43" i="9"/>
  <c r="DE43" i="9"/>
  <c r="B38" i="19"/>
  <c r="C38" i="19"/>
  <c r="D40" i="7"/>
  <c r="CD44" i="9" s="1"/>
  <c r="CF44" i="9" s="1"/>
  <c r="CG44" i="9" s="1"/>
  <c r="CH44" i="9" s="1"/>
  <c r="CW44" i="9" s="1"/>
  <c r="CX44" i="9" s="1"/>
  <c r="U44" i="21" s="1"/>
  <c r="M39" i="19" s="1"/>
  <c r="N39" i="19" s="1"/>
  <c r="CE44" i="9"/>
  <c r="DE44" i="9"/>
  <c r="B39" i="19"/>
  <c r="C39" i="19"/>
  <c r="D41" i="7"/>
  <c r="CD45" i="9" s="1"/>
  <c r="CF45" i="9" s="1"/>
  <c r="CG45" i="9" s="1"/>
  <c r="CH45" i="9" s="1"/>
  <c r="CW45" i="9" s="1"/>
  <c r="CX45" i="9" s="1"/>
  <c r="U45" i="21" s="1"/>
  <c r="M40" i="19" s="1"/>
  <c r="N40" i="19" s="1"/>
  <c r="CE45" i="9"/>
  <c r="DE45" i="9"/>
  <c r="B40" i="19"/>
  <c r="C40" i="19"/>
  <c r="D42" i="7"/>
  <c r="CD46" i="9" s="1"/>
  <c r="CF46" i="9" s="1"/>
  <c r="CG46" i="9" s="1"/>
  <c r="CH46" i="9" s="1"/>
  <c r="CW46" i="9" s="1"/>
  <c r="CX46" i="9" s="1"/>
  <c r="U46" i="21" s="1"/>
  <c r="M41" i="19" s="1"/>
  <c r="N41" i="19" s="1"/>
  <c r="CE46" i="9"/>
  <c r="DE46" i="9"/>
  <c r="B41" i="19"/>
  <c r="C41" i="19"/>
  <c r="D43" i="7"/>
  <c r="CD47" i="9" s="1"/>
  <c r="CF47" i="9" s="1"/>
  <c r="CG47" i="9" s="1"/>
  <c r="CH47" i="9" s="1"/>
  <c r="CW47" i="9" s="1"/>
  <c r="CX47" i="9" s="1"/>
  <c r="U47" i="21" s="1"/>
  <c r="M42" i="19" s="1"/>
  <c r="N42" i="19" s="1"/>
  <c r="CE47" i="9"/>
  <c r="DE47" i="9"/>
  <c r="B42" i="19"/>
  <c r="C42" i="19"/>
  <c r="D44" i="7"/>
  <c r="CD48" i="9" s="1"/>
  <c r="CF48" i="9" s="1"/>
  <c r="CG48" i="9" s="1"/>
  <c r="CH48" i="9" s="1"/>
  <c r="CW48" i="9" s="1"/>
  <c r="CX48" i="9" s="1"/>
  <c r="U48" i="21" s="1"/>
  <c r="M43" i="19" s="1"/>
  <c r="N43" i="19" s="1"/>
  <c r="CE48" i="9"/>
  <c r="DE48" i="9"/>
  <c r="B43" i="19"/>
  <c r="C43" i="19"/>
  <c r="D45" i="7"/>
  <c r="CD49" i="9" s="1"/>
  <c r="CF49" i="9" s="1"/>
  <c r="CG49" i="9" s="1"/>
  <c r="CH49" i="9" s="1"/>
  <c r="CW49" i="9" s="1"/>
  <c r="CX49" i="9" s="1"/>
  <c r="U49" i="21" s="1"/>
  <c r="M44" i="19" s="1"/>
  <c r="CE49" i="9"/>
  <c r="DE49" i="9"/>
  <c r="B44" i="19"/>
  <c r="C44" i="19" s="1"/>
  <c r="D46" i="7"/>
  <c r="CD50" i="9"/>
  <c r="CF50" i="9" s="1"/>
  <c r="CG50" i="9" s="1"/>
  <c r="CH50" i="9" s="1"/>
  <c r="CW50" i="9" s="1"/>
  <c r="CX50" i="9" s="1"/>
  <c r="U50" i="21" s="1"/>
  <c r="M45" i="19" s="1"/>
  <c r="N45" i="19" s="1"/>
  <c r="CE50" i="9"/>
  <c r="DE50" i="9"/>
  <c r="B45" i="19"/>
  <c r="C45" i="19"/>
  <c r="D47" i="7"/>
  <c r="CD51" i="9" s="1"/>
  <c r="CF51" i="9" s="1"/>
  <c r="CG51" i="9" s="1"/>
  <c r="CH51" i="9" s="1"/>
  <c r="CW51" i="9" s="1"/>
  <c r="CX51" i="9" s="1"/>
  <c r="U51" i="21" s="1"/>
  <c r="M46" i="19" s="1"/>
  <c r="CE51" i="9"/>
  <c r="DE51" i="9"/>
  <c r="B46" i="19"/>
  <c r="C46" i="19" s="1"/>
  <c r="D48" i="7"/>
  <c r="CD52" i="9"/>
  <c r="CF52" i="9" s="1"/>
  <c r="CG52" i="9" s="1"/>
  <c r="CH52" i="9" s="1"/>
  <c r="CW52" i="9" s="1"/>
  <c r="CX52" i="9" s="1"/>
  <c r="U52" i="21" s="1"/>
  <c r="M47" i="19" s="1"/>
  <c r="N47" i="19" s="1"/>
  <c r="CE52" i="9"/>
  <c r="DE52" i="9"/>
  <c r="B47" i="19"/>
  <c r="C47" i="19"/>
  <c r="D49" i="7"/>
  <c r="CD53" i="9" s="1"/>
  <c r="CF53" i="9" s="1"/>
  <c r="CG53" i="9" s="1"/>
  <c r="CH53" i="9" s="1"/>
  <c r="CW53" i="9" s="1"/>
  <c r="CX53" i="9" s="1"/>
  <c r="U53" i="21" s="1"/>
  <c r="M48" i="19" s="1"/>
  <c r="CE53" i="9"/>
  <c r="DE53" i="9"/>
  <c r="B48" i="19"/>
  <c r="C48" i="19" s="1"/>
  <c r="D50" i="7"/>
  <c r="CD54" i="9" s="1"/>
  <c r="CF54" i="9" s="1"/>
  <c r="CG54" i="9" s="1"/>
  <c r="CH54" i="9" s="1"/>
  <c r="CW54" i="9" s="1"/>
  <c r="CX54" i="9" s="1"/>
  <c r="U54" i="21" s="1"/>
  <c r="M49" i="19" s="1"/>
  <c r="N49" i="19" s="1"/>
  <c r="CE54" i="9"/>
  <c r="DE54" i="9"/>
  <c r="B49" i="19"/>
  <c r="C49" i="19"/>
  <c r="D51" i="7"/>
  <c r="CD55" i="9" s="1"/>
  <c r="CE55" i="9"/>
  <c r="DE55" i="9"/>
  <c r="B50" i="19"/>
  <c r="C50" i="19" s="1"/>
  <c r="D52" i="7"/>
  <c r="CD56" i="9" s="1"/>
  <c r="CF56" i="9" s="1"/>
  <c r="CG56" i="9" s="1"/>
  <c r="CH56" i="9" s="1"/>
  <c r="CW56" i="9" s="1"/>
  <c r="CX56" i="9" s="1"/>
  <c r="U56" i="21" s="1"/>
  <c r="M51" i="19" s="1"/>
  <c r="N51" i="19" s="1"/>
  <c r="CE56" i="9"/>
  <c r="DE56" i="9"/>
  <c r="B51" i="19"/>
  <c r="C51" i="19"/>
  <c r="D53" i="7"/>
  <c r="CD57" i="9" s="1"/>
  <c r="CE57" i="9"/>
  <c r="DE57" i="9"/>
  <c r="B52" i="19"/>
  <c r="C52" i="19" s="1"/>
  <c r="D54" i="7"/>
  <c r="CD58" i="9" s="1"/>
  <c r="CF58" i="9" s="1"/>
  <c r="CG58" i="9" s="1"/>
  <c r="CH58" i="9" s="1"/>
  <c r="CW58" i="9" s="1"/>
  <c r="CX58" i="9" s="1"/>
  <c r="U58" i="21" s="1"/>
  <c r="M53" i="19" s="1"/>
  <c r="N53" i="19" s="1"/>
  <c r="CE58" i="9"/>
  <c r="DE58" i="9"/>
  <c r="B53" i="19"/>
  <c r="C53" i="19"/>
  <c r="D55" i="7"/>
  <c r="CD59" i="9" s="1"/>
  <c r="CF59" i="9" s="1"/>
  <c r="CG59" i="9" s="1"/>
  <c r="CH59" i="9" s="1"/>
  <c r="CW59" i="9" s="1"/>
  <c r="CX59" i="9" s="1"/>
  <c r="U59" i="21" s="1"/>
  <c r="M54" i="19" s="1"/>
  <c r="N54" i="19" s="1"/>
  <c r="CE59" i="9"/>
  <c r="DE59" i="9"/>
  <c r="B54" i="19"/>
  <c r="C54" i="19" s="1"/>
  <c r="D56" i="7"/>
  <c r="CD60" i="9" s="1"/>
  <c r="CF60" i="9" s="1"/>
  <c r="CG60" i="9" s="1"/>
  <c r="CH60" i="9" s="1"/>
  <c r="CW60" i="9" s="1"/>
  <c r="CX60" i="9" s="1"/>
  <c r="U60" i="21" s="1"/>
  <c r="M55" i="19" s="1"/>
  <c r="N55" i="19" s="1"/>
  <c r="CE60" i="9"/>
  <c r="DE60" i="9"/>
  <c r="B55" i="19"/>
  <c r="C55" i="19"/>
  <c r="D57" i="7"/>
  <c r="CD61" i="9" s="1"/>
  <c r="CE61" i="9"/>
  <c r="DE61" i="9"/>
  <c r="B56" i="19"/>
  <c r="C56" i="19" s="1"/>
  <c r="D58" i="7"/>
  <c r="CD62" i="9" s="1"/>
  <c r="CF62" i="9" s="1"/>
  <c r="CG62" i="9" s="1"/>
  <c r="CH62" i="9" s="1"/>
  <c r="CW62" i="9" s="1"/>
  <c r="CX62" i="9" s="1"/>
  <c r="U62" i="21" s="1"/>
  <c r="M57" i="19" s="1"/>
  <c r="N57" i="19" s="1"/>
  <c r="CE62" i="9"/>
  <c r="DE62" i="9"/>
  <c r="B57" i="19"/>
  <c r="C57" i="19"/>
  <c r="D59" i="7"/>
  <c r="CD63" i="9" s="1"/>
  <c r="CF63" i="9" s="1"/>
  <c r="CG63" i="9" s="1"/>
  <c r="CH63" i="9" s="1"/>
  <c r="CW63" i="9" s="1"/>
  <c r="CX63" i="9" s="1"/>
  <c r="U63" i="21" s="1"/>
  <c r="M58" i="19" s="1"/>
  <c r="CE63" i="9"/>
  <c r="DE63" i="9"/>
  <c r="B58" i="19"/>
  <c r="C58" i="19" s="1"/>
  <c r="CD64" i="9"/>
  <c r="CF64" i="9" s="1"/>
  <c r="CG64" i="9" s="1"/>
  <c r="CH64" i="9" s="1"/>
  <c r="CW64" i="9" s="1"/>
  <c r="CX64" i="9" s="1"/>
  <c r="U64" i="21" s="1"/>
  <c r="M59" i="19" s="1"/>
  <c r="N59" i="19" s="1"/>
  <c r="CE64" i="9"/>
  <c r="DE64" i="9"/>
  <c r="B59" i="19"/>
  <c r="C59" i="19" s="1"/>
  <c r="D61" i="7"/>
  <c r="CD65" i="9" s="1"/>
  <c r="CF65" i="9" s="1"/>
  <c r="CG65" i="9" s="1"/>
  <c r="CH65" i="9" s="1"/>
  <c r="CW65" i="9" s="1"/>
  <c r="CX65" i="9" s="1"/>
  <c r="U65" i="21" s="1"/>
  <c r="M60" i="19" s="1"/>
  <c r="N60" i="19" s="1"/>
  <c r="CE65" i="9"/>
  <c r="DE65" i="9"/>
  <c r="B60" i="19"/>
  <c r="C60" i="19" s="1"/>
  <c r="D62" i="7"/>
  <c r="CD66" i="9"/>
  <c r="CE66" i="9"/>
  <c r="DE66" i="9"/>
  <c r="B61" i="19"/>
  <c r="C61" i="19" s="1"/>
  <c r="D63" i="7"/>
  <c r="CD67" i="9" s="1"/>
  <c r="CF67" i="9" s="1"/>
  <c r="CG67" i="9" s="1"/>
  <c r="CH67" i="9" s="1"/>
  <c r="CW67" i="9" s="1"/>
  <c r="CX67" i="9" s="1"/>
  <c r="U67" i="21" s="1"/>
  <c r="M62" i="19" s="1"/>
  <c r="CE67" i="9"/>
  <c r="DE67" i="9"/>
  <c r="B62" i="19"/>
  <c r="C62" i="19" s="1"/>
  <c r="D64" i="7"/>
  <c r="CD68" i="9"/>
  <c r="CF68" i="9" s="1"/>
  <c r="CG68" i="9" s="1"/>
  <c r="CH68" i="9" s="1"/>
  <c r="CW68" i="9" s="1"/>
  <c r="CX68" i="9" s="1"/>
  <c r="U68" i="21" s="1"/>
  <c r="M63" i="19" s="1"/>
  <c r="N63" i="19" s="1"/>
  <c r="CE68" i="9"/>
  <c r="DE68" i="9"/>
  <c r="B63" i="19"/>
  <c r="C63" i="19" s="1"/>
  <c r="D65" i="7"/>
  <c r="CD69" i="9" s="1"/>
  <c r="CF69" i="9" s="1"/>
  <c r="CG69" i="9" s="1"/>
  <c r="CH69" i="9" s="1"/>
  <c r="CW69" i="9" s="1"/>
  <c r="CX69" i="9" s="1"/>
  <c r="U69" i="21" s="1"/>
  <c r="M64" i="19" s="1"/>
  <c r="N64" i="19" s="1"/>
  <c r="CE69" i="9"/>
  <c r="DE69" i="9"/>
  <c r="B64" i="19"/>
  <c r="C64" i="19" s="1"/>
  <c r="D66" i="7"/>
  <c r="CD70" i="9"/>
  <c r="CE70" i="9"/>
  <c r="DE70" i="9"/>
  <c r="B65" i="19"/>
  <c r="C65" i="19" s="1"/>
  <c r="D67" i="7"/>
  <c r="CD71" i="9" s="1"/>
  <c r="CF71" i="9" s="1"/>
  <c r="CG71" i="9" s="1"/>
  <c r="CH71" i="9" s="1"/>
  <c r="CW71" i="9" s="1"/>
  <c r="CX71" i="9" s="1"/>
  <c r="U71" i="21" s="1"/>
  <c r="M66" i="19" s="1"/>
  <c r="N66" i="19" s="1"/>
  <c r="CE71" i="9"/>
  <c r="DE71" i="9"/>
  <c r="B66" i="19"/>
  <c r="C66" i="19" s="1"/>
  <c r="D68" i="7"/>
  <c r="CD72" i="9"/>
  <c r="CE72" i="9"/>
  <c r="CF73" i="9" s="1"/>
  <c r="CG73" i="9" s="1"/>
  <c r="CH73" i="9" s="1"/>
  <c r="CW73" i="9" s="1"/>
  <c r="CX73" i="9" s="1"/>
  <c r="U73" i="21" s="1"/>
  <c r="M68" i="19" s="1"/>
  <c r="DE72" i="9"/>
  <c r="B67" i="19"/>
  <c r="C67" i="19" s="1"/>
  <c r="D69" i="7"/>
  <c r="CD73" i="9" s="1"/>
  <c r="CE73" i="9"/>
  <c r="DE73" i="9"/>
  <c r="B68" i="19"/>
  <c r="C68" i="19" s="1"/>
  <c r="D70" i="7"/>
  <c r="CD74" i="9"/>
  <c r="CE74" i="9"/>
  <c r="DE74" i="9"/>
  <c r="B69" i="19"/>
  <c r="C69" i="19" s="1"/>
  <c r="D71" i="7"/>
  <c r="CD75" i="9" s="1"/>
  <c r="CF75" i="9" s="1"/>
  <c r="CG75" i="9" s="1"/>
  <c r="CH75" i="9" s="1"/>
  <c r="CW75" i="9" s="1"/>
  <c r="CX75" i="9" s="1"/>
  <c r="U75" i="21" s="1"/>
  <c r="M70" i="19" s="1"/>
  <c r="N70" i="19" s="1"/>
  <c r="CE75" i="9"/>
  <c r="DE75" i="9"/>
  <c r="B70" i="19"/>
  <c r="C70" i="19"/>
  <c r="D72" i="7"/>
  <c r="CD76" i="9" s="1"/>
  <c r="CF76" i="9" s="1"/>
  <c r="CG76" i="9" s="1"/>
  <c r="CH76" i="9" s="1"/>
  <c r="CW76" i="9" s="1"/>
  <c r="CX76" i="9" s="1"/>
  <c r="U76" i="21" s="1"/>
  <c r="M71" i="19" s="1"/>
  <c r="N71" i="19" s="1"/>
  <c r="CE76" i="9"/>
  <c r="DE76" i="9"/>
  <c r="B71" i="19"/>
  <c r="C71" i="19"/>
  <c r="D73" i="7"/>
  <c r="CD77" i="9" s="1"/>
  <c r="CF77" i="9" s="1"/>
  <c r="CG77" i="9" s="1"/>
  <c r="CH77" i="9" s="1"/>
  <c r="CW77" i="9" s="1"/>
  <c r="CX77" i="9" s="1"/>
  <c r="U77" i="21" s="1"/>
  <c r="M72" i="19" s="1"/>
  <c r="N72" i="19" s="1"/>
  <c r="CE77" i="9"/>
  <c r="DE77" i="9"/>
  <c r="B72" i="19"/>
  <c r="C72" i="19"/>
  <c r="D74" i="7"/>
  <c r="CD78" i="9" s="1"/>
  <c r="CE78" i="9"/>
  <c r="DE78" i="9"/>
  <c r="B73" i="19"/>
  <c r="C73" i="19"/>
  <c r="D75" i="7"/>
  <c r="CD79" i="9" s="1"/>
  <c r="CE79" i="9"/>
  <c r="DE79" i="9"/>
  <c r="B74" i="19"/>
  <c r="C74" i="19"/>
  <c r="AP16" i="9"/>
  <c r="AQ16" i="9" s="1"/>
  <c r="AR16" i="9" s="1"/>
  <c r="M16" i="21" s="1"/>
  <c r="P11" i="19" s="1"/>
  <c r="Q11" i="19" s="1"/>
  <c r="BJ16" i="9"/>
  <c r="AP17" i="9"/>
  <c r="AQ17" i="9"/>
  <c r="AR17" i="9" s="1"/>
  <c r="M17" i="21" s="1"/>
  <c r="P12" i="19" s="1"/>
  <c r="Q12" i="19" s="1"/>
  <c r="BJ17" i="9"/>
  <c r="AP18" i="9"/>
  <c r="AQ18" i="9"/>
  <c r="AR18" i="9" s="1"/>
  <c r="M18" i="21" s="1"/>
  <c r="P13" i="19" s="1"/>
  <c r="Q13" i="19" s="1"/>
  <c r="BJ18" i="9"/>
  <c r="AP19" i="9"/>
  <c r="AQ19" i="9"/>
  <c r="BJ19" i="9"/>
  <c r="AR19" i="9"/>
  <c r="M19" i="21" s="1"/>
  <c r="P14" i="19" s="1"/>
  <c r="Q14" i="19" s="1"/>
  <c r="AP20" i="9"/>
  <c r="AQ20" i="9" s="1"/>
  <c r="AR20" i="9" s="1"/>
  <c r="M20" i="21" s="1"/>
  <c r="P15" i="19" s="1"/>
  <c r="Q15" i="19" s="1"/>
  <c r="BJ20" i="9"/>
  <c r="AP21" i="9"/>
  <c r="AQ21" i="9"/>
  <c r="AR21" i="9" s="1"/>
  <c r="M21" i="21" s="1"/>
  <c r="P16" i="19" s="1"/>
  <c r="Q16" i="19" s="1"/>
  <c r="BJ21" i="9"/>
  <c r="AP22" i="9"/>
  <c r="AQ22" i="9" s="1"/>
  <c r="AR22" i="9" s="1"/>
  <c r="M22" i="21" s="1"/>
  <c r="P17" i="19" s="1"/>
  <c r="Q17" i="19" s="1"/>
  <c r="BJ22" i="9"/>
  <c r="AP23" i="9"/>
  <c r="AQ23" i="9"/>
  <c r="AR23" i="9" s="1"/>
  <c r="M23" i="21" s="1"/>
  <c r="P18" i="19" s="1"/>
  <c r="Q18" i="19" s="1"/>
  <c r="BJ23" i="9"/>
  <c r="AP24" i="9"/>
  <c r="AQ24" i="9"/>
  <c r="AR24" i="9" s="1"/>
  <c r="M24" i="21" s="1"/>
  <c r="P19" i="19" s="1"/>
  <c r="Q19" i="19" s="1"/>
  <c r="BJ24" i="9"/>
  <c r="AP25" i="9"/>
  <c r="AQ25" i="9"/>
  <c r="AR25" i="9" s="1"/>
  <c r="M25" i="21" s="1"/>
  <c r="P20" i="19" s="1"/>
  <c r="Q20" i="19" s="1"/>
  <c r="BJ25" i="9"/>
  <c r="AP26" i="9"/>
  <c r="AQ26" i="9" s="1"/>
  <c r="AR26" i="9" s="1"/>
  <c r="M26" i="21" s="1"/>
  <c r="P21" i="19" s="1"/>
  <c r="Q21" i="19" s="1"/>
  <c r="BJ26" i="9"/>
  <c r="AP27" i="9"/>
  <c r="AQ27" i="9"/>
  <c r="AR27" i="9" s="1"/>
  <c r="M27" i="21" s="1"/>
  <c r="P22" i="19" s="1"/>
  <c r="Q22" i="19" s="1"/>
  <c r="BJ27" i="9"/>
  <c r="AP28" i="9"/>
  <c r="AQ28" i="9" s="1"/>
  <c r="AR28" i="9" s="1"/>
  <c r="M28" i="21" s="1"/>
  <c r="P23" i="19" s="1"/>
  <c r="Q23" i="19" s="1"/>
  <c r="BJ28" i="9"/>
  <c r="AP29" i="9"/>
  <c r="AQ29" i="9"/>
  <c r="AR29" i="9" s="1"/>
  <c r="M29" i="21" s="1"/>
  <c r="P24" i="19" s="1"/>
  <c r="Q24" i="19" s="1"/>
  <c r="BJ29" i="9"/>
  <c r="AP30" i="9"/>
  <c r="AQ30" i="9" s="1"/>
  <c r="AR30" i="9" s="1"/>
  <c r="M30" i="21" s="1"/>
  <c r="P25" i="19" s="1"/>
  <c r="Q25" i="19" s="1"/>
  <c r="BJ30" i="9"/>
  <c r="AP31" i="9"/>
  <c r="AQ31" i="9"/>
  <c r="AR31" i="9" s="1"/>
  <c r="M31" i="21" s="1"/>
  <c r="P26" i="19" s="1"/>
  <c r="Q26" i="19" s="1"/>
  <c r="BJ31" i="9"/>
  <c r="AP32" i="9"/>
  <c r="AQ32" i="9" s="1"/>
  <c r="AR32" i="9" s="1"/>
  <c r="M32" i="21" s="1"/>
  <c r="P27" i="19" s="1"/>
  <c r="Q27" i="19" s="1"/>
  <c r="BJ32" i="9"/>
  <c r="AP33" i="9"/>
  <c r="AQ33" i="9"/>
  <c r="AR33" i="9" s="1"/>
  <c r="M33" i="21" s="1"/>
  <c r="P28" i="19" s="1"/>
  <c r="Q28" i="19" s="1"/>
  <c r="BJ33" i="9"/>
  <c r="AP34" i="9"/>
  <c r="AQ34" i="9" s="1"/>
  <c r="AR34" i="9" s="1"/>
  <c r="M34" i="21" s="1"/>
  <c r="P29" i="19" s="1"/>
  <c r="Q29" i="19" s="1"/>
  <c r="BJ34" i="9"/>
  <c r="AP35" i="9"/>
  <c r="AQ35" i="9"/>
  <c r="AR35" i="9" s="1"/>
  <c r="M35" i="21" s="1"/>
  <c r="P30" i="19" s="1"/>
  <c r="Q30" i="19" s="1"/>
  <c r="BJ35" i="9"/>
  <c r="AP36" i="9"/>
  <c r="AQ36" i="9" s="1"/>
  <c r="AR36" i="9" s="1"/>
  <c r="M36" i="21" s="1"/>
  <c r="P31" i="19" s="1"/>
  <c r="Q31" i="19" s="1"/>
  <c r="BJ36" i="9"/>
  <c r="AP37" i="9"/>
  <c r="AQ37" i="9"/>
  <c r="AR37" i="9" s="1"/>
  <c r="M37" i="21" s="1"/>
  <c r="P32" i="19" s="1"/>
  <c r="Q32" i="19" s="1"/>
  <c r="BJ37" i="9"/>
  <c r="AP38" i="9"/>
  <c r="AQ38" i="9" s="1"/>
  <c r="AR38" i="9" s="1"/>
  <c r="M38" i="21" s="1"/>
  <c r="P33" i="19" s="1"/>
  <c r="Q33" i="19" s="1"/>
  <c r="BJ38" i="9"/>
  <c r="AP39" i="9"/>
  <c r="AQ39" i="9"/>
  <c r="AR39" i="9" s="1"/>
  <c r="M39" i="21" s="1"/>
  <c r="P34" i="19" s="1"/>
  <c r="Q34" i="19" s="1"/>
  <c r="BJ39" i="9"/>
  <c r="AP40" i="9"/>
  <c r="AQ40" i="9" s="1"/>
  <c r="AR40" i="9" s="1"/>
  <c r="M40" i="21" s="1"/>
  <c r="P35" i="19" s="1"/>
  <c r="Q35" i="19" s="1"/>
  <c r="BJ40" i="9"/>
  <c r="AP41" i="9"/>
  <c r="AQ41" i="9"/>
  <c r="AR41" i="9" s="1"/>
  <c r="M41" i="21" s="1"/>
  <c r="P36" i="19" s="1"/>
  <c r="Q36" i="19" s="1"/>
  <c r="BJ41" i="9"/>
  <c r="AP42" i="9"/>
  <c r="AQ42" i="9" s="1"/>
  <c r="AR42" i="9" s="1"/>
  <c r="M42" i="21" s="1"/>
  <c r="P37" i="19" s="1"/>
  <c r="Q37" i="19" s="1"/>
  <c r="BJ42" i="9"/>
  <c r="AP43" i="9"/>
  <c r="AQ43" i="9"/>
  <c r="BJ43" i="9"/>
  <c r="AR43" i="9"/>
  <c r="M43" i="21" s="1"/>
  <c r="P38" i="19" s="1"/>
  <c r="Q38" i="19" s="1"/>
  <c r="AP44" i="9"/>
  <c r="AQ44" i="9" s="1"/>
  <c r="AR44" i="9" s="1"/>
  <c r="M44" i="21" s="1"/>
  <c r="P39" i="19" s="1"/>
  <c r="Q39" i="19" s="1"/>
  <c r="BJ44" i="9"/>
  <c r="AP45" i="9"/>
  <c r="AQ45" i="9"/>
  <c r="AR45" i="9" s="1"/>
  <c r="M45" i="21" s="1"/>
  <c r="P40" i="19" s="1"/>
  <c r="Q40" i="19" s="1"/>
  <c r="BJ45" i="9"/>
  <c r="AP46" i="9"/>
  <c r="AQ46" i="9"/>
  <c r="AR46" i="9" s="1"/>
  <c r="M46" i="21" s="1"/>
  <c r="P41" i="19" s="1"/>
  <c r="Q41" i="19" s="1"/>
  <c r="BJ46" i="9"/>
  <c r="AP47" i="9"/>
  <c r="AQ47" i="9" s="1"/>
  <c r="AR47" i="9" s="1"/>
  <c r="M47" i="21" s="1"/>
  <c r="P42" i="19" s="1"/>
  <c r="Q42" i="19" s="1"/>
  <c r="BJ47" i="9"/>
  <c r="AP48" i="9"/>
  <c r="AQ48" i="9" s="1"/>
  <c r="AR48" i="9" s="1"/>
  <c r="M48" i="21" s="1"/>
  <c r="P43" i="19" s="1"/>
  <c r="Q43" i="19" s="1"/>
  <c r="BJ48" i="9"/>
  <c r="AP49" i="9"/>
  <c r="AQ49" i="9"/>
  <c r="AR49" i="9" s="1"/>
  <c r="M49" i="21" s="1"/>
  <c r="P44" i="19" s="1"/>
  <c r="Q44" i="19" s="1"/>
  <c r="BJ49" i="9"/>
  <c r="AP50" i="9"/>
  <c r="AQ50" i="9" s="1"/>
  <c r="AR50" i="9" s="1"/>
  <c r="M50" i="21" s="1"/>
  <c r="P45" i="19" s="1"/>
  <c r="Q45" i="19" s="1"/>
  <c r="BJ50" i="9"/>
  <c r="AP51" i="9"/>
  <c r="AQ51" i="9"/>
  <c r="BJ51" i="9"/>
  <c r="AR51" i="9"/>
  <c r="M51" i="21" s="1"/>
  <c r="P46" i="19" s="1"/>
  <c r="Q46" i="19" s="1"/>
  <c r="AP52" i="9"/>
  <c r="AQ52" i="9" s="1"/>
  <c r="AR52" i="9" s="1"/>
  <c r="M52" i="21" s="1"/>
  <c r="P47" i="19" s="1"/>
  <c r="Q47" i="19" s="1"/>
  <c r="BJ52" i="9"/>
  <c r="AP53" i="9"/>
  <c r="AQ53" i="9"/>
  <c r="AR53" i="9" s="1"/>
  <c r="M53" i="21" s="1"/>
  <c r="P48" i="19" s="1"/>
  <c r="Q48" i="19" s="1"/>
  <c r="BJ53" i="9"/>
  <c r="AP54" i="9"/>
  <c r="AQ54" i="9" s="1"/>
  <c r="AR54" i="9" s="1"/>
  <c r="M54" i="21" s="1"/>
  <c r="P49" i="19" s="1"/>
  <c r="Q49" i="19" s="1"/>
  <c r="BJ54" i="9"/>
  <c r="AP55" i="9"/>
  <c r="AQ55" i="9" s="1"/>
  <c r="AR55" i="9" s="1"/>
  <c r="M55" i="21" s="1"/>
  <c r="P50" i="19" s="1"/>
  <c r="Q50" i="19" s="1"/>
  <c r="BJ55" i="9"/>
  <c r="AP56" i="9"/>
  <c r="AQ56" i="9" s="1"/>
  <c r="AR56" i="9" s="1"/>
  <c r="M56" i="21" s="1"/>
  <c r="P51" i="19" s="1"/>
  <c r="Q51" i="19" s="1"/>
  <c r="BJ56" i="9"/>
  <c r="AP57" i="9"/>
  <c r="AQ57" i="9"/>
  <c r="AR57" i="9" s="1"/>
  <c r="M57" i="21" s="1"/>
  <c r="P52" i="19" s="1"/>
  <c r="Q52" i="19" s="1"/>
  <c r="BJ57" i="9"/>
  <c r="AP58" i="9"/>
  <c r="AQ58" i="9" s="1"/>
  <c r="AR58" i="9" s="1"/>
  <c r="M58" i="21" s="1"/>
  <c r="P53" i="19" s="1"/>
  <c r="Q53" i="19" s="1"/>
  <c r="BJ58" i="9"/>
  <c r="AP59" i="9"/>
  <c r="AQ59" i="9" s="1"/>
  <c r="AR59" i="9" s="1"/>
  <c r="M59" i="21" s="1"/>
  <c r="P54" i="19" s="1"/>
  <c r="Q54" i="19" s="1"/>
  <c r="BJ59" i="9"/>
  <c r="AP60" i="9"/>
  <c r="AQ60" i="9" s="1"/>
  <c r="AR60" i="9" s="1"/>
  <c r="M60" i="21" s="1"/>
  <c r="P55" i="19" s="1"/>
  <c r="Q55" i="19" s="1"/>
  <c r="BJ60" i="9"/>
  <c r="AP61" i="9"/>
  <c r="AQ61" i="9"/>
  <c r="AR61" i="9" s="1"/>
  <c r="M61" i="21" s="1"/>
  <c r="P56" i="19" s="1"/>
  <c r="Q56" i="19" s="1"/>
  <c r="BJ61" i="9"/>
  <c r="AP62" i="9"/>
  <c r="AQ62" i="9" s="1"/>
  <c r="AR62" i="9" s="1"/>
  <c r="M62" i="21" s="1"/>
  <c r="P57" i="19" s="1"/>
  <c r="Q57" i="19" s="1"/>
  <c r="BJ62" i="9"/>
  <c r="AP63" i="9"/>
  <c r="AQ63" i="9"/>
  <c r="BJ63" i="9"/>
  <c r="AR63" i="9"/>
  <c r="M63" i="21" s="1"/>
  <c r="P58" i="19" s="1"/>
  <c r="Q58" i="19" s="1"/>
  <c r="AP64" i="9"/>
  <c r="AQ64" i="9" s="1"/>
  <c r="AR64" i="9" s="1"/>
  <c r="M64" i="21" s="1"/>
  <c r="P59" i="19" s="1"/>
  <c r="Q59" i="19" s="1"/>
  <c r="BJ64" i="9"/>
  <c r="AP65" i="9"/>
  <c r="AQ65" i="9"/>
  <c r="AR65" i="9" s="1"/>
  <c r="M65" i="21" s="1"/>
  <c r="P60" i="19" s="1"/>
  <c r="Q60" i="19" s="1"/>
  <c r="BJ65" i="9"/>
  <c r="AP66" i="9"/>
  <c r="AQ66" i="9" s="1"/>
  <c r="AR66" i="9" s="1"/>
  <c r="M66" i="21" s="1"/>
  <c r="P61" i="19" s="1"/>
  <c r="Q61" i="19" s="1"/>
  <c r="BJ66" i="9"/>
  <c r="AP67" i="9"/>
  <c r="AQ67" i="9" s="1"/>
  <c r="AR67" i="9" s="1"/>
  <c r="M67" i="21" s="1"/>
  <c r="P62" i="19" s="1"/>
  <c r="Q62" i="19" s="1"/>
  <c r="BJ67" i="9"/>
  <c r="AP68" i="9"/>
  <c r="AQ68" i="9" s="1"/>
  <c r="AR68" i="9" s="1"/>
  <c r="M68" i="21" s="1"/>
  <c r="P63" i="19" s="1"/>
  <c r="Q63" i="19" s="1"/>
  <c r="BJ68" i="9"/>
  <c r="AP69" i="9"/>
  <c r="AQ69" i="9"/>
  <c r="AR69" i="9" s="1"/>
  <c r="M69" i="21" s="1"/>
  <c r="P64" i="19" s="1"/>
  <c r="Q64" i="19" s="1"/>
  <c r="BJ69" i="9"/>
  <c r="AP70" i="9"/>
  <c r="AQ70" i="9" s="1"/>
  <c r="AR70" i="9" s="1"/>
  <c r="M70" i="21" s="1"/>
  <c r="BJ70" i="9"/>
  <c r="AP71" i="9"/>
  <c r="AQ71" i="9"/>
  <c r="AR71" i="9" s="1"/>
  <c r="M71" i="21" s="1"/>
  <c r="P66" i="19" s="1"/>
  <c r="Q66" i="19" s="1"/>
  <c r="BJ71" i="9"/>
  <c r="AP72" i="9"/>
  <c r="AQ72" i="9" s="1"/>
  <c r="AR72" i="9" s="1"/>
  <c r="M72" i="21" s="1"/>
  <c r="P67" i="19" s="1"/>
  <c r="Q67" i="19" s="1"/>
  <c r="BJ72" i="9"/>
  <c r="AP73" i="9"/>
  <c r="AQ73" i="9"/>
  <c r="BJ73" i="9"/>
  <c r="AR73" i="9"/>
  <c r="M73" i="21" s="1"/>
  <c r="P68" i="19" s="1"/>
  <c r="AP74" i="9"/>
  <c r="AQ74" i="9" s="1"/>
  <c r="AR74" i="9" s="1"/>
  <c r="BJ74" i="9"/>
  <c r="M74" i="21"/>
  <c r="P69" i="19" s="1"/>
  <c r="Q69" i="19" s="1"/>
  <c r="AP75" i="9"/>
  <c r="AQ75" i="9"/>
  <c r="AR75" i="9" s="1"/>
  <c r="M75" i="21" s="1"/>
  <c r="BJ75" i="9"/>
  <c r="P70" i="19"/>
  <c r="Q70" i="19" s="1"/>
  <c r="AP76" i="9"/>
  <c r="AQ76" i="9" s="1"/>
  <c r="AR76" i="9" s="1"/>
  <c r="M76" i="21" s="1"/>
  <c r="P71" i="19" s="1"/>
  <c r="BJ76" i="9"/>
  <c r="Q71" i="19"/>
  <c r="AP77" i="9"/>
  <c r="AQ77" i="9"/>
  <c r="BJ77" i="9"/>
  <c r="AR77" i="9"/>
  <c r="M77" i="21" s="1"/>
  <c r="P72" i="19" s="1"/>
  <c r="Q72" i="19" s="1"/>
  <c r="AP78" i="9"/>
  <c r="AQ78" i="9" s="1"/>
  <c r="AR78" i="9" s="1"/>
  <c r="M78" i="21" s="1"/>
  <c r="BJ78" i="9"/>
  <c r="AP79" i="9"/>
  <c r="AQ79" i="9"/>
  <c r="AR79" i="9" s="1"/>
  <c r="M79" i="21" s="1"/>
  <c r="P74" i="19" s="1"/>
  <c r="Q74" i="19" s="1"/>
  <c r="BJ79" i="9"/>
  <c r="O15" i="4"/>
  <c r="P15" i="4" s="1"/>
  <c r="S16" i="9" s="1"/>
  <c r="C16" i="21" s="1"/>
  <c r="J11" i="19" s="1"/>
  <c r="K11" i="19" s="1"/>
  <c r="O16" i="4"/>
  <c r="P16" i="4" s="1"/>
  <c r="S17" i="9" s="1"/>
  <c r="C17" i="21" s="1"/>
  <c r="J12" i="19"/>
  <c r="K12" i="19" s="1"/>
  <c r="O17" i="4"/>
  <c r="P17" i="4" s="1"/>
  <c r="S18" i="9" s="1"/>
  <c r="C18" i="21" s="1"/>
  <c r="J13" i="19" s="1"/>
  <c r="K13" i="19" s="1"/>
  <c r="O18" i="4"/>
  <c r="P18" i="4" s="1"/>
  <c r="S19" i="9" s="1"/>
  <c r="C19" i="21" s="1"/>
  <c r="J14" i="19"/>
  <c r="K14" i="19" s="1"/>
  <c r="O19" i="4"/>
  <c r="P19" i="4" s="1"/>
  <c r="S20" i="9" s="1"/>
  <c r="C20" i="21" s="1"/>
  <c r="O20" i="4"/>
  <c r="P20" i="4" s="1"/>
  <c r="S21" i="9" s="1"/>
  <c r="C21" i="21" s="1"/>
  <c r="J16" i="19"/>
  <c r="K16" i="19" s="1"/>
  <c r="O21" i="4"/>
  <c r="P21" i="4" s="1"/>
  <c r="S22" i="9" s="1"/>
  <c r="C22" i="21" s="1"/>
  <c r="J17" i="19" s="1"/>
  <c r="K17" i="19" s="1"/>
  <c r="O22" i="4"/>
  <c r="P22" i="4" s="1"/>
  <c r="S23" i="9" s="1"/>
  <c r="C23" i="21" s="1"/>
  <c r="J18" i="19"/>
  <c r="K18" i="19" s="1"/>
  <c r="O23" i="4"/>
  <c r="P23" i="4" s="1"/>
  <c r="S24" i="9" s="1"/>
  <c r="C24" i="21" s="1"/>
  <c r="J19" i="19" s="1"/>
  <c r="K19" i="19" s="1"/>
  <c r="O24" i="4"/>
  <c r="P24" i="4" s="1"/>
  <c r="S25" i="9" s="1"/>
  <c r="C25" i="21" s="1"/>
  <c r="J20" i="19"/>
  <c r="K20" i="19" s="1"/>
  <c r="O25" i="4"/>
  <c r="P25" i="4" s="1"/>
  <c r="S26" i="9" s="1"/>
  <c r="C26" i="21" s="1"/>
  <c r="J21" i="19" s="1"/>
  <c r="K21" i="19" s="1"/>
  <c r="O26" i="4"/>
  <c r="P26" i="4" s="1"/>
  <c r="S27" i="9" s="1"/>
  <c r="C27" i="21" s="1"/>
  <c r="J22" i="19"/>
  <c r="K22" i="19" s="1"/>
  <c r="O27" i="4"/>
  <c r="P27" i="4" s="1"/>
  <c r="S28" i="9" s="1"/>
  <c r="C28" i="21" s="1"/>
  <c r="O28" i="4"/>
  <c r="P28" i="4" s="1"/>
  <c r="S29" i="9" s="1"/>
  <c r="C29" i="21" s="1"/>
  <c r="J24" i="19"/>
  <c r="K24" i="19" s="1"/>
  <c r="O29" i="4"/>
  <c r="P29" i="4" s="1"/>
  <c r="S30" i="9" s="1"/>
  <c r="C30" i="21" s="1"/>
  <c r="J25" i="19" s="1"/>
  <c r="K25" i="19" s="1"/>
  <c r="O30" i="4"/>
  <c r="P30" i="4" s="1"/>
  <c r="S31" i="9" s="1"/>
  <c r="C31" i="21" s="1"/>
  <c r="J26" i="19"/>
  <c r="K26" i="19" s="1"/>
  <c r="O31" i="4"/>
  <c r="P31" i="4" s="1"/>
  <c r="S32" i="9" s="1"/>
  <c r="C32" i="21" s="1"/>
  <c r="O32" i="4"/>
  <c r="P32" i="4" s="1"/>
  <c r="S33" i="9" s="1"/>
  <c r="C33" i="21" s="1"/>
  <c r="J28" i="19"/>
  <c r="K28" i="19" s="1"/>
  <c r="O33" i="4"/>
  <c r="P33" i="4" s="1"/>
  <c r="S34" i="9" s="1"/>
  <c r="C34" i="21" s="1"/>
  <c r="J29" i="19" s="1"/>
  <c r="K29" i="19" s="1"/>
  <c r="O34" i="4"/>
  <c r="P34" i="4" s="1"/>
  <c r="S35" i="9" s="1"/>
  <c r="C35" i="21" s="1"/>
  <c r="J30" i="19"/>
  <c r="K30" i="19" s="1"/>
  <c r="J31" i="19"/>
  <c r="K31" i="19" s="1"/>
  <c r="J32" i="19"/>
  <c r="K32" i="19" s="1"/>
  <c r="J33" i="19"/>
  <c r="K33" i="19" s="1"/>
  <c r="J34" i="19"/>
  <c r="K34" i="19" s="1"/>
  <c r="J47" i="19"/>
  <c r="K47" i="19" s="1"/>
  <c r="J48" i="19"/>
  <c r="K48" i="19" s="1"/>
  <c r="J49" i="19"/>
  <c r="K49" i="19" s="1"/>
  <c r="J50" i="19"/>
  <c r="K50" i="19" s="1"/>
  <c r="J51" i="19"/>
  <c r="K51" i="19" s="1"/>
  <c r="J52" i="19"/>
  <c r="K52" i="19" s="1"/>
  <c r="J53" i="19"/>
  <c r="K53" i="19" s="1"/>
  <c r="J55" i="19"/>
  <c r="K55" i="19" s="1"/>
  <c r="J57" i="19"/>
  <c r="K57" i="19" s="1"/>
  <c r="J59" i="19"/>
  <c r="K59" i="19" s="1"/>
  <c r="J60" i="19"/>
  <c r="K60" i="19" s="1"/>
  <c r="J61" i="19"/>
  <c r="K61" i="19" s="1"/>
  <c r="J63" i="19"/>
  <c r="K63" i="19" s="1"/>
  <c r="J65" i="19"/>
  <c r="K65" i="19" s="1"/>
  <c r="J67" i="19"/>
  <c r="K67" i="19" s="1"/>
  <c r="J68" i="19"/>
  <c r="K68" i="19" s="1"/>
  <c r="J69" i="19"/>
  <c r="K69" i="19" s="1"/>
  <c r="J71" i="19"/>
  <c r="K71" i="19" s="1"/>
  <c r="J73" i="19"/>
  <c r="K73" i="19" s="1"/>
  <c r="J74" i="19"/>
  <c r="K74" i="19" s="1"/>
  <c r="E3" i="24"/>
  <c r="Z5" i="24" s="1"/>
  <c r="AF5" i="24" s="1"/>
  <c r="AJ13" i="24" s="1"/>
  <c r="AX5" i="24" s="1"/>
  <c r="BF5" i="24" s="1"/>
  <c r="AI33" i="24" s="1"/>
  <c r="D3" i="24"/>
  <c r="Y5" i="24"/>
  <c r="C3" i="24"/>
  <c r="X5" i="24" s="1"/>
  <c r="Z27" i="24"/>
  <c r="Z35" i="24" s="1"/>
  <c r="B60" i="24"/>
  <c r="B61" i="24"/>
  <c r="B59" i="24"/>
  <c r="D35" i="24"/>
  <c r="D39" i="24"/>
  <c r="R3" i="24" s="1"/>
  <c r="E35" i="24"/>
  <c r="E39" i="24" s="1"/>
  <c r="S3" i="24" s="1"/>
  <c r="C35" i="24"/>
  <c r="C39" i="24" s="1"/>
  <c r="Q3" i="24" s="1"/>
  <c r="BD78" i="29"/>
  <c r="BC78" i="29"/>
  <c r="BB78" i="29"/>
  <c r="BA78" i="29"/>
  <c r="AZ78" i="29"/>
  <c r="AY78" i="29"/>
  <c r="AX78" i="29"/>
  <c r="AW78" i="29"/>
  <c r="AV78" i="29"/>
  <c r="BD77" i="29"/>
  <c r="BC77" i="29"/>
  <c r="BB77" i="29"/>
  <c r="BA77" i="29"/>
  <c r="AZ77" i="29"/>
  <c r="AY77" i="29"/>
  <c r="AX77" i="29"/>
  <c r="AW77" i="29"/>
  <c r="AV77" i="29"/>
  <c r="BD76" i="29"/>
  <c r="BC76" i="29"/>
  <c r="BB76" i="29"/>
  <c r="BA76" i="29"/>
  <c r="AZ76" i="29"/>
  <c r="AY76" i="29"/>
  <c r="AX76" i="29"/>
  <c r="AW76" i="29"/>
  <c r="AV76" i="29"/>
  <c r="BD75" i="29"/>
  <c r="BC75" i="29"/>
  <c r="BB75" i="29"/>
  <c r="BA75" i="29"/>
  <c r="AZ75" i="29"/>
  <c r="AY75" i="29"/>
  <c r="AX75" i="29"/>
  <c r="AW75" i="29"/>
  <c r="AV75" i="29"/>
  <c r="AQ75" i="29"/>
  <c r="F75" i="29" s="1"/>
  <c r="AP75" i="29"/>
  <c r="AO75" i="29"/>
  <c r="E75" i="29"/>
  <c r="D75" i="29"/>
  <c r="BD74" i="29"/>
  <c r="BC74" i="29"/>
  <c r="BB74" i="29"/>
  <c r="BA74" i="29"/>
  <c r="AZ74" i="29"/>
  <c r="AY74" i="29"/>
  <c r="AX74" i="29"/>
  <c r="AW74" i="29"/>
  <c r="AV74" i="29"/>
  <c r="AQ74" i="29"/>
  <c r="F74" i="29" s="1"/>
  <c r="AP74" i="29"/>
  <c r="AO74" i="29"/>
  <c r="D74" i="29" s="1"/>
  <c r="E74" i="29"/>
  <c r="BD73" i="29"/>
  <c r="BC73" i="29"/>
  <c r="BB73" i="29"/>
  <c r="BA73" i="29"/>
  <c r="AZ73" i="29"/>
  <c r="AY73" i="29"/>
  <c r="AX73" i="29"/>
  <c r="AW73" i="29"/>
  <c r="AV73" i="29"/>
  <c r="AQ73" i="29"/>
  <c r="F73" i="29" s="1"/>
  <c r="AP73" i="29"/>
  <c r="E73" i="29" s="1"/>
  <c r="AO73" i="29"/>
  <c r="D73" i="29"/>
  <c r="BD72" i="29"/>
  <c r="BC72" i="29"/>
  <c r="BB72" i="29"/>
  <c r="BA72" i="29"/>
  <c r="AZ72" i="29"/>
  <c r="AY72" i="29"/>
  <c r="AX72" i="29"/>
  <c r="AW72" i="29"/>
  <c r="AV72" i="29"/>
  <c r="AQ72" i="29"/>
  <c r="AP72" i="29"/>
  <c r="E72" i="29" s="1"/>
  <c r="AO72" i="29"/>
  <c r="D72" i="29" s="1"/>
  <c r="F72" i="29"/>
  <c r="BD71" i="29"/>
  <c r="BC71" i="29"/>
  <c r="BB71" i="29"/>
  <c r="BA71" i="29"/>
  <c r="AZ71" i="29"/>
  <c r="AY71" i="29"/>
  <c r="AX71" i="29"/>
  <c r="AW71" i="29"/>
  <c r="AV71" i="29"/>
  <c r="B71" i="27" s="1"/>
  <c r="H71" i="27" s="1"/>
  <c r="AQ71" i="29"/>
  <c r="AP71" i="29"/>
  <c r="AO71" i="29"/>
  <c r="D71" i="29" s="1"/>
  <c r="F71" i="29"/>
  <c r="E71" i="29"/>
  <c r="BD70" i="29"/>
  <c r="BC70" i="29"/>
  <c r="BB70" i="29"/>
  <c r="BA70" i="29"/>
  <c r="AZ70" i="29"/>
  <c r="AY70" i="29"/>
  <c r="AX70" i="29"/>
  <c r="AW70" i="29"/>
  <c r="AV70" i="29"/>
  <c r="AQ70" i="29"/>
  <c r="F70" i="29" s="1"/>
  <c r="AP70" i="29"/>
  <c r="AO70" i="29"/>
  <c r="E70" i="29"/>
  <c r="D70" i="29"/>
  <c r="BD69" i="29"/>
  <c r="BC69" i="29"/>
  <c r="BB69" i="29"/>
  <c r="BA69" i="29"/>
  <c r="AZ69" i="29"/>
  <c r="AY69" i="29"/>
  <c r="AX69" i="29"/>
  <c r="AW69" i="29"/>
  <c r="AV69" i="29"/>
  <c r="AQ69" i="29"/>
  <c r="F69" i="29" s="1"/>
  <c r="AP69" i="29"/>
  <c r="E69" i="29" s="1"/>
  <c r="AO69" i="29"/>
  <c r="D69" i="29"/>
  <c r="BD68" i="29"/>
  <c r="BC68" i="29"/>
  <c r="BB68" i="29"/>
  <c r="BA68" i="29"/>
  <c r="AZ68" i="29"/>
  <c r="AY68" i="29"/>
  <c r="AX68" i="29"/>
  <c r="AW68" i="29"/>
  <c r="AV68" i="29"/>
  <c r="AQ68" i="29"/>
  <c r="F68" i="29" s="1"/>
  <c r="AP68" i="29"/>
  <c r="E68" i="29" s="1"/>
  <c r="AO68" i="29"/>
  <c r="D68" i="29" s="1"/>
  <c r="BD67" i="29"/>
  <c r="BC67" i="29"/>
  <c r="BB67" i="29"/>
  <c r="BA67" i="29"/>
  <c r="AZ67" i="29"/>
  <c r="AY67" i="29"/>
  <c r="AX67" i="29"/>
  <c r="AW67" i="29"/>
  <c r="AV67" i="29"/>
  <c r="B67" i="27" s="1"/>
  <c r="AQ67" i="29"/>
  <c r="AP67" i="29"/>
  <c r="AO67" i="29"/>
  <c r="D67" i="29" s="1"/>
  <c r="F67" i="29"/>
  <c r="E67" i="29"/>
  <c r="BD66" i="29"/>
  <c r="BC66" i="29"/>
  <c r="BB66" i="29"/>
  <c r="BA66" i="29"/>
  <c r="AZ66" i="29"/>
  <c r="AY66" i="29"/>
  <c r="AX66" i="29"/>
  <c r="AW66" i="29"/>
  <c r="AV66" i="29"/>
  <c r="AQ66" i="29"/>
  <c r="F66" i="29" s="1"/>
  <c r="AP66" i="29"/>
  <c r="AO66" i="29"/>
  <c r="D66" i="29" s="1"/>
  <c r="E66" i="29"/>
  <c r="BD65" i="29"/>
  <c r="BC65" i="29"/>
  <c r="BB65" i="29"/>
  <c r="BA65" i="29"/>
  <c r="AZ65" i="29"/>
  <c r="AY65" i="29"/>
  <c r="AX65" i="29"/>
  <c r="AW65" i="29"/>
  <c r="AV65" i="29"/>
  <c r="AQ65" i="29"/>
  <c r="F65" i="29" s="1"/>
  <c r="AP65" i="29"/>
  <c r="E65" i="29" s="1"/>
  <c r="AO65" i="29"/>
  <c r="D65" i="29"/>
  <c r="BD64" i="29"/>
  <c r="BC64" i="29"/>
  <c r="BB64" i="29"/>
  <c r="BA64" i="29"/>
  <c r="AZ64" i="29"/>
  <c r="AY64" i="29"/>
  <c r="AX64" i="29"/>
  <c r="AW64" i="29"/>
  <c r="AV64" i="29"/>
  <c r="AQ64" i="29"/>
  <c r="AP64" i="29"/>
  <c r="E64" i="29" s="1"/>
  <c r="AO64" i="29"/>
  <c r="D64" i="29" s="1"/>
  <c r="F64" i="29"/>
  <c r="BD63" i="29"/>
  <c r="BC63" i="29"/>
  <c r="BB63" i="29"/>
  <c r="BA63" i="29"/>
  <c r="AZ63" i="29"/>
  <c r="AY63" i="29"/>
  <c r="AX63" i="29"/>
  <c r="AW63" i="29"/>
  <c r="AV63" i="29"/>
  <c r="B63" i="27" s="1"/>
  <c r="AQ63" i="29"/>
  <c r="AP63" i="29"/>
  <c r="AO63" i="29"/>
  <c r="D63" i="29" s="1"/>
  <c r="F63" i="29"/>
  <c r="E63" i="29"/>
  <c r="BD62" i="29"/>
  <c r="BC62" i="29"/>
  <c r="BB62" i="29"/>
  <c r="BA62" i="29"/>
  <c r="AZ62" i="29"/>
  <c r="AY62" i="29"/>
  <c r="AX62" i="29"/>
  <c r="AW62" i="29"/>
  <c r="AV62" i="29"/>
  <c r="AQ62" i="29"/>
  <c r="F62" i="29" s="1"/>
  <c r="AP62" i="29"/>
  <c r="AO62" i="29"/>
  <c r="E62" i="29"/>
  <c r="D62" i="29"/>
  <c r="BD61" i="29"/>
  <c r="BC61" i="29"/>
  <c r="BB61" i="29"/>
  <c r="BA61" i="29"/>
  <c r="AZ61" i="29"/>
  <c r="AY61" i="29"/>
  <c r="AX61" i="29"/>
  <c r="AW61" i="29"/>
  <c r="AV61" i="29"/>
  <c r="AQ61" i="29"/>
  <c r="F61" i="29" s="1"/>
  <c r="AP61" i="29"/>
  <c r="E61" i="29" s="1"/>
  <c r="AO61" i="29"/>
  <c r="D61" i="29"/>
  <c r="BD60" i="29"/>
  <c r="BC60" i="29"/>
  <c r="BB60" i="29"/>
  <c r="BA60" i="29"/>
  <c r="AZ60" i="29"/>
  <c r="AY60" i="29"/>
  <c r="AX60" i="29"/>
  <c r="AW60" i="29"/>
  <c r="AV60" i="29"/>
  <c r="AQ60" i="29"/>
  <c r="AP60" i="29"/>
  <c r="E60" i="29" s="1"/>
  <c r="AO60" i="29"/>
  <c r="D60" i="29" s="1"/>
  <c r="F60" i="29"/>
  <c r="BD59" i="29"/>
  <c r="BC59" i="29"/>
  <c r="BB59" i="29"/>
  <c r="BA59" i="29"/>
  <c r="AZ59" i="29"/>
  <c r="AY59" i="29"/>
  <c r="AX59" i="29"/>
  <c r="AW59" i="29"/>
  <c r="AV59" i="29"/>
  <c r="B59" i="27" s="1"/>
  <c r="H59" i="27" s="1"/>
  <c r="AQ59" i="29"/>
  <c r="AP59" i="29"/>
  <c r="AO59" i="29"/>
  <c r="D59" i="29" s="1"/>
  <c r="F59" i="29"/>
  <c r="E59" i="29"/>
  <c r="BD58" i="29"/>
  <c r="BC58" i="29"/>
  <c r="BB58" i="29"/>
  <c r="BA58" i="29"/>
  <c r="AZ58" i="29"/>
  <c r="AY58" i="29"/>
  <c r="AX58" i="29"/>
  <c r="AW58" i="29"/>
  <c r="AV58" i="29"/>
  <c r="AQ58" i="29"/>
  <c r="F58" i="29" s="1"/>
  <c r="AP58" i="29"/>
  <c r="AO58" i="29"/>
  <c r="E58" i="29"/>
  <c r="D58" i="29"/>
  <c r="BD57" i="29"/>
  <c r="BC57" i="29"/>
  <c r="BB57" i="29"/>
  <c r="BA57" i="29"/>
  <c r="AZ57" i="29"/>
  <c r="AY57" i="29"/>
  <c r="AX57" i="29"/>
  <c r="AW57" i="29"/>
  <c r="AV57" i="29"/>
  <c r="AQ57" i="29"/>
  <c r="F57" i="29" s="1"/>
  <c r="AP57" i="29"/>
  <c r="E57" i="29" s="1"/>
  <c r="AO57" i="29"/>
  <c r="D57" i="29"/>
  <c r="BD56" i="29"/>
  <c r="BC56" i="29"/>
  <c r="BB56" i="29"/>
  <c r="BA56" i="29"/>
  <c r="AZ56" i="29"/>
  <c r="AY56" i="29"/>
  <c r="AX56" i="29"/>
  <c r="AW56" i="29"/>
  <c r="AV56" i="29"/>
  <c r="AQ56" i="29"/>
  <c r="AP56" i="29"/>
  <c r="E56" i="29" s="1"/>
  <c r="AO56" i="29"/>
  <c r="D56" i="29" s="1"/>
  <c r="F56" i="29"/>
  <c r="BD55" i="29"/>
  <c r="BC55" i="29"/>
  <c r="BB55" i="29"/>
  <c r="BA55" i="29"/>
  <c r="AZ55" i="29"/>
  <c r="AY55" i="29"/>
  <c r="AX55" i="29"/>
  <c r="AW55" i="29"/>
  <c r="AV55" i="29"/>
  <c r="B55" i="27" s="1"/>
  <c r="AQ55" i="29"/>
  <c r="AP55" i="29"/>
  <c r="AO55" i="29"/>
  <c r="D55" i="29" s="1"/>
  <c r="F55" i="29"/>
  <c r="E55" i="29"/>
  <c r="BD54" i="29"/>
  <c r="BC54" i="29"/>
  <c r="BB54" i="29"/>
  <c r="BA54" i="29"/>
  <c r="AZ54" i="29"/>
  <c r="AY54" i="29"/>
  <c r="AX54" i="29"/>
  <c r="AW54" i="29"/>
  <c r="AV54" i="29"/>
  <c r="AQ54" i="29"/>
  <c r="F54" i="29" s="1"/>
  <c r="AP54" i="29"/>
  <c r="AO54" i="29"/>
  <c r="D54" i="29" s="1"/>
  <c r="E54" i="29"/>
  <c r="BD53" i="29"/>
  <c r="BC53" i="29"/>
  <c r="BB53" i="29"/>
  <c r="BA53" i="29"/>
  <c r="AZ53" i="29"/>
  <c r="AY53" i="29"/>
  <c r="AX53" i="29"/>
  <c r="AW53" i="29"/>
  <c r="AV53" i="29"/>
  <c r="AQ53" i="29"/>
  <c r="F53" i="29" s="1"/>
  <c r="AP53" i="29"/>
  <c r="E53" i="29" s="1"/>
  <c r="AO53" i="29"/>
  <c r="D53" i="29"/>
  <c r="BD52" i="29"/>
  <c r="BC52" i="29"/>
  <c r="BB52" i="29"/>
  <c r="BA52" i="29"/>
  <c r="AZ52" i="29"/>
  <c r="AY52" i="29"/>
  <c r="AX52" i="29"/>
  <c r="AW52" i="29"/>
  <c r="AV52" i="29"/>
  <c r="AQ52" i="29"/>
  <c r="AP52" i="29"/>
  <c r="E52" i="29" s="1"/>
  <c r="AO52" i="29"/>
  <c r="D52" i="29" s="1"/>
  <c r="F52" i="29"/>
  <c r="BD51" i="29"/>
  <c r="BC51" i="29"/>
  <c r="BB51" i="29"/>
  <c r="BA51" i="29"/>
  <c r="AZ51" i="29"/>
  <c r="AY51" i="29"/>
  <c r="AX51" i="29"/>
  <c r="AW51" i="29"/>
  <c r="AV51" i="29"/>
  <c r="B51" i="27" s="1"/>
  <c r="AQ51" i="29"/>
  <c r="AP51" i="29"/>
  <c r="AO51" i="29"/>
  <c r="D51" i="29" s="1"/>
  <c r="F51" i="29"/>
  <c r="E51" i="29"/>
  <c r="BD50" i="29"/>
  <c r="BC50" i="29"/>
  <c r="BB50" i="29"/>
  <c r="BA50" i="29"/>
  <c r="AZ50" i="29"/>
  <c r="AY50" i="29"/>
  <c r="AX50" i="29"/>
  <c r="AW50" i="29"/>
  <c r="AV50" i="29"/>
  <c r="AQ50" i="29"/>
  <c r="F50" i="29" s="1"/>
  <c r="AP50" i="29"/>
  <c r="AO50" i="29"/>
  <c r="E50" i="29"/>
  <c r="D50" i="29"/>
  <c r="BD49" i="29"/>
  <c r="BC49" i="29"/>
  <c r="BB49" i="29"/>
  <c r="BA49" i="29"/>
  <c r="AZ49" i="29"/>
  <c r="AY49" i="29"/>
  <c r="AX49" i="29"/>
  <c r="AW49" i="29"/>
  <c r="AV49" i="29"/>
  <c r="AQ49" i="29"/>
  <c r="F49" i="29" s="1"/>
  <c r="AP49" i="29"/>
  <c r="E49" i="29" s="1"/>
  <c r="AO49" i="29"/>
  <c r="D49" i="29"/>
  <c r="BD48" i="29"/>
  <c r="BC48" i="29"/>
  <c r="BB48" i="29"/>
  <c r="BA48" i="29"/>
  <c r="AZ48" i="29"/>
  <c r="AY48" i="29"/>
  <c r="AX48" i="29"/>
  <c r="AW48" i="29"/>
  <c r="AV48" i="29"/>
  <c r="AQ48" i="29"/>
  <c r="AP48" i="29"/>
  <c r="E48" i="29" s="1"/>
  <c r="AO48" i="29"/>
  <c r="D48" i="29" s="1"/>
  <c r="F48" i="29"/>
  <c r="BD47" i="29"/>
  <c r="BC47" i="29"/>
  <c r="BB47" i="29"/>
  <c r="BA47" i="29"/>
  <c r="AZ47" i="29"/>
  <c r="AY47" i="29"/>
  <c r="AX47" i="29"/>
  <c r="AW47" i="29"/>
  <c r="AV47" i="29"/>
  <c r="B47" i="27" s="1"/>
  <c r="AQ47" i="29"/>
  <c r="AP47" i="29"/>
  <c r="AO47" i="29"/>
  <c r="D47" i="29" s="1"/>
  <c r="F47" i="29"/>
  <c r="E47" i="29"/>
  <c r="BD46" i="29"/>
  <c r="BC46" i="29"/>
  <c r="BB46" i="29"/>
  <c r="BA46" i="29"/>
  <c r="AZ46" i="29"/>
  <c r="AY46" i="29"/>
  <c r="BS47" i="28" s="1"/>
  <c r="BV47" i="28" s="1"/>
  <c r="AX46" i="29"/>
  <c r="AW46" i="29"/>
  <c r="AV46" i="29"/>
  <c r="AQ46" i="29"/>
  <c r="F46" i="29" s="1"/>
  <c r="AP46" i="29"/>
  <c r="AO46" i="29"/>
  <c r="D46" i="29" s="1"/>
  <c r="E46" i="29"/>
  <c r="BD45" i="29"/>
  <c r="BC45" i="29"/>
  <c r="BB45" i="29"/>
  <c r="BA45" i="29"/>
  <c r="AZ45" i="29"/>
  <c r="AY45" i="29"/>
  <c r="AX45" i="29"/>
  <c r="AW45" i="29"/>
  <c r="AV45" i="29"/>
  <c r="AQ45" i="29"/>
  <c r="F45" i="29" s="1"/>
  <c r="AP45" i="29"/>
  <c r="E45" i="29" s="1"/>
  <c r="AO45" i="29"/>
  <c r="D45" i="29"/>
  <c r="BD44" i="29"/>
  <c r="BC44" i="29"/>
  <c r="BB44" i="29"/>
  <c r="BA44" i="29"/>
  <c r="AZ44" i="29"/>
  <c r="AY44" i="29"/>
  <c r="AX44" i="29"/>
  <c r="AW44" i="29"/>
  <c r="BQ45" i="28" s="1"/>
  <c r="BV45" i="28" s="1"/>
  <c r="AV44" i="29"/>
  <c r="AQ44" i="29"/>
  <c r="F44" i="29" s="1"/>
  <c r="AP44" i="29"/>
  <c r="E44" i="29" s="1"/>
  <c r="AO44" i="29"/>
  <c r="D44" i="29" s="1"/>
  <c r="BD43" i="29"/>
  <c r="BC43" i="29"/>
  <c r="BB43" i="29"/>
  <c r="BA43" i="29"/>
  <c r="AZ43" i="29"/>
  <c r="AY43" i="29"/>
  <c r="AX43" i="29"/>
  <c r="AW43" i="29"/>
  <c r="AV43" i="29"/>
  <c r="B43" i="27" s="1"/>
  <c r="AQ43" i="29"/>
  <c r="AP43" i="29"/>
  <c r="AO43" i="29"/>
  <c r="D43" i="29" s="1"/>
  <c r="F43" i="29"/>
  <c r="E43" i="29"/>
  <c r="BD42" i="29"/>
  <c r="BC42" i="29"/>
  <c r="BB42" i="29"/>
  <c r="BA42" i="29"/>
  <c r="AZ42" i="29"/>
  <c r="AY42" i="29"/>
  <c r="AX42" i="29"/>
  <c r="AW42" i="29"/>
  <c r="AV42" i="29"/>
  <c r="AQ42" i="29"/>
  <c r="F42" i="29" s="1"/>
  <c r="AP42" i="29"/>
  <c r="AO42" i="29"/>
  <c r="E42" i="29"/>
  <c r="D42" i="29"/>
  <c r="BD41" i="29"/>
  <c r="BC41" i="29"/>
  <c r="BB41" i="29"/>
  <c r="BA41" i="29"/>
  <c r="AZ41" i="29"/>
  <c r="AY41" i="29"/>
  <c r="AX41" i="29"/>
  <c r="AW41" i="29"/>
  <c r="AV41" i="29"/>
  <c r="AQ41" i="29"/>
  <c r="F41" i="29" s="1"/>
  <c r="AP41" i="29"/>
  <c r="E41" i="29" s="1"/>
  <c r="AO41" i="29"/>
  <c r="D41" i="29"/>
  <c r="BD40" i="29"/>
  <c r="BC40" i="29"/>
  <c r="BB40" i="29"/>
  <c r="BA40" i="29"/>
  <c r="AZ40" i="29"/>
  <c r="AY40" i="29"/>
  <c r="AX40" i="29"/>
  <c r="AW40" i="29"/>
  <c r="AV40" i="29"/>
  <c r="AQ40" i="29"/>
  <c r="F40" i="29" s="1"/>
  <c r="AP40" i="29"/>
  <c r="E40" i="29" s="1"/>
  <c r="AO40" i="29"/>
  <c r="D40" i="29" s="1"/>
  <c r="BD39" i="29"/>
  <c r="BC39" i="29"/>
  <c r="BB39" i="29"/>
  <c r="BA39" i="29"/>
  <c r="AZ39" i="29"/>
  <c r="AY39" i="29"/>
  <c r="AX39" i="29"/>
  <c r="AW39" i="29"/>
  <c r="AV39" i="29"/>
  <c r="BP40" i="28" s="1"/>
  <c r="BV40" i="28" s="1"/>
  <c r="AQ39" i="29"/>
  <c r="AP39" i="29"/>
  <c r="AO39" i="29"/>
  <c r="D39" i="29" s="1"/>
  <c r="F39" i="29"/>
  <c r="E39" i="29"/>
  <c r="BD38" i="29"/>
  <c r="BC38" i="29"/>
  <c r="BB38" i="29"/>
  <c r="BA38" i="29"/>
  <c r="AZ38" i="29"/>
  <c r="AY38" i="29"/>
  <c r="BS39" i="28" s="1"/>
  <c r="BV39" i="28" s="1"/>
  <c r="AX38" i="29"/>
  <c r="AW38" i="29"/>
  <c r="AV38" i="29"/>
  <c r="AQ38" i="29"/>
  <c r="F38" i="29" s="1"/>
  <c r="AP38" i="29"/>
  <c r="AO38" i="29"/>
  <c r="D38" i="29" s="1"/>
  <c r="E38" i="29"/>
  <c r="BD37" i="29"/>
  <c r="BC37" i="29"/>
  <c r="BB37" i="29"/>
  <c r="BA37" i="29"/>
  <c r="AZ37" i="29"/>
  <c r="AY37" i="29"/>
  <c r="AX37" i="29"/>
  <c r="AW37" i="29"/>
  <c r="AV37" i="29"/>
  <c r="AQ37" i="29"/>
  <c r="F37" i="29" s="1"/>
  <c r="AP37" i="29"/>
  <c r="E37" i="29" s="1"/>
  <c r="AO37" i="29"/>
  <c r="D37" i="29"/>
  <c r="BD36" i="29"/>
  <c r="BC36" i="29"/>
  <c r="BB36" i="29"/>
  <c r="BA36" i="29"/>
  <c r="AZ36" i="29"/>
  <c r="AY36" i="29"/>
  <c r="AX36" i="29"/>
  <c r="AW36" i="29"/>
  <c r="BQ37" i="28" s="1"/>
  <c r="AV36" i="29"/>
  <c r="AQ36" i="29"/>
  <c r="AP36" i="29"/>
  <c r="E36" i="29" s="1"/>
  <c r="AO36" i="29"/>
  <c r="D36" i="29" s="1"/>
  <c r="F36" i="29"/>
  <c r="BD35" i="29"/>
  <c r="BC35" i="29"/>
  <c r="BB35" i="29"/>
  <c r="BA35" i="29"/>
  <c r="AZ35" i="29"/>
  <c r="AY35" i="29"/>
  <c r="AX35" i="29"/>
  <c r="AW35" i="29"/>
  <c r="AV35" i="29"/>
  <c r="B35" i="27" s="1"/>
  <c r="AQ35" i="29"/>
  <c r="AP35" i="29"/>
  <c r="AO35" i="29"/>
  <c r="D35" i="29" s="1"/>
  <c r="F35" i="29"/>
  <c r="E35" i="29"/>
  <c r="BD34" i="29"/>
  <c r="BC34" i="29"/>
  <c r="BB34" i="29"/>
  <c r="BA34" i="29"/>
  <c r="AZ34" i="29"/>
  <c r="AY34" i="29"/>
  <c r="AX34" i="29"/>
  <c r="AW34" i="29"/>
  <c r="AV34" i="29"/>
  <c r="AQ34" i="29"/>
  <c r="F34" i="29" s="1"/>
  <c r="AP34" i="29"/>
  <c r="AO34" i="29"/>
  <c r="E34" i="29"/>
  <c r="D34" i="29"/>
  <c r="BD33" i="29"/>
  <c r="BC33" i="29"/>
  <c r="BB33" i="29"/>
  <c r="BA33" i="29"/>
  <c r="AZ33" i="29"/>
  <c r="AY33" i="29"/>
  <c r="AX33" i="29"/>
  <c r="AW33" i="29"/>
  <c r="AV33" i="29"/>
  <c r="AQ33" i="29"/>
  <c r="F33" i="29" s="1"/>
  <c r="AP33" i="29"/>
  <c r="E33" i="29" s="1"/>
  <c r="AO33" i="29"/>
  <c r="D33" i="29"/>
  <c r="BD32" i="29"/>
  <c r="BC32" i="29"/>
  <c r="BB32" i="29"/>
  <c r="BA32" i="29"/>
  <c r="AZ32" i="29"/>
  <c r="AY32" i="29"/>
  <c r="AX32" i="29"/>
  <c r="AW32" i="29"/>
  <c r="AV32" i="29"/>
  <c r="AQ32" i="29"/>
  <c r="F32" i="29" s="1"/>
  <c r="AP32" i="29"/>
  <c r="E32" i="29" s="1"/>
  <c r="AO32" i="29"/>
  <c r="D32" i="29" s="1"/>
  <c r="BD31" i="29"/>
  <c r="BC31" i="29"/>
  <c r="BB31" i="29"/>
  <c r="BA31" i="29"/>
  <c r="AZ31" i="29"/>
  <c r="AY31" i="29"/>
  <c r="AX31" i="29"/>
  <c r="AW31" i="29"/>
  <c r="AV31" i="29"/>
  <c r="BP32" i="28" s="1"/>
  <c r="AQ31" i="29"/>
  <c r="AP31" i="29"/>
  <c r="E31" i="29" s="1"/>
  <c r="AO31" i="29"/>
  <c r="D31" i="29" s="1"/>
  <c r="F31" i="29"/>
  <c r="BD30" i="29"/>
  <c r="BC30" i="29"/>
  <c r="BB30" i="29"/>
  <c r="BA30" i="29"/>
  <c r="AZ30" i="29"/>
  <c r="AY30" i="29"/>
  <c r="BS31" i="28" s="1"/>
  <c r="AX30" i="29"/>
  <c r="AW30" i="29"/>
  <c r="AV30" i="29"/>
  <c r="AQ30" i="29"/>
  <c r="F30" i="29" s="1"/>
  <c r="AP30" i="29"/>
  <c r="AO30" i="29"/>
  <c r="D30" i="29" s="1"/>
  <c r="E30" i="29"/>
  <c r="BD29" i="29"/>
  <c r="BC29" i="29"/>
  <c r="BB29" i="29"/>
  <c r="BA29" i="29"/>
  <c r="AZ29" i="29"/>
  <c r="AY29" i="29"/>
  <c r="AX29" i="29"/>
  <c r="AW29" i="29"/>
  <c r="AV29" i="29"/>
  <c r="AQ29" i="29"/>
  <c r="F29" i="29" s="1"/>
  <c r="AP29" i="29"/>
  <c r="E29" i="29" s="1"/>
  <c r="AO29" i="29"/>
  <c r="D29" i="29"/>
  <c r="BD28" i="29"/>
  <c r="BC28" i="29"/>
  <c r="BB28" i="29"/>
  <c r="BA28" i="29"/>
  <c r="AZ28" i="29"/>
  <c r="AY28" i="29"/>
  <c r="AX28" i="29"/>
  <c r="AW28" i="29"/>
  <c r="BQ29" i="28" s="1"/>
  <c r="AV28" i="29"/>
  <c r="AQ28" i="29"/>
  <c r="F28" i="29" s="1"/>
  <c r="AP28" i="29"/>
  <c r="E28" i="29" s="1"/>
  <c r="AO28" i="29"/>
  <c r="D28" i="29" s="1"/>
  <c r="BD27" i="29"/>
  <c r="BC27" i="29"/>
  <c r="BB27" i="29"/>
  <c r="BA27" i="29"/>
  <c r="AZ27" i="29"/>
  <c r="AY27" i="29"/>
  <c r="AX27" i="29"/>
  <c r="AW27" i="29"/>
  <c r="AV27" i="29"/>
  <c r="B27" i="27" s="1"/>
  <c r="AQ27" i="29"/>
  <c r="AP27" i="29"/>
  <c r="AO27" i="29"/>
  <c r="D27" i="29" s="1"/>
  <c r="F27" i="29"/>
  <c r="E27" i="29"/>
  <c r="BD26" i="29"/>
  <c r="BC26" i="29"/>
  <c r="BB26" i="29"/>
  <c r="BA26" i="29"/>
  <c r="AZ26" i="29"/>
  <c r="AY26" i="29"/>
  <c r="E26" i="27" s="1"/>
  <c r="AX26" i="29"/>
  <c r="AW26" i="29"/>
  <c r="AV26" i="29"/>
  <c r="AQ26" i="29"/>
  <c r="F26" i="29" s="1"/>
  <c r="AP26" i="29"/>
  <c r="AO26" i="29"/>
  <c r="D26" i="29" s="1"/>
  <c r="E26" i="29"/>
  <c r="BD25" i="29"/>
  <c r="BC25" i="29"/>
  <c r="BB25" i="29"/>
  <c r="BA25" i="29"/>
  <c r="AZ25" i="29"/>
  <c r="AY25" i="29"/>
  <c r="AX25" i="29"/>
  <c r="D25" i="27" s="1"/>
  <c r="H25" i="27" s="1"/>
  <c r="AW25" i="29"/>
  <c r="AV25" i="29"/>
  <c r="AQ25" i="29"/>
  <c r="F25" i="29" s="1"/>
  <c r="AP25" i="29"/>
  <c r="E25" i="29" s="1"/>
  <c r="AO25" i="29"/>
  <c r="D25" i="29"/>
  <c r="BD24" i="29"/>
  <c r="BC24" i="29"/>
  <c r="BB24" i="29"/>
  <c r="BA24" i="29"/>
  <c r="AZ24" i="29"/>
  <c r="AY24" i="29"/>
  <c r="AX24" i="29"/>
  <c r="AW24" i="29"/>
  <c r="C24" i="27" s="1"/>
  <c r="AV24" i="29"/>
  <c r="AQ24" i="29"/>
  <c r="F24" i="29" s="1"/>
  <c r="AP24" i="29"/>
  <c r="E24" i="29" s="1"/>
  <c r="AO24" i="29"/>
  <c r="D24" i="29" s="1"/>
  <c r="BD23" i="29"/>
  <c r="BC23" i="29"/>
  <c r="BB23" i="29"/>
  <c r="BA23" i="29"/>
  <c r="AZ23" i="29"/>
  <c r="AY23" i="29"/>
  <c r="AX23" i="29"/>
  <c r="AW23" i="29"/>
  <c r="AV23" i="29"/>
  <c r="B23" i="27" s="1"/>
  <c r="AQ23" i="29"/>
  <c r="AP23" i="29"/>
  <c r="AO23" i="29"/>
  <c r="D23" i="29" s="1"/>
  <c r="F23" i="29"/>
  <c r="E23" i="29"/>
  <c r="BD22" i="29"/>
  <c r="BC22" i="29"/>
  <c r="G22" i="27" s="1"/>
  <c r="BB22" i="29"/>
  <c r="BA22" i="29"/>
  <c r="AZ22" i="29"/>
  <c r="AY22" i="29"/>
  <c r="E22" i="27" s="1"/>
  <c r="AX22" i="29"/>
  <c r="AW22" i="29"/>
  <c r="AV22" i="29"/>
  <c r="AQ22" i="29"/>
  <c r="F22" i="29" s="1"/>
  <c r="AP22" i="29"/>
  <c r="AO22" i="29"/>
  <c r="E22" i="29"/>
  <c r="D22" i="29"/>
  <c r="BD21" i="29"/>
  <c r="BC21" i="29"/>
  <c r="BB21" i="29"/>
  <c r="BA21" i="29"/>
  <c r="AZ21" i="29"/>
  <c r="AY21" i="29"/>
  <c r="AX21" i="29"/>
  <c r="D21" i="27" s="1"/>
  <c r="AW21" i="29"/>
  <c r="AV21" i="29"/>
  <c r="AQ21" i="29"/>
  <c r="F21" i="29" s="1"/>
  <c r="AP21" i="29"/>
  <c r="E21" i="29" s="1"/>
  <c r="AO21" i="29"/>
  <c r="D21" i="29"/>
  <c r="BD20" i="29"/>
  <c r="BC20" i="29"/>
  <c r="BB20" i="29"/>
  <c r="BA20" i="29"/>
  <c r="AZ20" i="29"/>
  <c r="AY20" i="29"/>
  <c r="AX20" i="29"/>
  <c r="AW20" i="29"/>
  <c r="BQ21" i="28" s="1"/>
  <c r="AV20" i="29"/>
  <c r="AQ20" i="29"/>
  <c r="AP20" i="29"/>
  <c r="E20" i="29" s="1"/>
  <c r="AO20" i="29"/>
  <c r="D20" i="29" s="1"/>
  <c r="F20" i="29"/>
  <c r="BD19" i="29"/>
  <c r="BC19" i="29"/>
  <c r="BB19" i="29"/>
  <c r="BA19" i="29"/>
  <c r="AZ19" i="29"/>
  <c r="AY19" i="29"/>
  <c r="AX19" i="29"/>
  <c r="AW19" i="29"/>
  <c r="AV19" i="29"/>
  <c r="AQ19" i="29"/>
  <c r="AP19" i="29"/>
  <c r="AO19" i="29"/>
  <c r="D19" i="29" s="1"/>
  <c r="F19" i="29"/>
  <c r="E19" i="29"/>
  <c r="BD18" i="29"/>
  <c r="BC18" i="29"/>
  <c r="G18" i="27" s="1"/>
  <c r="BB18" i="29"/>
  <c r="BA18" i="29"/>
  <c r="AZ18" i="29"/>
  <c r="AY18" i="29"/>
  <c r="E18" i="27" s="1"/>
  <c r="AX18" i="29"/>
  <c r="AW18" i="29"/>
  <c r="AV18" i="29"/>
  <c r="AQ18" i="29"/>
  <c r="F18" i="29" s="1"/>
  <c r="AP18" i="29"/>
  <c r="AO18" i="29"/>
  <c r="D18" i="29" s="1"/>
  <c r="E18" i="29"/>
  <c r="BD17" i="29"/>
  <c r="BC17" i="29"/>
  <c r="BB17" i="29"/>
  <c r="BA17" i="29"/>
  <c r="AZ17" i="29"/>
  <c r="AY17" i="29"/>
  <c r="AX17" i="29"/>
  <c r="D17" i="27" s="1"/>
  <c r="AW17" i="29"/>
  <c r="AV17" i="29"/>
  <c r="AQ17" i="29"/>
  <c r="F17" i="29" s="1"/>
  <c r="AP17" i="29"/>
  <c r="E17" i="29" s="1"/>
  <c r="AO17" i="29"/>
  <c r="D17" i="29"/>
  <c r="BD16" i="29"/>
  <c r="BC16" i="29"/>
  <c r="BB16" i="29"/>
  <c r="BA16" i="29"/>
  <c r="AZ16" i="29"/>
  <c r="AY16" i="29"/>
  <c r="AX16" i="29"/>
  <c r="AW16" i="29"/>
  <c r="AV16" i="29"/>
  <c r="AQ16" i="29"/>
  <c r="AP16" i="29"/>
  <c r="E16" i="29" s="1"/>
  <c r="AO16" i="29"/>
  <c r="D16" i="29" s="1"/>
  <c r="F16" i="29"/>
  <c r="BD15" i="29"/>
  <c r="BC15" i="29"/>
  <c r="BB15" i="29"/>
  <c r="BA15" i="29"/>
  <c r="AZ15" i="29"/>
  <c r="AY15" i="29"/>
  <c r="AX15" i="29"/>
  <c r="AW15" i="29"/>
  <c r="AV15" i="29"/>
  <c r="BP16" i="28" s="1"/>
  <c r="AQ15" i="29"/>
  <c r="AP15" i="29"/>
  <c r="AO15" i="29"/>
  <c r="D15" i="29" s="1"/>
  <c r="F15" i="29"/>
  <c r="E15" i="29"/>
  <c r="BD14" i="29"/>
  <c r="BC14" i="29"/>
  <c r="G14" i="27" s="1"/>
  <c r="BB14" i="29"/>
  <c r="BA14" i="29"/>
  <c r="AZ14" i="29"/>
  <c r="AY14" i="29"/>
  <c r="E14" i="27" s="1"/>
  <c r="AX14" i="29"/>
  <c r="AW14" i="29"/>
  <c r="AV14" i="29"/>
  <c r="AQ14" i="29"/>
  <c r="F14" i="29" s="1"/>
  <c r="AP14" i="29"/>
  <c r="AO14" i="29"/>
  <c r="D14" i="29" s="1"/>
  <c r="E14" i="29"/>
  <c r="BD13" i="29"/>
  <c r="BC13" i="29"/>
  <c r="BB13" i="29"/>
  <c r="BA13" i="29"/>
  <c r="AZ13" i="29"/>
  <c r="AY13" i="29"/>
  <c r="AX13" i="29"/>
  <c r="D13" i="27" s="1"/>
  <c r="AW13" i="29"/>
  <c r="AV13" i="29"/>
  <c r="AQ13" i="29"/>
  <c r="F13" i="29" s="1"/>
  <c r="AP13" i="29"/>
  <c r="E13" i="29" s="1"/>
  <c r="AO13" i="29"/>
  <c r="D13" i="29"/>
  <c r="BD12" i="29"/>
  <c r="BC12" i="29"/>
  <c r="BB12" i="29"/>
  <c r="BA12" i="29"/>
  <c r="AZ12" i="29"/>
  <c r="AY12" i="29"/>
  <c r="AX12" i="29"/>
  <c r="AW12" i="29"/>
  <c r="BQ13" i="28" s="1"/>
  <c r="AV12" i="29"/>
  <c r="AQ12" i="29"/>
  <c r="F12" i="29" s="1"/>
  <c r="AP12" i="29"/>
  <c r="E12" i="29" s="1"/>
  <c r="AO12" i="29"/>
  <c r="D12" i="29" s="1"/>
  <c r="BD11" i="29"/>
  <c r="BC11" i="29"/>
  <c r="BB11" i="29"/>
  <c r="BA11" i="29"/>
  <c r="AZ11" i="29"/>
  <c r="AY11" i="29"/>
  <c r="AX11" i="29"/>
  <c r="AW11" i="29"/>
  <c r="AV11" i="29"/>
  <c r="AQ11" i="29"/>
  <c r="AP11" i="29"/>
  <c r="AO11" i="29"/>
  <c r="D11" i="29" s="1"/>
  <c r="F11" i="29"/>
  <c r="E11" i="29"/>
  <c r="BD10" i="29"/>
  <c r="BC10" i="29"/>
  <c r="G10" i="27" s="1"/>
  <c r="BB10" i="29"/>
  <c r="BA10" i="29"/>
  <c r="AZ10" i="29"/>
  <c r="AY10" i="29"/>
  <c r="E10" i="27" s="1"/>
  <c r="AX10" i="29"/>
  <c r="AW10" i="29"/>
  <c r="AV10" i="29"/>
  <c r="AQ10" i="29"/>
  <c r="F10" i="29" s="1"/>
  <c r="AP10" i="29"/>
  <c r="AO10" i="29"/>
  <c r="E10" i="29"/>
  <c r="D10" i="29"/>
  <c r="BD9" i="29"/>
  <c r="BC9" i="29"/>
  <c r="BB9" i="29"/>
  <c r="BA9" i="29"/>
  <c r="AZ9" i="29"/>
  <c r="AY9" i="29"/>
  <c r="AX9" i="29"/>
  <c r="D9" i="27" s="1"/>
  <c r="AW9" i="29"/>
  <c r="AV9" i="29"/>
  <c r="AQ9" i="29"/>
  <c r="F9" i="29" s="1"/>
  <c r="AP9" i="29"/>
  <c r="E9" i="29" s="1"/>
  <c r="AO9" i="29"/>
  <c r="D9" i="29"/>
  <c r="BD8" i="29"/>
  <c r="BC8" i="29"/>
  <c r="BB8" i="29"/>
  <c r="BA8" i="29"/>
  <c r="AZ8" i="29"/>
  <c r="AY8" i="29"/>
  <c r="AX8" i="29"/>
  <c r="AW8" i="29"/>
  <c r="AV8" i="29"/>
  <c r="AQ8" i="29"/>
  <c r="AP8" i="29"/>
  <c r="E8" i="29" s="1"/>
  <c r="AO8" i="29"/>
  <c r="D8" i="29" s="1"/>
  <c r="F8" i="29"/>
  <c r="BD7" i="29"/>
  <c r="BC7" i="29"/>
  <c r="BB7" i="29"/>
  <c r="BA7" i="29"/>
  <c r="AZ7" i="29"/>
  <c r="AY7" i="29"/>
  <c r="AX7" i="29"/>
  <c r="AW7" i="29"/>
  <c r="AV7" i="29"/>
  <c r="BP8" i="28" s="1"/>
  <c r="BV8" i="28" s="1"/>
  <c r="AQ7" i="29"/>
  <c r="AP7" i="29"/>
  <c r="AO7" i="29"/>
  <c r="D7" i="29" s="1"/>
  <c r="F7" i="29"/>
  <c r="E7" i="29"/>
  <c r="BD6" i="29"/>
  <c r="BC6" i="29"/>
  <c r="G6" i="27" s="1"/>
  <c r="BB6" i="29"/>
  <c r="BA6" i="29"/>
  <c r="AZ6" i="29"/>
  <c r="AY6" i="29"/>
  <c r="E6" i="27" s="1"/>
  <c r="AX6" i="29"/>
  <c r="AW6" i="29"/>
  <c r="AV6" i="29"/>
  <c r="AQ6" i="29"/>
  <c r="F6" i="29" s="1"/>
  <c r="AP6" i="29"/>
  <c r="AO6" i="29"/>
  <c r="E6" i="29"/>
  <c r="D6" i="29"/>
  <c r="BD5" i="29"/>
  <c r="BC5" i="29"/>
  <c r="BB5" i="29"/>
  <c r="BA5" i="29"/>
  <c r="AZ5" i="29"/>
  <c r="AY5" i="29"/>
  <c r="AX5" i="29"/>
  <c r="D5" i="27" s="1"/>
  <c r="AW5" i="29"/>
  <c r="AV5" i="29"/>
  <c r="AQ5" i="29"/>
  <c r="F5" i="29" s="1"/>
  <c r="AP5" i="29"/>
  <c r="E5" i="29" s="1"/>
  <c r="AO5" i="29"/>
  <c r="D5" i="29"/>
  <c r="BD4" i="29"/>
  <c r="BC4" i="29"/>
  <c r="BB4" i="29"/>
  <c r="BA4" i="29"/>
  <c r="AZ4" i="29"/>
  <c r="AY4" i="29"/>
  <c r="AX4" i="29"/>
  <c r="AW4" i="29"/>
  <c r="BQ5" i="28" s="1"/>
  <c r="BV5" i="28" s="1"/>
  <c r="AV4" i="29"/>
  <c r="AQ4" i="29"/>
  <c r="F4" i="29" s="1"/>
  <c r="AP4" i="29"/>
  <c r="E4" i="29" s="1"/>
  <c r="AO4" i="29"/>
  <c r="D4" i="29" s="1"/>
  <c r="BD3" i="29"/>
  <c r="BC3" i="29"/>
  <c r="BB3" i="29"/>
  <c r="BA3" i="29"/>
  <c r="AZ3" i="29"/>
  <c r="AY3" i="29"/>
  <c r="AX3" i="29"/>
  <c r="AW3" i="29"/>
  <c r="AV3" i="29"/>
  <c r="AQ3" i="29"/>
  <c r="AP3" i="29"/>
  <c r="AO3" i="29"/>
  <c r="D3" i="29" s="1"/>
  <c r="F3" i="29"/>
  <c r="E3" i="29"/>
  <c r="BN55" i="28"/>
  <c r="BA55" i="28"/>
  <c r="AK55" i="28"/>
  <c r="AJ55" i="28"/>
  <c r="C55" i="28"/>
  <c r="D55" i="28"/>
  <c r="L55" i="28"/>
  <c r="Z55" i="28"/>
  <c r="Y55" i="28"/>
  <c r="AF55" i="28"/>
  <c r="BN54" i="28"/>
  <c r="BA54" i="28"/>
  <c r="AK54" i="28"/>
  <c r="AJ54" i="28"/>
  <c r="C54" i="28"/>
  <c r="D54" i="28"/>
  <c r="L54" i="28"/>
  <c r="AF54" i="28" s="1"/>
  <c r="Z54" i="28"/>
  <c r="Y54" i="28"/>
  <c r="BN53" i="28"/>
  <c r="BA53" i="28"/>
  <c r="AK53" i="28"/>
  <c r="AJ53" i="28"/>
  <c r="C53" i="28"/>
  <c r="D53" i="28"/>
  <c r="L53" i="28"/>
  <c r="Z53" i="28"/>
  <c r="Y53" i="28"/>
  <c r="AF53" i="28"/>
  <c r="BN52" i="28"/>
  <c r="BA52" i="28"/>
  <c r="AK52" i="28"/>
  <c r="AJ52" i="28"/>
  <c r="C52" i="28"/>
  <c r="AF52" i="28" s="1"/>
  <c r="D52" i="28"/>
  <c r="L52" i="28"/>
  <c r="Z52" i="28"/>
  <c r="Y52" i="28"/>
  <c r="BN51" i="28"/>
  <c r="BA51" i="28"/>
  <c r="AK51" i="28"/>
  <c r="AJ51" i="28"/>
  <c r="C51" i="28"/>
  <c r="D51" i="28"/>
  <c r="L51" i="28"/>
  <c r="Z51" i="28"/>
  <c r="Y51" i="28"/>
  <c r="AF51" i="28"/>
  <c r="BN50" i="28"/>
  <c r="BA50" i="28"/>
  <c r="AK50" i="28"/>
  <c r="AJ50" i="28"/>
  <c r="C50" i="28"/>
  <c r="AF50" i="28" s="1"/>
  <c r="D50" i="28"/>
  <c r="L50" i="28"/>
  <c r="Z50" i="28"/>
  <c r="Y50" i="28"/>
  <c r="BN49" i="28"/>
  <c r="BA49" i="28"/>
  <c r="AK49" i="28"/>
  <c r="AJ49" i="28"/>
  <c r="C49" i="28"/>
  <c r="AF49" i="28" s="1"/>
  <c r="D49" i="28"/>
  <c r="L49" i="28"/>
  <c r="Z49" i="28"/>
  <c r="Y49" i="28"/>
  <c r="BN48" i="28"/>
  <c r="BA48" i="28"/>
  <c r="AK48" i="28"/>
  <c r="AJ48" i="28"/>
  <c r="C48" i="28"/>
  <c r="AF48" i="28" s="1"/>
  <c r="D48" i="28"/>
  <c r="L48" i="28"/>
  <c r="Z48" i="28"/>
  <c r="Y48" i="28"/>
  <c r="BP47" i="28"/>
  <c r="BQ47" i="28"/>
  <c r="BR47" i="28"/>
  <c r="BU47" i="28"/>
  <c r="BT47" i="28"/>
  <c r="BP46" i="28"/>
  <c r="BQ46" i="28"/>
  <c r="BV46" i="28" s="1"/>
  <c r="BR46" i="28"/>
  <c r="BS46" i="28"/>
  <c r="BU46" i="28"/>
  <c r="BT46" i="28"/>
  <c r="BP45" i="28"/>
  <c r="BR45" i="28"/>
  <c r="BS45" i="28"/>
  <c r="BU45" i="28"/>
  <c r="BT45" i="28"/>
  <c r="BP44" i="28"/>
  <c r="BQ44" i="28"/>
  <c r="BR44" i="28"/>
  <c r="BS44" i="28"/>
  <c r="BV44" i="28" s="1"/>
  <c r="BU44" i="28"/>
  <c r="BT44" i="28"/>
  <c r="BN44" i="28"/>
  <c r="BA44" i="28"/>
  <c r="AK44" i="28"/>
  <c r="AJ44" i="28"/>
  <c r="C44" i="28"/>
  <c r="AF44" i="28" s="1"/>
  <c r="D44" i="28"/>
  <c r="L44" i="28"/>
  <c r="Z44" i="28"/>
  <c r="Y44" i="28"/>
  <c r="BP43" i="28"/>
  <c r="BQ43" i="28"/>
  <c r="BR43" i="28"/>
  <c r="BV43" i="28" s="1"/>
  <c r="BS43" i="28"/>
  <c r="BU43" i="28"/>
  <c r="BT43" i="28"/>
  <c r="BP42" i="28"/>
  <c r="BQ42" i="28"/>
  <c r="BR42" i="28"/>
  <c r="BS42" i="28"/>
  <c r="BV42" i="28" s="1"/>
  <c r="BU42" i="28"/>
  <c r="BT42" i="28"/>
  <c r="BP41" i="28"/>
  <c r="BQ41" i="28"/>
  <c r="BR41" i="28"/>
  <c r="BS41" i="28"/>
  <c r="BV41" i="28"/>
  <c r="BU41" i="28"/>
  <c r="BT41" i="28"/>
  <c r="BQ40" i="28"/>
  <c r="BR40" i="28"/>
  <c r="BS40" i="28"/>
  <c r="BU40" i="28"/>
  <c r="BT40" i="28"/>
  <c r="BN40" i="28"/>
  <c r="BA40" i="28"/>
  <c r="AK40" i="28"/>
  <c r="AJ40" i="28"/>
  <c r="C40" i="28"/>
  <c r="AF40" i="28" s="1"/>
  <c r="D40" i="28"/>
  <c r="L40" i="28"/>
  <c r="Z40" i="28"/>
  <c r="Y40" i="28"/>
  <c r="BP39" i="28"/>
  <c r="BQ39" i="28"/>
  <c r="BR39" i="28"/>
  <c r="BU39" i="28"/>
  <c r="BT39" i="28"/>
  <c r="BP38" i="28"/>
  <c r="BQ38" i="28"/>
  <c r="BV38" i="28" s="1"/>
  <c r="BR38" i="28"/>
  <c r="BS38" i="28"/>
  <c r="BU38" i="28"/>
  <c r="BT38" i="28"/>
  <c r="BP37" i="28"/>
  <c r="BR37" i="28"/>
  <c r="BS37" i="28"/>
  <c r="BU37" i="28"/>
  <c r="BT37" i="28"/>
  <c r="BP36" i="28"/>
  <c r="BQ36" i="28"/>
  <c r="BR36" i="28"/>
  <c r="BS36" i="28"/>
  <c r="BV36" i="28" s="1"/>
  <c r="BU36" i="28"/>
  <c r="BT36" i="28"/>
  <c r="BN36" i="28"/>
  <c r="BA36" i="28"/>
  <c r="AK36" i="28"/>
  <c r="AJ36" i="28"/>
  <c r="C36" i="28"/>
  <c r="D36" i="28"/>
  <c r="L36" i="28"/>
  <c r="Z36" i="28"/>
  <c r="Y36" i="28"/>
  <c r="BP35" i="28"/>
  <c r="BQ35" i="28"/>
  <c r="BR35" i="28"/>
  <c r="BV35" i="28" s="1"/>
  <c r="BS35" i="28"/>
  <c r="BU35" i="28"/>
  <c r="BT35" i="28"/>
  <c r="BP34" i="28"/>
  <c r="BQ34" i="28"/>
  <c r="BR34" i="28"/>
  <c r="BS34" i="28"/>
  <c r="BV34" i="28" s="1"/>
  <c r="BU34" i="28"/>
  <c r="BT34" i="28"/>
  <c r="BP33" i="28"/>
  <c r="BQ33" i="28"/>
  <c r="BR33" i="28"/>
  <c r="BS33" i="28"/>
  <c r="BV33" i="28"/>
  <c r="BU33" i="28"/>
  <c r="BT33" i="28"/>
  <c r="BQ32" i="28"/>
  <c r="BR32" i="28"/>
  <c r="BS32" i="28"/>
  <c r="BU32" i="28"/>
  <c r="BT32" i="28"/>
  <c r="BN32" i="28"/>
  <c r="BA32" i="28"/>
  <c r="AK32" i="28"/>
  <c r="AJ32" i="28"/>
  <c r="C32" i="28"/>
  <c r="D32" i="28"/>
  <c r="L32" i="28"/>
  <c r="AF32" i="28" s="1"/>
  <c r="Z32" i="28"/>
  <c r="Y32" i="28"/>
  <c r="BP31" i="28"/>
  <c r="BQ31" i="28"/>
  <c r="BR31" i="28"/>
  <c r="BV31" i="28"/>
  <c r="BU31" i="28"/>
  <c r="BT31" i="28"/>
  <c r="BP30" i="28"/>
  <c r="BQ30" i="28"/>
  <c r="BV30" i="28" s="1"/>
  <c r="BR30" i="28"/>
  <c r="BS30" i="28"/>
  <c r="BU30" i="28"/>
  <c r="BT30" i="28"/>
  <c r="BP29" i="28"/>
  <c r="BR29" i="28"/>
  <c r="BS29" i="28"/>
  <c r="BU29" i="28"/>
  <c r="BT29" i="28"/>
  <c r="BP28" i="28"/>
  <c r="BQ28" i="28"/>
  <c r="BR28" i="28"/>
  <c r="BS28" i="28"/>
  <c r="BV28" i="28" s="1"/>
  <c r="BU28" i="28"/>
  <c r="BT28" i="28"/>
  <c r="BN28" i="28"/>
  <c r="BA28" i="28"/>
  <c r="AK28" i="28"/>
  <c r="AJ28" i="28"/>
  <c r="C28" i="28"/>
  <c r="D28" i="28"/>
  <c r="L28" i="28"/>
  <c r="Z28" i="28"/>
  <c r="Y28" i="28"/>
  <c r="BP27" i="28"/>
  <c r="BQ27" i="28"/>
  <c r="BR27" i="28"/>
  <c r="BV27" i="28" s="1"/>
  <c r="BS27" i="28"/>
  <c r="BU27" i="28"/>
  <c r="BT27" i="28"/>
  <c r="BP26" i="28"/>
  <c r="BQ26" i="28"/>
  <c r="BR26" i="28"/>
  <c r="BS26" i="28"/>
  <c r="BV26" i="28" s="1"/>
  <c r="BU26" i="28"/>
  <c r="BT26" i="28"/>
  <c r="BP25" i="28"/>
  <c r="BQ25" i="28"/>
  <c r="BR25" i="28"/>
  <c r="BS25" i="28"/>
  <c r="BV25" i="28"/>
  <c r="BU25" i="28"/>
  <c r="BT25" i="28"/>
  <c r="BQ24" i="28"/>
  <c r="BR24" i="28"/>
  <c r="BS24" i="28"/>
  <c r="BU24" i="28"/>
  <c r="BT24" i="28"/>
  <c r="BN24" i="28"/>
  <c r="BA24" i="28"/>
  <c r="AK24" i="28"/>
  <c r="AJ24" i="28"/>
  <c r="C24" i="28"/>
  <c r="D24" i="28"/>
  <c r="L24" i="28"/>
  <c r="AF24" i="28" s="1"/>
  <c r="Z24" i="28"/>
  <c r="Y24" i="28"/>
  <c r="BP23" i="28"/>
  <c r="BQ23" i="28"/>
  <c r="BR23" i="28"/>
  <c r="BU23" i="28"/>
  <c r="BT23" i="28"/>
  <c r="BP22" i="28"/>
  <c r="BQ22" i="28"/>
  <c r="BV22" i="28" s="1"/>
  <c r="BR22" i="28"/>
  <c r="BS22" i="28"/>
  <c r="BU22" i="28"/>
  <c r="BT22" i="28"/>
  <c r="BP21" i="28"/>
  <c r="BR21" i="28"/>
  <c r="BS21" i="28"/>
  <c r="BU21" i="28"/>
  <c r="BT21" i="28"/>
  <c r="BP20" i="28"/>
  <c r="BQ20" i="28"/>
  <c r="BR20" i="28"/>
  <c r="BS20" i="28"/>
  <c r="BV20" i="28" s="1"/>
  <c r="BU20" i="28"/>
  <c r="BT20" i="28"/>
  <c r="BN20" i="28"/>
  <c r="BA20" i="28"/>
  <c r="AK20" i="28"/>
  <c r="AJ20" i="28"/>
  <c r="C20" i="28"/>
  <c r="D20" i="28"/>
  <c r="L20" i="28"/>
  <c r="Z20" i="28"/>
  <c r="Y20" i="28"/>
  <c r="BP19" i="28"/>
  <c r="BQ19" i="28"/>
  <c r="BR19" i="28"/>
  <c r="BV19" i="28" s="1"/>
  <c r="BS19" i="28"/>
  <c r="BU19" i="28"/>
  <c r="BT19" i="28"/>
  <c r="BP18" i="28"/>
  <c r="BQ18" i="28"/>
  <c r="BR18" i="28"/>
  <c r="BS18" i="28"/>
  <c r="BV18" i="28" s="1"/>
  <c r="BU18" i="28"/>
  <c r="BT18" i="28"/>
  <c r="BP17" i="28"/>
  <c r="BQ17" i="28"/>
  <c r="BR17" i="28"/>
  <c r="BS17" i="28"/>
  <c r="BV17" i="28"/>
  <c r="BU17" i="28"/>
  <c r="BT17" i="28"/>
  <c r="BQ16" i="28"/>
  <c r="BR16" i="28"/>
  <c r="BS16" i="28"/>
  <c r="BU16" i="28"/>
  <c r="BT16" i="28"/>
  <c r="BN16" i="28"/>
  <c r="BA16" i="28"/>
  <c r="AK16" i="28"/>
  <c r="AJ16" i="28"/>
  <c r="C16" i="28"/>
  <c r="AF16" i="28" s="1"/>
  <c r="D16" i="28"/>
  <c r="L16" i="28"/>
  <c r="Z16" i="28"/>
  <c r="Y16" i="28"/>
  <c r="BP15" i="28"/>
  <c r="BQ15" i="28"/>
  <c r="BR15" i="28"/>
  <c r="BU15" i="28"/>
  <c r="BT15" i="28"/>
  <c r="BP14" i="28"/>
  <c r="BQ14" i="28"/>
  <c r="BV14" i="28" s="1"/>
  <c r="BR14" i="28"/>
  <c r="BS14" i="28"/>
  <c r="BU14" i="28"/>
  <c r="BT14" i="28"/>
  <c r="BP13" i="28"/>
  <c r="BR13" i="28"/>
  <c r="BS13" i="28"/>
  <c r="BU13" i="28"/>
  <c r="BT13" i="28"/>
  <c r="BP12" i="28"/>
  <c r="BQ12" i="28"/>
  <c r="BR12" i="28"/>
  <c r="BS12" i="28"/>
  <c r="BV12" i="28" s="1"/>
  <c r="BU12" i="28"/>
  <c r="BT12" i="28"/>
  <c r="BN12" i="28"/>
  <c r="BA12" i="28"/>
  <c r="AK12" i="28"/>
  <c r="AJ12" i="28"/>
  <c r="C12" i="28"/>
  <c r="D12" i="28"/>
  <c r="L12" i="28"/>
  <c r="Z12" i="28"/>
  <c r="Y12" i="28"/>
  <c r="BP11" i="28"/>
  <c r="BQ11" i="28"/>
  <c r="BR11" i="28"/>
  <c r="BV11" i="28" s="1"/>
  <c r="BS11" i="28"/>
  <c r="BU11" i="28"/>
  <c r="BT11" i="28"/>
  <c r="BP10" i="28"/>
  <c r="BQ10" i="28"/>
  <c r="BR10" i="28"/>
  <c r="BS10" i="28"/>
  <c r="BV10" i="28" s="1"/>
  <c r="BU10" i="28"/>
  <c r="BT10" i="28"/>
  <c r="BP9" i="28"/>
  <c r="BQ9" i="28"/>
  <c r="BR9" i="28"/>
  <c r="BS9" i="28"/>
  <c r="BV9" i="28"/>
  <c r="BU9" i="28"/>
  <c r="BT9" i="28"/>
  <c r="BQ8" i="28"/>
  <c r="BR8" i="28"/>
  <c r="BS8" i="28"/>
  <c r="BU8" i="28"/>
  <c r="BT8" i="28"/>
  <c r="BN8" i="28"/>
  <c r="BA8" i="28"/>
  <c r="AK8" i="28"/>
  <c r="AJ8" i="28"/>
  <c r="C8" i="28"/>
  <c r="AF8" i="28" s="1"/>
  <c r="D8" i="28"/>
  <c r="L8" i="28"/>
  <c r="Z8" i="28"/>
  <c r="Y8" i="28"/>
  <c r="BP7" i="28"/>
  <c r="BQ7" i="28"/>
  <c r="BR7" i="28"/>
  <c r="BU7" i="28"/>
  <c r="BT7" i="28"/>
  <c r="BP6" i="28"/>
  <c r="BQ6" i="28"/>
  <c r="BV6" i="28" s="1"/>
  <c r="BR6" i="28"/>
  <c r="BS6" i="28"/>
  <c r="BU6" i="28"/>
  <c r="BT6" i="28"/>
  <c r="BP5" i="28"/>
  <c r="BR5" i="28"/>
  <c r="BS5" i="28"/>
  <c r="BU5" i="28"/>
  <c r="BT5" i="28"/>
  <c r="BP4" i="28"/>
  <c r="BQ4" i="28"/>
  <c r="BR4" i="28"/>
  <c r="BS4" i="28"/>
  <c r="BV4" i="28" s="1"/>
  <c r="BU4" i="28"/>
  <c r="BT4" i="28"/>
  <c r="BN4" i="28"/>
  <c r="BA4" i="28"/>
  <c r="AK4" i="28"/>
  <c r="AJ4" i="28"/>
  <c r="C4" i="28"/>
  <c r="D4" i="28"/>
  <c r="L4" i="28"/>
  <c r="Z4" i="28"/>
  <c r="Y4" i="28"/>
  <c r="BN3" i="28"/>
  <c r="B78" i="27"/>
  <c r="H78" i="27"/>
  <c r="E78" i="27"/>
  <c r="C78" i="27"/>
  <c r="B77" i="27"/>
  <c r="H77" i="27"/>
  <c r="E77" i="27"/>
  <c r="C77" i="27"/>
  <c r="B76" i="27"/>
  <c r="H76" i="27"/>
  <c r="E76" i="27"/>
  <c r="C76" i="27"/>
  <c r="B75" i="27"/>
  <c r="H75" i="27"/>
  <c r="E75" i="27"/>
  <c r="C75" i="27"/>
  <c r="B74" i="27"/>
  <c r="C74" i="27"/>
  <c r="H74" i="27" s="1"/>
  <c r="E74" i="27"/>
  <c r="B73" i="27"/>
  <c r="C73" i="27"/>
  <c r="H73" i="27" s="1"/>
  <c r="E73" i="27"/>
  <c r="B72" i="27"/>
  <c r="C72" i="27"/>
  <c r="H72" i="27" s="1"/>
  <c r="E72" i="27"/>
  <c r="C71" i="27"/>
  <c r="E71" i="27"/>
  <c r="B70" i="27"/>
  <c r="C70" i="27"/>
  <c r="H70" i="27" s="1"/>
  <c r="E70" i="27"/>
  <c r="B69" i="27"/>
  <c r="H69" i="27" s="1"/>
  <c r="C69" i="27"/>
  <c r="E69" i="27"/>
  <c r="B68" i="27"/>
  <c r="C68" i="27"/>
  <c r="E68" i="27"/>
  <c r="C67" i="27"/>
  <c r="E67" i="27"/>
  <c r="B66" i="27"/>
  <c r="H66" i="27" s="1"/>
  <c r="C66" i="27"/>
  <c r="E66" i="27"/>
  <c r="B65" i="27"/>
  <c r="C65" i="27"/>
  <c r="E65" i="27"/>
  <c r="B64" i="27"/>
  <c r="C64" i="27"/>
  <c r="E64" i="27"/>
  <c r="C63" i="27"/>
  <c r="E63" i="27"/>
  <c r="B62" i="27"/>
  <c r="C62" i="27"/>
  <c r="E62" i="27"/>
  <c r="B61" i="27"/>
  <c r="C61" i="27"/>
  <c r="H61" i="27" s="1"/>
  <c r="E61" i="27"/>
  <c r="B60" i="27"/>
  <c r="H60" i="27" s="1"/>
  <c r="C60" i="27"/>
  <c r="E60" i="27"/>
  <c r="C59" i="27"/>
  <c r="E59" i="27"/>
  <c r="B58" i="27"/>
  <c r="C58" i="27"/>
  <c r="H58" i="27" s="1"/>
  <c r="E58" i="27"/>
  <c r="B57" i="27"/>
  <c r="C57" i="27"/>
  <c r="H57" i="27" s="1"/>
  <c r="E57" i="27"/>
  <c r="B56" i="27"/>
  <c r="C56" i="27"/>
  <c r="H56" i="27" s="1"/>
  <c r="E56" i="27"/>
  <c r="C55" i="27"/>
  <c r="E55" i="27"/>
  <c r="B54" i="27"/>
  <c r="C54" i="27"/>
  <c r="H54" i="27" s="1"/>
  <c r="E54" i="27"/>
  <c r="B53" i="27"/>
  <c r="C53" i="27"/>
  <c r="H53" i="27" s="1"/>
  <c r="E53" i="27"/>
  <c r="B52" i="27"/>
  <c r="C52" i="27"/>
  <c r="H52" i="27" s="1"/>
  <c r="E52" i="27"/>
  <c r="C51" i="27"/>
  <c r="E51" i="27"/>
  <c r="B50" i="27"/>
  <c r="C50" i="27"/>
  <c r="H50" i="27" s="1"/>
  <c r="E50" i="27"/>
  <c r="B49" i="27"/>
  <c r="C49" i="27"/>
  <c r="E49" i="27"/>
  <c r="B48" i="27"/>
  <c r="C48" i="27"/>
  <c r="E48" i="27"/>
  <c r="C47" i="27"/>
  <c r="E47" i="27"/>
  <c r="B46" i="27"/>
  <c r="C46" i="27"/>
  <c r="H46" i="27" s="1"/>
  <c r="E46" i="27"/>
  <c r="B45" i="27"/>
  <c r="C45" i="27"/>
  <c r="E45" i="27"/>
  <c r="B44" i="27"/>
  <c r="C44" i="27"/>
  <c r="H44" i="27" s="1"/>
  <c r="E44" i="27"/>
  <c r="C43" i="27"/>
  <c r="E43" i="27"/>
  <c r="B42" i="27"/>
  <c r="C42" i="27"/>
  <c r="E42" i="27"/>
  <c r="B41" i="27"/>
  <c r="C41" i="27"/>
  <c r="E41" i="27"/>
  <c r="B40" i="27"/>
  <c r="H40" i="27" s="1"/>
  <c r="C40" i="27"/>
  <c r="E40" i="27"/>
  <c r="C39" i="27"/>
  <c r="E39" i="27"/>
  <c r="B38" i="27"/>
  <c r="C38" i="27"/>
  <c r="E38" i="27"/>
  <c r="B37" i="27"/>
  <c r="H37" i="27" s="1"/>
  <c r="C37" i="27"/>
  <c r="E37" i="27"/>
  <c r="B36" i="27"/>
  <c r="C36" i="27"/>
  <c r="E36" i="27"/>
  <c r="C35" i="27"/>
  <c r="E35" i="27"/>
  <c r="B34" i="27"/>
  <c r="C34" i="27"/>
  <c r="H34" i="27" s="1"/>
  <c r="E34" i="27"/>
  <c r="B33" i="27"/>
  <c r="C33" i="27"/>
  <c r="H33" i="27" s="1"/>
  <c r="E33" i="27"/>
  <c r="B32" i="27"/>
  <c r="C32" i="27"/>
  <c r="H32" i="27" s="1"/>
  <c r="E32" i="27"/>
  <c r="C31" i="27"/>
  <c r="E31" i="27"/>
  <c r="B30" i="27"/>
  <c r="C30" i="27"/>
  <c r="H30" i="27" s="1"/>
  <c r="E30" i="27"/>
  <c r="B29" i="27"/>
  <c r="C29" i="27"/>
  <c r="H29" i="27" s="1"/>
  <c r="E29" i="27"/>
  <c r="B28" i="27"/>
  <c r="C28" i="27"/>
  <c r="H28" i="27" s="1"/>
  <c r="E28" i="27"/>
  <c r="C27" i="27"/>
  <c r="E27" i="27"/>
  <c r="B26" i="27"/>
  <c r="C26" i="27"/>
  <c r="H26" i="27" s="1"/>
  <c r="D26" i="27"/>
  <c r="B25" i="27"/>
  <c r="C25" i="27"/>
  <c r="E25" i="27"/>
  <c r="B24" i="27"/>
  <c r="D24" i="27"/>
  <c r="E24" i="27"/>
  <c r="C23" i="27"/>
  <c r="D23" i="27"/>
  <c r="E23" i="27"/>
  <c r="B22" i="27"/>
  <c r="C22" i="27"/>
  <c r="H22" i="27" s="1"/>
  <c r="D22" i="27"/>
  <c r="B21" i="27"/>
  <c r="H21" i="27" s="1"/>
  <c r="C21" i="27"/>
  <c r="E21" i="27"/>
  <c r="G21" i="27"/>
  <c r="B20" i="27"/>
  <c r="C20" i="27"/>
  <c r="D20" i="27"/>
  <c r="E20" i="27"/>
  <c r="G20" i="27"/>
  <c r="H20" i="27"/>
  <c r="B19" i="27"/>
  <c r="C19" i="27"/>
  <c r="D19" i="27"/>
  <c r="E19" i="27"/>
  <c r="G19" i="27"/>
  <c r="B18" i="27"/>
  <c r="C18" i="27"/>
  <c r="D18" i="27"/>
  <c r="B17" i="27"/>
  <c r="C17" i="27"/>
  <c r="E17" i="27"/>
  <c r="G17" i="27"/>
  <c r="B16" i="27"/>
  <c r="C16" i="27"/>
  <c r="D16" i="27"/>
  <c r="E16" i="27"/>
  <c r="G16" i="27"/>
  <c r="H16" i="27"/>
  <c r="B15" i="27"/>
  <c r="H15" i="27" s="1"/>
  <c r="C15" i="27"/>
  <c r="D15" i="27"/>
  <c r="E15" i="27"/>
  <c r="G15" i="27"/>
  <c r="B14" i="27"/>
  <c r="C14" i="27"/>
  <c r="D14" i="27"/>
  <c r="H14" i="27"/>
  <c r="B13" i="27"/>
  <c r="C13" i="27"/>
  <c r="E13" i="27"/>
  <c r="G13" i="27"/>
  <c r="B12" i="27"/>
  <c r="C12" i="27"/>
  <c r="D12" i="27"/>
  <c r="E12" i="27"/>
  <c r="G12" i="27"/>
  <c r="H12" i="27"/>
  <c r="B11" i="27"/>
  <c r="H11" i="27" s="1"/>
  <c r="C11" i="27"/>
  <c r="D11" i="27"/>
  <c r="E11" i="27"/>
  <c r="G11" i="27"/>
  <c r="B10" i="27"/>
  <c r="C10" i="27"/>
  <c r="D10" i="27"/>
  <c r="H10" i="27"/>
  <c r="B9" i="27"/>
  <c r="C9" i="27"/>
  <c r="E9" i="27"/>
  <c r="G9" i="27"/>
  <c r="B8" i="27"/>
  <c r="C8" i="27"/>
  <c r="D8" i="27"/>
  <c r="E8" i="27"/>
  <c r="G8" i="27"/>
  <c r="H8" i="27"/>
  <c r="B7" i="27"/>
  <c r="C7" i="27"/>
  <c r="D7" i="27"/>
  <c r="E7" i="27"/>
  <c r="G7" i="27"/>
  <c r="B6" i="27"/>
  <c r="C6" i="27"/>
  <c r="H6" i="27" s="1"/>
  <c r="D6" i="27"/>
  <c r="B5" i="27"/>
  <c r="H5" i="27" s="1"/>
  <c r="C5" i="27"/>
  <c r="E5" i="27"/>
  <c r="G5" i="27"/>
  <c r="B4" i="27"/>
  <c r="C4" i="27"/>
  <c r="D4" i="27"/>
  <c r="E4" i="27"/>
  <c r="G4" i="27"/>
  <c r="H4" i="27"/>
  <c r="B3" i="27"/>
  <c r="C3" i="27"/>
  <c r="D3" i="27"/>
  <c r="E3" i="27"/>
  <c r="G3" i="27"/>
  <c r="R95" i="26"/>
  <c r="S95" i="26"/>
  <c r="R94" i="26"/>
  <c r="S94" i="26" s="1"/>
  <c r="O94" i="26"/>
  <c r="R93" i="26"/>
  <c r="S93" i="26" s="1"/>
  <c r="B93" i="26"/>
  <c r="C93" i="26"/>
  <c r="O93" i="26"/>
  <c r="R92" i="26"/>
  <c r="S92" i="26" s="1"/>
  <c r="O92" i="26"/>
  <c r="R91" i="26"/>
  <c r="S91" i="26" s="1"/>
  <c r="O91" i="26"/>
  <c r="R90" i="26"/>
  <c r="S90" i="26"/>
  <c r="O90" i="26"/>
  <c r="R89" i="26"/>
  <c r="S89" i="26"/>
  <c r="D89" i="26"/>
  <c r="O89" i="26" s="1"/>
  <c r="R88" i="26"/>
  <c r="S88" i="26"/>
  <c r="B88" i="26"/>
  <c r="O88" i="26" s="1"/>
  <c r="R87" i="26"/>
  <c r="S87" i="26"/>
  <c r="O87" i="26"/>
  <c r="R86" i="26"/>
  <c r="S86" i="26" s="1"/>
  <c r="D86" i="26"/>
  <c r="O86" i="26"/>
  <c r="R85" i="26"/>
  <c r="S85" i="26" s="1"/>
  <c r="O85" i="26"/>
  <c r="R84" i="26"/>
  <c r="S84" i="26" s="1"/>
  <c r="B84" i="26"/>
  <c r="G84" i="26"/>
  <c r="O84" i="26"/>
  <c r="R83" i="26"/>
  <c r="S83" i="26" s="1"/>
  <c r="G83" i="26"/>
  <c r="O83" i="26"/>
  <c r="R82" i="26"/>
  <c r="S82" i="26" s="1"/>
  <c r="G82" i="26"/>
  <c r="O82" i="26"/>
  <c r="R81" i="26"/>
  <c r="S81" i="26" s="1"/>
  <c r="O81" i="26"/>
  <c r="R80" i="26"/>
  <c r="S80" i="26" s="1"/>
  <c r="O80" i="26"/>
  <c r="R79" i="26"/>
  <c r="S79" i="26"/>
  <c r="E79" i="26"/>
  <c r="O79" i="26" s="1"/>
  <c r="U70" i="26"/>
  <c r="AD70" i="26" s="1"/>
  <c r="V70" i="26"/>
  <c r="W70" i="26"/>
  <c r="AC70" i="26"/>
  <c r="AB70" i="26"/>
  <c r="AA70" i="26"/>
  <c r="Z70" i="26"/>
  <c r="Y70" i="26"/>
  <c r="X70" i="26"/>
  <c r="U69" i="26"/>
  <c r="V69" i="26"/>
  <c r="W69" i="26"/>
  <c r="AD69" i="26"/>
  <c r="AC69" i="26"/>
  <c r="AB69" i="26"/>
  <c r="AA69" i="26"/>
  <c r="Z69" i="26"/>
  <c r="Y69" i="26"/>
  <c r="X69" i="26"/>
  <c r="U68" i="26"/>
  <c r="V68" i="26"/>
  <c r="W68" i="26"/>
  <c r="X68" i="26"/>
  <c r="Y68" i="26"/>
  <c r="Z68" i="26"/>
  <c r="AA68" i="26"/>
  <c r="AB68" i="26"/>
  <c r="AC68" i="26"/>
  <c r="AD68" i="26"/>
  <c r="U67" i="26"/>
  <c r="V67" i="26"/>
  <c r="W67" i="26"/>
  <c r="X67" i="26"/>
  <c r="Y67" i="26"/>
  <c r="Z67" i="26"/>
  <c r="AA67" i="26"/>
  <c r="AB67" i="26"/>
  <c r="AC67" i="26"/>
  <c r="O67" i="26"/>
  <c r="U66" i="26"/>
  <c r="V66" i="26"/>
  <c r="W66" i="26"/>
  <c r="X66" i="26"/>
  <c r="Y66" i="26"/>
  <c r="Z66" i="26"/>
  <c r="AA66" i="26"/>
  <c r="AB66" i="26"/>
  <c r="AC66" i="26"/>
  <c r="U65" i="26"/>
  <c r="V65" i="26"/>
  <c r="W65" i="26"/>
  <c r="X65" i="26"/>
  <c r="Y65" i="26"/>
  <c r="Z65" i="26"/>
  <c r="AA65" i="26"/>
  <c r="AB65" i="26"/>
  <c r="AC65" i="26"/>
  <c r="U64" i="26"/>
  <c r="V64" i="26"/>
  <c r="W64" i="26"/>
  <c r="X64" i="26"/>
  <c r="Y64" i="26"/>
  <c r="Z64" i="26"/>
  <c r="AA64" i="26"/>
  <c r="AB64" i="26"/>
  <c r="AC64" i="26"/>
  <c r="U63" i="26"/>
  <c r="V63" i="26"/>
  <c r="W63" i="26"/>
  <c r="X63" i="26"/>
  <c r="Y63" i="26"/>
  <c r="Z63" i="26"/>
  <c r="AA63" i="26"/>
  <c r="AB63" i="26"/>
  <c r="AC63" i="26"/>
  <c r="O63" i="26"/>
  <c r="U62" i="26"/>
  <c r="AD62" i="26" s="1"/>
  <c r="V62" i="26"/>
  <c r="W62" i="26"/>
  <c r="X62" i="26"/>
  <c r="Y62" i="26"/>
  <c r="Z62" i="26"/>
  <c r="AA62" i="26"/>
  <c r="AB62" i="26"/>
  <c r="AC62" i="26"/>
  <c r="U61" i="26"/>
  <c r="V61" i="26"/>
  <c r="W61" i="26"/>
  <c r="X61" i="26"/>
  <c r="Y61" i="26"/>
  <c r="Z61" i="26"/>
  <c r="AA61" i="26"/>
  <c r="AB61" i="26"/>
  <c r="AC61" i="26"/>
  <c r="AD61" i="26"/>
  <c r="U60" i="26"/>
  <c r="AD60" i="26" s="1"/>
  <c r="V60" i="26"/>
  <c r="W60" i="26"/>
  <c r="X60" i="26"/>
  <c r="Y60" i="26"/>
  <c r="Z60" i="26"/>
  <c r="AA60" i="26"/>
  <c r="AB60" i="26"/>
  <c r="AC60" i="26"/>
  <c r="U59" i="26"/>
  <c r="V59" i="26"/>
  <c r="W59" i="26"/>
  <c r="X59" i="26"/>
  <c r="Y59" i="26"/>
  <c r="Z59" i="26"/>
  <c r="AA59" i="26"/>
  <c r="AB59" i="26"/>
  <c r="AC59" i="26"/>
  <c r="AD59" i="26"/>
  <c r="O59" i="26"/>
  <c r="U58" i="26"/>
  <c r="V58" i="26"/>
  <c r="W58" i="26"/>
  <c r="X58" i="26"/>
  <c r="Y58" i="26"/>
  <c r="Z58" i="26"/>
  <c r="AA58" i="26"/>
  <c r="AB58" i="26"/>
  <c r="AC58" i="26"/>
  <c r="U57" i="26"/>
  <c r="V57" i="26"/>
  <c r="W57" i="26"/>
  <c r="X57" i="26"/>
  <c r="Y57" i="26"/>
  <c r="Z57" i="26"/>
  <c r="AA57" i="26"/>
  <c r="AB57" i="26"/>
  <c r="AC57" i="26"/>
  <c r="U56" i="26"/>
  <c r="V56" i="26"/>
  <c r="W56" i="26"/>
  <c r="X56" i="26"/>
  <c r="Y56" i="26"/>
  <c r="Z56" i="26"/>
  <c r="AA56" i="26"/>
  <c r="AB56" i="26"/>
  <c r="AC56" i="26"/>
  <c r="U55" i="26"/>
  <c r="V55" i="26"/>
  <c r="W55" i="26"/>
  <c r="X55" i="26"/>
  <c r="Y55" i="26"/>
  <c r="Z55" i="26"/>
  <c r="AA55" i="26"/>
  <c r="AB55" i="26"/>
  <c r="AC55" i="26"/>
  <c r="O55" i="26"/>
  <c r="U54" i="26"/>
  <c r="V54" i="26"/>
  <c r="W54" i="26"/>
  <c r="X54" i="26"/>
  <c r="Y54" i="26"/>
  <c r="Z54" i="26"/>
  <c r="AA54" i="26"/>
  <c r="AB54" i="26"/>
  <c r="AC54" i="26"/>
  <c r="AD54" i="26"/>
  <c r="U53" i="26"/>
  <c r="V53" i="26"/>
  <c r="W53" i="26"/>
  <c r="X53" i="26"/>
  <c r="Y53" i="26"/>
  <c r="Z53" i="26"/>
  <c r="AA53" i="26"/>
  <c r="AB53" i="26"/>
  <c r="AC53" i="26"/>
  <c r="U52" i="26"/>
  <c r="V52" i="26"/>
  <c r="W52" i="26"/>
  <c r="X52" i="26"/>
  <c r="Y52" i="26"/>
  <c r="Z52" i="26"/>
  <c r="AA52" i="26"/>
  <c r="AB52" i="26"/>
  <c r="AC52" i="26"/>
  <c r="AD52" i="26"/>
  <c r="U51" i="26"/>
  <c r="V51" i="26"/>
  <c r="W51" i="26"/>
  <c r="X51" i="26"/>
  <c r="Y51" i="26"/>
  <c r="Z51" i="26"/>
  <c r="AA51" i="26"/>
  <c r="AB51" i="26"/>
  <c r="AC51" i="26"/>
  <c r="O51" i="26"/>
  <c r="U50" i="26"/>
  <c r="V50" i="26"/>
  <c r="W50" i="26"/>
  <c r="X50" i="26"/>
  <c r="Y50" i="26"/>
  <c r="Z50" i="26"/>
  <c r="AA50" i="26"/>
  <c r="AB50" i="26"/>
  <c r="AC50" i="26"/>
  <c r="AD50" i="26"/>
  <c r="U49" i="26"/>
  <c r="V49" i="26"/>
  <c r="W49" i="26"/>
  <c r="X49" i="26"/>
  <c r="Y49" i="26"/>
  <c r="Z49" i="26"/>
  <c r="AA49" i="26"/>
  <c r="AB49" i="26"/>
  <c r="AC49" i="26"/>
  <c r="U48" i="26"/>
  <c r="V48" i="26"/>
  <c r="W48" i="26"/>
  <c r="X48" i="26"/>
  <c r="Y48" i="26"/>
  <c r="Z48" i="26"/>
  <c r="AA48" i="26"/>
  <c r="AB48" i="26"/>
  <c r="AC48" i="26"/>
  <c r="AD48" i="26"/>
  <c r="U47" i="26"/>
  <c r="V47" i="26"/>
  <c r="W47" i="26"/>
  <c r="X47" i="26"/>
  <c r="Y47" i="26"/>
  <c r="Z47" i="26"/>
  <c r="AA47" i="26"/>
  <c r="AB47" i="26"/>
  <c r="AC47" i="26"/>
  <c r="D47" i="26"/>
  <c r="O47" i="26"/>
  <c r="U46" i="26"/>
  <c r="V46" i="26"/>
  <c r="W46" i="26"/>
  <c r="X46" i="26"/>
  <c r="Y46" i="26"/>
  <c r="Z46" i="26"/>
  <c r="AA46" i="26"/>
  <c r="AB46" i="26"/>
  <c r="AC46" i="26"/>
  <c r="U45" i="26"/>
  <c r="V45" i="26"/>
  <c r="W45" i="26"/>
  <c r="X45" i="26"/>
  <c r="Y45" i="26"/>
  <c r="Z45" i="26"/>
  <c r="AA45" i="26"/>
  <c r="AB45" i="26"/>
  <c r="AC45" i="26"/>
  <c r="U44" i="26"/>
  <c r="V44" i="26"/>
  <c r="W44" i="26"/>
  <c r="X44" i="26"/>
  <c r="Y44" i="26"/>
  <c r="Z44" i="26"/>
  <c r="AA44" i="26"/>
  <c r="AB44" i="26"/>
  <c r="AC44" i="26"/>
  <c r="U43" i="26"/>
  <c r="V43" i="26"/>
  <c r="W43" i="26"/>
  <c r="X43" i="26"/>
  <c r="Y43" i="26"/>
  <c r="Z43" i="26"/>
  <c r="AA43" i="26"/>
  <c r="AB43" i="26"/>
  <c r="AC43" i="26"/>
  <c r="AD43" i="26"/>
  <c r="B43" i="26"/>
  <c r="O43" i="26"/>
  <c r="U42" i="26"/>
  <c r="V42" i="26"/>
  <c r="W42" i="26"/>
  <c r="X42" i="26"/>
  <c r="Y42" i="26"/>
  <c r="Z42" i="26"/>
  <c r="AA42" i="26"/>
  <c r="AB42" i="26"/>
  <c r="AC42" i="26"/>
  <c r="AD42" i="26"/>
  <c r="U41" i="26"/>
  <c r="V41" i="26"/>
  <c r="W41" i="26"/>
  <c r="X41" i="26"/>
  <c r="Y41" i="26"/>
  <c r="Z41" i="26"/>
  <c r="AA41" i="26"/>
  <c r="AB41" i="26"/>
  <c r="AC41" i="26"/>
  <c r="U40" i="26"/>
  <c r="V40" i="26"/>
  <c r="W40" i="26"/>
  <c r="X40" i="26"/>
  <c r="Y40" i="26"/>
  <c r="Z40" i="26"/>
  <c r="AA40" i="26"/>
  <c r="AB40" i="26"/>
  <c r="AC40" i="26"/>
  <c r="AD40" i="26"/>
  <c r="U39" i="26"/>
  <c r="V39" i="26"/>
  <c r="W39" i="26"/>
  <c r="X39" i="26"/>
  <c r="Y39" i="26"/>
  <c r="Z39" i="26"/>
  <c r="AA39" i="26"/>
  <c r="AB39" i="26"/>
  <c r="AC39" i="26"/>
  <c r="O39" i="26"/>
  <c r="U38" i="26"/>
  <c r="V38" i="26"/>
  <c r="W38" i="26"/>
  <c r="X38" i="26"/>
  <c r="Y38" i="26"/>
  <c r="Z38" i="26"/>
  <c r="AA38" i="26"/>
  <c r="AB38" i="26"/>
  <c r="AC38" i="26"/>
  <c r="U37" i="26"/>
  <c r="V37" i="26"/>
  <c r="W37" i="26"/>
  <c r="X37" i="26"/>
  <c r="Y37" i="26"/>
  <c r="Z37" i="26"/>
  <c r="AA37" i="26"/>
  <c r="AB37" i="26"/>
  <c r="AC37" i="26"/>
  <c r="AD37" i="26"/>
  <c r="U36" i="26"/>
  <c r="V36" i="26"/>
  <c r="W36" i="26"/>
  <c r="X36" i="26"/>
  <c r="Y36" i="26"/>
  <c r="Z36" i="26"/>
  <c r="AA36" i="26"/>
  <c r="AB36" i="26"/>
  <c r="AC36" i="26"/>
  <c r="U35" i="26"/>
  <c r="V35" i="26"/>
  <c r="W35" i="26"/>
  <c r="X35" i="26"/>
  <c r="Y35" i="26"/>
  <c r="Z35" i="26"/>
  <c r="AA35" i="26"/>
  <c r="AB35" i="26"/>
  <c r="AC35" i="26"/>
  <c r="D35" i="26"/>
  <c r="O35" i="26" s="1"/>
  <c r="U34" i="26"/>
  <c r="V34" i="26"/>
  <c r="W34" i="26"/>
  <c r="AD34" i="26" s="1"/>
  <c r="X34" i="26"/>
  <c r="Y34" i="26"/>
  <c r="Z34" i="26"/>
  <c r="AA34" i="26"/>
  <c r="AB34" i="26"/>
  <c r="AC34" i="26"/>
  <c r="U33" i="26"/>
  <c r="V33" i="26"/>
  <c r="W33" i="26"/>
  <c r="X33" i="26"/>
  <c r="Y33" i="26"/>
  <c r="Z33" i="26"/>
  <c r="AA33" i="26"/>
  <c r="AB33" i="26"/>
  <c r="AC33" i="26"/>
  <c r="U32" i="26"/>
  <c r="V32" i="26"/>
  <c r="W32" i="26"/>
  <c r="AD32" i="26" s="1"/>
  <c r="X32" i="26"/>
  <c r="Y32" i="26"/>
  <c r="Z32" i="26"/>
  <c r="AA32" i="26"/>
  <c r="AB32" i="26"/>
  <c r="AC32" i="26"/>
  <c r="U31" i="26"/>
  <c r="V31" i="26"/>
  <c r="W31" i="26"/>
  <c r="X31" i="26"/>
  <c r="Y31" i="26"/>
  <c r="Z31" i="26"/>
  <c r="AA31" i="26"/>
  <c r="AB31" i="26"/>
  <c r="AC31" i="26"/>
  <c r="B31" i="26"/>
  <c r="D31" i="26"/>
  <c r="O31" i="26" s="1"/>
  <c r="U30" i="26"/>
  <c r="V30" i="26"/>
  <c r="W30" i="26"/>
  <c r="X30" i="26"/>
  <c r="Y30" i="26"/>
  <c r="Z30" i="26"/>
  <c r="AA30" i="26"/>
  <c r="AB30" i="26"/>
  <c r="AC30" i="26"/>
  <c r="U29" i="26"/>
  <c r="V29" i="26"/>
  <c r="W29" i="26"/>
  <c r="X29" i="26"/>
  <c r="Y29" i="26"/>
  <c r="Z29" i="26"/>
  <c r="AA29" i="26"/>
  <c r="AB29" i="26"/>
  <c r="AC29" i="26"/>
  <c r="AD29" i="26"/>
  <c r="U28" i="26"/>
  <c r="V28" i="26"/>
  <c r="W28" i="26"/>
  <c r="X28" i="26"/>
  <c r="Y28" i="26"/>
  <c r="Z28" i="26"/>
  <c r="AA28" i="26"/>
  <c r="AB28" i="26"/>
  <c r="AC28" i="26"/>
  <c r="U27" i="26"/>
  <c r="V27" i="26"/>
  <c r="W27" i="26"/>
  <c r="X27" i="26"/>
  <c r="Y27" i="26"/>
  <c r="Z27" i="26"/>
  <c r="AA27" i="26"/>
  <c r="AB27" i="26"/>
  <c r="AC27" i="26"/>
  <c r="AD27" i="26"/>
  <c r="B27" i="26"/>
  <c r="D27" i="26"/>
  <c r="G27" i="26"/>
  <c r="O27" i="26"/>
  <c r="U26" i="26"/>
  <c r="V26" i="26"/>
  <c r="W26" i="26"/>
  <c r="X26" i="26"/>
  <c r="Y26" i="26"/>
  <c r="Z26" i="26"/>
  <c r="AA26" i="26"/>
  <c r="AB26" i="26"/>
  <c r="AC26" i="26"/>
  <c r="U25" i="26"/>
  <c r="V25" i="26"/>
  <c r="W25" i="26"/>
  <c r="X25" i="26"/>
  <c r="Y25" i="26"/>
  <c r="Z25" i="26"/>
  <c r="AA25" i="26"/>
  <c r="AB25" i="26"/>
  <c r="AC25" i="26"/>
  <c r="AD25" i="26"/>
  <c r="U24" i="26"/>
  <c r="V24" i="26"/>
  <c r="W24" i="26"/>
  <c r="X24" i="26"/>
  <c r="Y24" i="26"/>
  <c r="Z24" i="26"/>
  <c r="AA24" i="26"/>
  <c r="AB24" i="26"/>
  <c r="AC24" i="26"/>
  <c r="U23" i="26"/>
  <c r="V23" i="26"/>
  <c r="W23" i="26"/>
  <c r="X23" i="26"/>
  <c r="Y23" i="26"/>
  <c r="Z23" i="26"/>
  <c r="AA23" i="26"/>
  <c r="AB23" i="26"/>
  <c r="AC23" i="26"/>
  <c r="B23" i="26"/>
  <c r="D23" i="26"/>
  <c r="G23" i="26"/>
  <c r="O23" i="26" s="1"/>
  <c r="U22" i="26"/>
  <c r="V22" i="26"/>
  <c r="W22" i="26"/>
  <c r="X22" i="26"/>
  <c r="Y22" i="26"/>
  <c r="Z22" i="26"/>
  <c r="AA22" i="26"/>
  <c r="AB22" i="26"/>
  <c r="AC22" i="26"/>
  <c r="U21" i="26"/>
  <c r="V21" i="26"/>
  <c r="W21" i="26"/>
  <c r="X21" i="26"/>
  <c r="Y21" i="26"/>
  <c r="Z21" i="26"/>
  <c r="AA21" i="26"/>
  <c r="AB21" i="26"/>
  <c r="AC21" i="26"/>
  <c r="AD21" i="26"/>
  <c r="U20" i="26"/>
  <c r="V20" i="26"/>
  <c r="W20" i="26"/>
  <c r="X20" i="26"/>
  <c r="Y20" i="26"/>
  <c r="Z20" i="26"/>
  <c r="AA20" i="26"/>
  <c r="AB20" i="26"/>
  <c r="AC20" i="26"/>
  <c r="U19" i="26"/>
  <c r="V19" i="26"/>
  <c r="W19" i="26"/>
  <c r="X19" i="26"/>
  <c r="Y19" i="26"/>
  <c r="Z19" i="26"/>
  <c r="AA19" i="26"/>
  <c r="AB19" i="26"/>
  <c r="AC19" i="26"/>
  <c r="AD19" i="26"/>
  <c r="B19" i="26"/>
  <c r="D19" i="26"/>
  <c r="G19" i="26"/>
  <c r="O19" i="26"/>
  <c r="U18" i="26"/>
  <c r="V18" i="26"/>
  <c r="W18" i="26"/>
  <c r="X18" i="26"/>
  <c r="Y18" i="26"/>
  <c r="Z18" i="26"/>
  <c r="AA18" i="26"/>
  <c r="AB18" i="26"/>
  <c r="AC18" i="26"/>
  <c r="U17" i="26"/>
  <c r="V17" i="26"/>
  <c r="W17" i="26"/>
  <c r="X17" i="26"/>
  <c r="Y17" i="26"/>
  <c r="Z17" i="26"/>
  <c r="AA17" i="26"/>
  <c r="AB17" i="26"/>
  <c r="AC17" i="26"/>
  <c r="AD17" i="26"/>
  <c r="U16" i="26"/>
  <c r="V16" i="26"/>
  <c r="W16" i="26"/>
  <c r="X16" i="26"/>
  <c r="Y16" i="26"/>
  <c r="Z16" i="26"/>
  <c r="AA16" i="26"/>
  <c r="AB16" i="26"/>
  <c r="AC16" i="26"/>
  <c r="U15" i="26"/>
  <c r="V15" i="26"/>
  <c r="W15" i="26"/>
  <c r="X15" i="26"/>
  <c r="Y15" i="26"/>
  <c r="Z15" i="26"/>
  <c r="AA15" i="26"/>
  <c r="AB15" i="26"/>
  <c r="AC15" i="26"/>
  <c r="O15" i="26"/>
  <c r="U14" i="26"/>
  <c r="V14" i="26"/>
  <c r="W14" i="26"/>
  <c r="X14" i="26"/>
  <c r="Y14" i="26"/>
  <c r="Z14" i="26"/>
  <c r="AA14" i="26"/>
  <c r="AB14" i="26"/>
  <c r="AC14" i="26"/>
  <c r="AD14" i="26"/>
  <c r="U13" i="26"/>
  <c r="V13" i="26"/>
  <c r="W13" i="26"/>
  <c r="X13" i="26"/>
  <c r="Y13" i="26"/>
  <c r="Z13" i="26"/>
  <c r="AA13" i="26"/>
  <c r="AB13" i="26"/>
  <c r="AC13" i="26"/>
  <c r="U12" i="26"/>
  <c r="V12" i="26"/>
  <c r="W12" i="26"/>
  <c r="X12" i="26"/>
  <c r="Y12" i="26"/>
  <c r="Z12" i="26"/>
  <c r="AA12" i="26"/>
  <c r="AB12" i="26"/>
  <c r="AC12" i="26"/>
  <c r="U11" i="26"/>
  <c r="V11" i="26"/>
  <c r="W11" i="26"/>
  <c r="X11" i="26"/>
  <c r="Y11" i="26"/>
  <c r="Z11" i="26"/>
  <c r="AA11" i="26"/>
  <c r="AB11" i="26"/>
  <c r="AC11" i="26"/>
  <c r="O11" i="26"/>
  <c r="U10" i="26"/>
  <c r="V10" i="26"/>
  <c r="W10" i="26"/>
  <c r="X10" i="26"/>
  <c r="Y10" i="26"/>
  <c r="Z10" i="26"/>
  <c r="AA10" i="26"/>
  <c r="AB10" i="26"/>
  <c r="AC10" i="26"/>
  <c r="AD10" i="26"/>
  <c r="U9" i="26"/>
  <c r="V9" i="26"/>
  <c r="W9" i="26"/>
  <c r="X9" i="26"/>
  <c r="Y9" i="26"/>
  <c r="Z9" i="26"/>
  <c r="AA9" i="26"/>
  <c r="AB9" i="26"/>
  <c r="AC9" i="26"/>
  <c r="U8" i="26"/>
  <c r="V8" i="26"/>
  <c r="W8" i="26"/>
  <c r="X8" i="26"/>
  <c r="Y8" i="26"/>
  <c r="Z8" i="26"/>
  <c r="AA8" i="26"/>
  <c r="AB8" i="26"/>
  <c r="AC8" i="26"/>
  <c r="AD8" i="26"/>
  <c r="U7" i="26"/>
  <c r="V7" i="26"/>
  <c r="W7" i="26"/>
  <c r="X7" i="26"/>
  <c r="Y7" i="26"/>
  <c r="Z7" i="26"/>
  <c r="AA7" i="26"/>
  <c r="AB7" i="26"/>
  <c r="AC7" i="26"/>
  <c r="O7" i="26"/>
  <c r="U6" i="26"/>
  <c r="V6" i="26"/>
  <c r="W6" i="26"/>
  <c r="X6" i="26"/>
  <c r="Y6" i="26"/>
  <c r="Z6" i="26"/>
  <c r="AA6" i="26"/>
  <c r="AB6" i="26"/>
  <c r="AC6" i="26"/>
  <c r="U5" i="26"/>
  <c r="V5" i="26"/>
  <c r="W5" i="26"/>
  <c r="X5" i="26"/>
  <c r="Y5" i="26"/>
  <c r="Z5" i="26"/>
  <c r="AA5" i="26"/>
  <c r="AB5" i="26"/>
  <c r="AC5" i="26"/>
  <c r="U4" i="26"/>
  <c r="V4" i="26"/>
  <c r="W4" i="26"/>
  <c r="X4" i="26"/>
  <c r="Y4" i="26"/>
  <c r="Z4" i="26"/>
  <c r="AA4" i="26"/>
  <c r="AB4" i="26"/>
  <c r="AC4" i="26"/>
  <c r="U3" i="26"/>
  <c r="V3" i="26"/>
  <c r="W3" i="26"/>
  <c r="AD3" i="26" s="1"/>
  <c r="X3" i="26"/>
  <c r="Y3" i="26"/>
  <c r="Z3" i="26"/>
  <c r="AA3" i="26"/>
  <c r="AB3" i="26"/>
  <c r="AC3" i="26"/>
  <c r="H35" i="22"/>
  <c r="H38" i="22"/>
  <c r="H41" i="22"/>
  <c r="H42" i="22"/>
  <c r="H43" i="22"/>
  <c r="H44" i="22"/>
  <c r="H45" i="22"/>
  <c r="H46" i="22"/>
  <c r="H47" i="22"/>
  <c r="M9" i="22" s="1"/>
  <c r="H48" i="22"/>
  <c r="H49" i="22"/>
  <c r="H50" i="22"/>
  <c r="H51" i="22"/>
  <c r="H52" i="22"/>
  <c r="H53" i="22"/>
  <c r="H55" i="22"/>
  <c r="H57" i="22"/>
  <c r="H58" i="22"/>
  <c r="H59" i="22"/>
  <c r="H61" i="22"/>
  <c r="H62" i="22"/>
  <c r="H63" i="22"/>
  <c r="H64" i="22"/>
  <c r="H66" i="22"/>
  <c r="H67" i="22"/>
  <c r="H68" i="22"/>
  <c r="H70" i="22"/>
  <c r="H72" i="22"/>
  <c r="H74" i="22"/>
  <c r="H75" i="22"/>
  <c r="H76" i="22"/>
  <c r="G35" i="22"/>
  <c r="G36" i="22"/>
  <c r="G37" i="22"/>
  <c r="G38" i="22"/>
  <c r="G39" i="22"/>
  <c r="G40" i="22"/>
  <c r="G41" i="22"/>
  <c r="G42" i="22"/>
  <c r="G43" i="22"/>
  <c r="G44" i="22"/>
  <c r="L8" i="22" s="1"/>
  <c r="G45" i="22"/>
  <c r="G46" i="22"/>
  <c r="G47" i="22"/>
  <c r="G48" i="22"/>
  <c r="G49" i="22"/>
  <c r="G50" i="22"/>
  <c r="G51" i="22"/>
  <c r="G52" i="22"/>
  <c r="G53" i="22"/>
  <c r="G54" i="22"/>
  <c r="G55" i="22"/>
  <c r="G56" i="22"/>
  <c r="G57" i="22"/>
  <c r="G58" i="22"/>
  <c r="G59" i="22"/>
  <c r="G60" i="22"/>
  <c r="G61" i="22"/>
  <c r="G62" i="22"/>
  <c r="G63" i="22"/>
  <c r="G64" i="22"/>
  <c r="G65" i="22"/>
  <c r="G66" i="22"/>
  <c r="G67" i="22"/>
  <c r="G68" i="22"/>
  <c r="G70" i="22"/>
  <c r="G71" i="22"/>
  <c r="G72" i="22"/>
  <c r="G73" i="22"/>
  <c r="G74" i="22"/>
  <c r="G75" i="22"/>
  <c r="G76" i="22"/>
  <c r="G78" i="22"/>
  <c r="D80" i="22"/>
  <c r="C80" i="22"/>
  <c r="B80" i="22"/>
  <c r="D79" i="22"/>
  <c r="C79" i="22"/>
  <c r="B79" i="22"/>
  <c r="E78" i="22"/>
  <c r="A78" i="22"/>
  <c r="A77" i="22"/>
  <c r="A76" i="22"/>
  <c r="A75" i="22"/>
  <c r="E74" i="22"/>
  <c r="A74" i="22"/>
  <c r="A73" i="22"/>
  <c r="A72" i="22"/>
  <c r="A71" i="22"/>
  <c r="E70" i="22"/>
  <c r="A70" i="22"/>
  <c r="A69" i="22"/>
  <c r="A68" i="22"/>
  <c r="A67" i="22"/>
  <c r="E66" i="22"/>
  <c r="A66" i="22"/>
  <c r="A65" i="22"/>
  <c r="A64" i="22"/>
  <c r="A63" i="22"/>
  <c r="E62" i="22"/>
  <c r="A62" i="22"/>
  <c r="A61" i="22"/>
  <c r="A60" i="22"/>
  <c r="A59" i="22"/>
  <c r="E58" i="22"/>
  <c r="A58" i="22"/>
  <c r="A57" i="22"/>
  <c r="A56" i="22"/>
  <c r="A55" i="22"/>
  <c r="E54" i="22"/>
  <c r="A54" i="22"/>
  <c r="A53" i="22"/>
  <c r="A52" i="22"/>
  <c r="A51" i="22"/>
  <c r="E50" i="22"/>
  <c r="A50" i="22"/>
  <c r="A49" i="22"/>
  <c r="A48" i="22"/>
  <c r="A47" i="22"/>
  <c r="E46" i="22"/>
  <c r="A46" i="22"/>
  <c r="A45" i="22"/>
  <c r="A44" i="22"/>
  <c r="A43" i="22"/>
  <c r="E42" i="22"/>
  <c r="A42" i="22"/>
  <c r="A41" i="22"/>
  <c r="A40" i="22"/>
  <c r="A39" i="22"/>
  <c r="E38" i="22"/>
  <c r="A38" i="22"/>
  <c r="A37" i="22"/>
  <c r="A36" i="22"/>
  <c r="A35" i="22"/>
  <c r="G34" i="22"/>
  <c r="F34" i="22"/>
  <c r="A34" i="22"/>
  <c r="G33" i="22"/>
  <c r="F33" i="22"/>
  <c r="A33" i="22"/>
  <c r="G32" i="22"/>
  <c r="F32" i="22"/>
  <c r="A32" i="22"/>
  <c r="G31" i="22"/>
  <c r="A31" i="22"/>
  <c r="Q27" i="2"/>
  <c r="T27" i="2"/>
  <c r="T26" i="2"/>
  <c r="O26" i="2"/>
  <c r="P26" i="2"/>
  <c r="Q26" i="2"/>
  <c r="U26" i="2" s="1"/>
  <c r="V26" i="2" s="1"/>
  <c r="BA22" i="9" s="1"/>
  <c r="BB22" i="9" s="1"/>
  <c r="BH23" i="9"/>
  <c r="BH22" i="9"/>
  <c r="BI23" i="9" s="1"/>
  <c r="J30" i="22"/>
  <c r="G30" i="22"/>
  <c r="F30" i="22"/>
  <c r="A30" i="22"/>
  <c r="T25" i="2"/>
  <c r="O25" i="2"/>
  <c r="P25" i="2"/>
  <c r="Q25" i="2"/>
  <c r="BH21" i="9"/>
  <c r="J29" i="22"/>
  <c r="G29" i="22"/>
  <c r="F29" i="22"/>
  <c r="A29" i="22"/>
  <c r="T24" i="2"/>
  <c r="O24" i="2"/>
  <c r="P24" i="2"/>
  <c r="Q24" i="2"/>
  <c r="U25" i="2"/>
  <c r="V25" i="2" s="1"/>
  <c r="BA21" i="9" s="1"/>
  <c r="BB21" i="9" s="1"/>
  <c r="BH20" i="9"/>
  <c r="J28" i="22"/>
  <c r="G28" i="22"/>
  <c r="F28" i="22"/>
  <c r="A28" i="22"/>
  <c r="T23" i="2"/>
  <c r="O23" i="2"/>
  <c r="Q23" i="2" s="1"/>
  <c r="P23" i="2"/>
  <c r="BH19" i="9"/>
  <c r="BI20" i="9"/>
  <c r="J27" i="22"/>
  <c r="G27" i="22"/>
  <c r="A27" i="22"/>
  <c r="T22" i="2"/>
  <c r="O22" i="2"/>
  <c r="P22" i="2"/>
  <c r="BH18" i="9"/>
  <c r="J26" i="22"/>
  <c r="G26" i="22"/>
  <c r="F26" i="22"/>
  <c r="A26" i="22"/>
  <c r="T21" i="2"/>
  <c r="O21" i="2"/>
  <c r="P21" i="2"/>
  <c r="Q21" i="2"/>
  <c r="BH17" i="9"/>
  <c r="BI17" i="9" s="1"/>
  <c r="J25" i="22"/>
  <c r="G25" i="22"/>
  <c r="F25" i="22"/>
  <c r="A25" i="22"/>
  <c r="T20" i="2"/>
  <c r="O20" i="2"/>
  <c r="P20" i="2"/>
  <c r="Q20" i="2" s="1"/>
  <c r="BH16" i="9"/>
  <c r="J24" i="22"/>
  <c r="G24" i="22"/>
  <c r="F24" i="22"/>
  <c r="A24" i="22"/>
  <c r="T19" i="2"/>
  <c r="O19" i="2"/>
  <c r="P19" i="2"/>
  <c r="BH15" i="9"/>
  <c r="BI16" i="9"/>
  <c r="J23" i="22"/>
  <c r="G23" i="22"/>
  <c r="F23" i="22"/>
  <c r="A23" i="22"/>
  <c r="T18" i="2"/>
  <c r="O18" i="2"/>
  <c r="P18" i="2"/>
  <c r="BH14" i="9"/>
  <c r="BI15" i="9"/>
  <c r="J22" i="22"/>
  <c r="G22" i="22"/>
  <c r="F22" i="22"/>
  <c r="A22" i="22"/>
  <c r="AS43" i="9"/>
  <c r="AT14" i="9"/>
  <c r="P14" i="21" s="1"/>
  <c r="Q14" i="21" s="1"/>
  <c r="J21" i="22"/>
  <c r="G21" i="22"/>
  <c r="F21" i="22"/>
  <c r="A21" i="22"/>
  <c r="AS39" i="9"/>
  <c r="AT13" i="9" s="1"/>
  <c r="P13" i="21"/>
  <c r="Q13" i="21" s="1"/>
  <c r="K20" i="22" s="1"/>
  <c r="J20" i="22"/>
  <c r="G20" i="22"/>
  <c r="F20" i="22"/>
  <c r="A20" i="22"/>
  <c r="G19" i="22"/>
  <c r="A19" i="22"/>
  <c r="G18" i="22"/>
  <c r="F18" i="22"/>
  <c r="A18" i="22"/>
  <c r="G17" i="22"/>
  <c r="F17" i="22"/>
  <c r="A17" i="22"/>
  <c r="G16" i="22"/>
  <c r="F16" i="22"/>
  <c r="A16" i="22"/>
  <c r="Q15" i="22"/>
  <c r="L15" i="22"/>
  <c r="G15" i="22"/>
  <c r="F15" i="22"/>
  <c r="A15" i="22"/>
  <c r="AP15" i="9"/>
  <c r="AQ15" i="9" s="1"/>
  <c r="AR15" i="9" s="1"/>
  <c r="M15" i="21" s="1"/>
  <c r="BJ15" i="9"/>
  <c r="G14" i="22"/>
  <c r="O14" i="4"/>
  <c r="P14" i="4" s="1"/>
  <c r="S15" i="9" s="1"/>
  <c r="C15" i="21" s="1"/>
  <c r="F14" i="22" s="1"/>
  <c r="A14" i="22"/>
  <c r="AP14" i="9"/>
  <c r="AQ14" i="9" s="1"/>
  <c r="AR14" i="9" s="1"/>
  <c r="BJ14" i="9"/>
  <c r="O13" i="4"/>
  <c r="P13" i="4"/>
  <c r="S14" i="9" s="1"/>
  <c r="C14" i="21" s="1"/>
  <c r="F13" i="22" s="1"/>
  <c r="A13" i="22"/>
  <c r="A12" i="22"/>
  <c r="Q11" i="22"/>
  <c r="A11" i="22"/>
  <c r="P10" i="22"/>
  <c r="A10" i="22"/>
  <c r="A9" i="22"/>
  <c r="Q8" i="22"/>
  <c r="A8" i="22"/>
  <c r="A7" i="22"/>
  <c r="P6" i="22"/>
  <c r="K6" i="22"/>
  <c r="H6" i="22"/>
  <c r="M7" i="21"/>
  <c r="G6" i="22" s="1"/>
  <c r="A6" i="22"/>
  <c r="H5" i="22"/>
  <c r="M6" i="21"/>
  <c r="G5" i="22"/>
  <c r="A5" i="22"/>
  <c r="H4" i="22"/>
  <c r="M5" i="21"/>
  <c r="G4" i="22" s="1"/>
  <c r="A4" i="22"/>
  <c r="H3" i="22"/>
  <c r="M4" i="21"/>
  <c r="G3" i="22"/>
  <c r="A3" i="22"/>
  <c r="H1" i="22"/>
  <c r="M1" i="22"/>
  <c r="R1" i="22"/>
  <c r="G1" i="22"/>
  <c r="L1" i="22" s="1"/>
  <c r="Q1" i="22" s="1"/>
  <c r="F1" i="22"/>
  <c r="K1" i="22"/>
  <c r="P1" i="22" s="1"/>
  <c r="K79" i="15"/>
  <c r="J79" i="15"/>
  <c r="H79" i="15"/>
  <c r="G79" i="15" s="1"/>
  <c r="E79" i="15"/>
  <c r="D79" i="15"/>
  <c r="K78" i="15"/>
  <c r="J78" i="15" s="1"/>
  <c r="H78" i="15"/>
  <c r="G78" i="15"/>
  <c r="E78" i="15"/>
  <c r="D78" i="15" s="1"/>
  <c r="K77" i="15"/>
  <c r="J77" i="15"/>
  <c r="H77" i="15"/>
  <c r="G77" i="15" s="1"/>
  <c r="E77" i="15"/>
  <c r="D77" i="15"/>
  <c r="K76" i="15"/>
  <c r="J76" i="15" s="1"/>
  <c r="H76" i="15"/>
  <c r="G76" i="15"/>
  <c r="E76" i="15"/>
  <c r="D76" i="15" s="1"/>
  <c r="K75" i="15"/>
  <c r="J75" i="15"/>
  <c r="H75" i="15"/>
  <c r="G75" i="15" s="1"/>
  <c r="E75" i="15"/>
  <c r="D75" i="15"/>
  <c r="K74" i="15"/>
  <c r="J74" i="15" s="1"/>
  <c r="H74" i="15"/>
  <c r="G74" i="15"/>
  <c r="E74" i="15"/>
  <c r="D74" i="15" s="1"/>
  <c r="K73" i="15"/>
  <c r="J73" i="15"/>
  <c r="H73" i="15"/>
  <c r="G73" i="15" s="1"/>
  <c r="E73" i="15"/>
  <c r="D73" i="15"/>
  <c r="K72" i="15"/>
  <c r="J72" i="15" s="1"/>
  <c r="H72" i="15"/>
  <c r="G72" i="15"/>
  <c r="E72" i="15"/>
  <c r="D72" i="15" s="1"/>
  <c r="K71" i="15"/>
  <c r="J71" i="15"/>
  <c r="H71" i="15"/>
  <c r="G71" i="15" s="1"/>
  <c r="E71" i="15"/>
  <c r="D71" i="15"/>
  <c r="K70" i="15"/>
  <c r="J70" i="15" s="1"/>
  <c r="H70" i="15"/>
  <c r="G70" i="15"/>
  <c r="E70" i="15"/>
  <c r="D70" i="15" s="1"/>
  <c r="K69" i="15"/>
  <c r="J69" i="15"/>
  <c r="H69" i="15"/>
  <c r="G69" i="15" s="1"/>
  <c r="E69" i="15"/>
  <c r="D69" i="15"/>
  <c r="K68" i="15"/>
  <c r="J68" i="15" s="1"/>
  <c r="H68" i="15"/>
  <c r="G68" i="15"/>
  <c r="E68" i="15"/>
  <c r="D68" i="15" s="1"/>
  <c r="K67" i="15"/>
  <c r="J67" i="15"/>
  <c r="H67" i="15"/>
  <c r="G67" i="15" s="1"/>
  <c r="E67" i="15"/>
  <c r="D67" i="15"/>
  <c r="K66" i="15"/>
  <c r="J66" i="15" s="1"/>
  <c r="H66" i="15"/>
  <c r="G66" i="15"/>
  <c r="E66" i="15"/>
  <c r="D66" i="15" s="1"/>
  <c r="K65" i="15"/>
  <c r="J65" i="15"/>
  <c r="H65" i="15"/>
  <c r="G65" i="15" s="1"/>
  <c r="E65" i="15"/>
  <c r="D65" i="15"/>
  <c r="K64" i="15"/>
  <c r="J64" i="15" s="1"/>
  <c r="H64" i="15"/>
  <c r="G64" i="15"/>
  <c r="E64" i="15"/>
  <c r="D64" i="15" s="1"/>
  <c r="K63" i="15"/>
  <c r="J63" i="15"/>
  <c r="H63" i="15"/>
  <c r="G63" i="15" s="1"/>
  <c r="E63" i="15"/>
  <c r="D63" i="15"/>
  <c r="K62" i="15"/>
  <c r="J62" i="15" s="1"/>
  <c r="H62" i="15"/>
  <c r="G62" i="15"/>
  <c r="E62" i="15"/>
  <c r="D62" i="15" s="1"/>
  <c r="K61" i="15"/>
  <c r="J61" i="15"/>
  <c r="H61" i="15"/>
  <c r="G61" i="15" s="1"/>
  <c r="E61" i="15"/>
  <c r="D61" i="15"/>
  <c r="K60" i="15"/>
  <c r="J60" i="15" s="1"/>
  <c r="H60" i="15"/>
  <c r="G60" i="15"/>
  <c r="E60" i="15"/>
  <c r="D60" i="15" s="1"/>
  <c r="K59" i="15"/>
  <c r="J59" i="15"/>
  <c r="H59" i="15"/>
  <c r="G59" i="15" s="1"/>
  <c r="E59" i="15"/>
  <c r="D59" i="15"/>
  <c r="K58" i="15"/>
  <c r="J58" i="15" s="1"/>
  <c r="H58" i="15"/>
  <c r="G58" i="15"/>
  <c r="E58" i="15"/>
  <c r="D58" i="15" s="1"/>
  <c r="K57" i="15"/>
  <c r="J57" i="15"/>
  <c r="H57" i="15"/>
  <c r="G57" i="15" s="1"/>
  <c r="E57" i="15"/>
  <c r="D57" i="15"/>
  <c r="K56" i="15"/>
  <c r="J56" i="15" s="1"/>
  <c r="H56" i="15"/>
  <c r="G56" i="15"/>
  <c r="E56" i="15"/>
  <c r="D56" i="15" s="1"/>
  <c r="K55" i="15"/>
  <c r="J55" i="15"/>
  <c r="H55" i="15"/>
  <c r="G55" i="15" s="1"/>
  <c r="E55" i="15"/>
  <c r="D55" i="15"/>
  <c r="K54" i="15"/>
  <c r="J54" i="15" s="1"/>
  <c r="H54" i="15"/>
  <c r="G54" i="15"/>
  <c r="E54" i="15"/>
  <c r="D54" i="15" s="1"/>
  <c r="K53" i="15"/>
  <c r="J53" i="15"/>
  <c r="H53" i="15"/>
  <c r="G53" i="15" s="1"/>
  <c r="E53" i="15"/>
  <c r="D53" i="15"/>
  <c r="K52" i="15"/>
  <c r="J52" i="15" s="1"/>
  <c r="H52" i="15"/>
  <c r="G52" i="15"/>
  <c r="E52" i="15"/>
  <c r="D52" i="15" s="1"/>
  <c r="K51" i="15"/>
  <c r="J51" i="15"/>
  <c r="H51" i="15"/>
  <c r="G51" i="15" s="1"/>
  <c r="E51" i="15"/>
  <c r="D51" i="15"/>
  <c r="K50" i="15"/>
  <c r="J50" i="15" s="1"/>
  <c r="H50" i="15"/>
  <c r="G50" i="15"/>
  <c r="E50" i="15"/>
  <c r="D50" i="15" s="1"/>
  <c r="K49" i="15"/>
  <c r="J49" i="15"/>
  <c r="H49" i="15"/>
  <c r="G49" i="15" s="1"/>
  <c r="E49" i="15"/>
  <c r="D49" i="15"/>
  <c r="K48" i="15"/>
  <c r="J48" i="15" s="1"/>
  <c r="H48" i="15"/>
  <c r="G48" i="15"/>
  <c r="E48" i="15"/>
  <c r="D48" i="15" s="1"/>
  <c r="K47" i="15"/>
  <c r="J47" i="15"/>
  <c r="H47" i="15"/>
  <c r="G47" i="15" s="1"/>
  <c r="E47" i="15"/>
  <c r="D47" i="15"/>
  <c r="K46" i="15"/>
  <c r="J46" i="15" s="1"/>
  <c r="H46" i="15"/>
  <c r="G46" i="15"/>
  <c r="E46" i="15"/>
  <c r="D46" i="15" s="1"/>
  <c r="K45" i="15"/>
  <c r="J45" i="15"/>
  <c r="H45" i="15"/>
  <c r="G45" i="15" s="1"/>
  <c r="E45" i="15"/>
  <c r="D45" i="15"/>
  <c r="K44" i="15"/>
  <c r="J44" i="15" s="1"/>
  <c r="H44" i="15"/>
  <c r="G44" i="15"/>
  <c r="E44" i="15"/>
  <c r="D44" i="15" s="1"/>
  <c r="K43" i="15"/>
  <c r="J43" i="15"/>
  <c r="H43" i="15"/>
  <c r="G43" i="15" s="1"/>
  <c r="E43" i="15"/>
  <c r="D43" i="15"/>
  <c r="K42" i="15"/>
  <c r="J42" i="15" s="1"/>
  <c r="H42" i="15"/>
  <c r="G42" i="15"/>
  <c r="E42" i="15"/>
  <c r="D42" i="15" s="1"/>
  <c r="K41" i="15"/>
  <c r="J41" i="15"/>
  <c r="H41" i="15"/>
  <c r="G41" i="15" s="1"/>
  <c r="E41" i="15"/>
  <c r="D41" i="15"/>
  <c r="K40" i="15"/>
  <c r="J40" i="15" s="1"/>
  <c r="H40" i="15"/>
  <c r="G40" i="15"/>
  <c r="E40" i="15"/>
  <c r="D40" i="15" s="1"/>
  <c r="K39" i="15"/>
  <c r="J39" i="15"/>
  <c r="H39" i="15"/>
  <c r="G39" i="15" s="1"/>
  <c r="E39" i="15"/>
  <c r="D39" i="15"/>
  <c r="K38" i="15"/>
  <c r="J38" i="15" s="1"/>
  <c r="H38" i="15"/>
  <c r="G38" i="15"/>
  <c r="E38" i="15"/>
  <c r="D38" i="15" s="1"/>
  <c r="K37" i="15"/>
  <c r="J37" i="15"/>
  <c r="H37" i="15"/>
  <c r="G37" i="15" s="1"/>
  <c r="E37" i="15"/>
  <c r="D37" i="15"/>
  <c r="K36" i="15"/>
  <c r="J36" i="15" s="1"/>
  <c r="H36" i="15"/>
  <c r="G36" i="15"/>
  <c r="E36" i="15"/>
  <c r="D36" i="15" s="1"/>
  <c r="K35" i="15"/>
  <c r="J35" i="15"/>
  <c r="H35" i="15"/>
  <c r="G35" i="15" s="1"/>
  <c r="E35" i="15"/>
  <c r="D35" i="15"/>
  <c r="K34" i="15"/>
  <c r="J34" i="15" s="1"/>
  <c r="H34" i="15"/>
  <c r="G34" i="15"/>
  <c r="E34" i="15"/>
  <c r="D34" i="15" s="1"/>
  <c r="K33" i="15"/>
  <c r="J33" i="15"/>
  <c r="H33" i="15"/>
  <c r="G33" i="15" s="1"/>
  <c r="E33" i="15"/>
  <c r="D33" i="15"/>
  <c r="K32" i="15"/>
  <c r="J32" i="15" s="1"/>
  <c r="H32" i="15"/>
  <c r="G32" i="15"/>
  <c r="E32" i="15"/>
  <c r="D32" i="15" s="1"/>
  <c r="K31" i="15"/>
  <c r="J31" i="15"/>
  <c r="H31" i="15"/>
  <c r="G31" i="15" s="1"/>
  <c r="E31" i="15"/>
  <c r="D31" i="15"/>
  <c r="K30" i="15"/>
  <c r="J30" i="15" s="1"/>
  <c r="H30" i="15"/>
  <c r="G30" i="15"/>
  <c r="E30" i="15"/>
  <c r="D30" i="15" s="1"/>
  <c r="K29" i="15"/>
  <c r="J29" i="15"/>
  <c r="H29" i="15"/>
  <c r="G29" i="15" s="1"/>
  <c r="E29" i="15"/>
  <c r="D29" i="15"/>
  <c r="K28" i="15"/>
  <c r="J28" i="15" s="1"/>
  <c r="H28" i="15"/>
  <c r="G28" i="15"/>
  <c r="E28" i="15"/>
  <c r="D28" i="15" s="1"/>
  <c r="K27" i="15"/>
  <c r="J27" i="15"/>
  <c r="H27" i="15"/>
  <c r="G27" i="15" s="1"/>
  <c r="E27" i="15"/>
  <c r="D27" i="15"/>
  <c r="K26" i="15"/>
  <c r="J26" i="15" s="1"/>
  <c r="H26" i="15"/>
  <c r="G26" i="15"/>
  <c r="E26" i="15"/>
  <c r="D26" i="15" s="1"/>
  <c r="K25" i="15"/>
  <c r="J25" i="15"/>
  <c r="H25" i="15"/>
  <c r="G25" i="15" s="1"/>
  <c r="E25" i="15"/>
  <c r="D25" i="15"/>
  <c r="K24" i="15"/>
  <c r="J24" i="15" s="1"/>
  <c r="H24" i="15"/>
  <c r="G24" i="15"/>
  <c r="E24" i="15"/>
  <c r="D24" i="15" s="1"/>
  <c r="K23" i="15"/>
  <c r="J23" i="15"/>
  <c r="H23" i="15"/>
  <c r="G23" i="15" s="1"/>
  <c r="E23" i="15"/>
  <c r="D23" i="15"/>
  <c r="K22" i="15"/>
  <c r="J22" i="15" s="1"/>
  <c r="H22" i="15"/>
  <c r="G22" i="15"/>
  <c r="E22" i="15"/>
  <c r="D22" i="15" s="1"/>
  <c r="K21" i="15"/>
  <c r="J21" i="15"/>
  <c r="H21" i="15"/>
  <c r="G21" i="15" s="1"/>
  <c r="E21" i="15"/>
  <c r="D21" i="15"/>
  <c r="K20" i="15"/>
  <c r="J20" i="15" s="1"/>
  <c r="H20" i="15"/>
  <c r="G20" i="15"/>
  <c r="E20" i="15"/>
  <c r="D20" i="15" s="1"/>
  <c r="K19" i="15"/>
  <c r="J19" i="15"/>
  <c r="H19" i="15"/>
  <c r="G19" i="15" s="1"/>
  <c r="E19" i="15"/>
  <c r="D19" i="15"/>
  <c r="K18" i="15"/>
  <c r="J18" i="15" s="1"/>
  <c r="H18" i="15"/>
  <c r="G18" i="15"/>
  <c r="E18" i="15"/>
  <c r="D18" i="15" s="1"/>
  <c r="K17" i="15"/>
  <c r="J17" i="15"/>
  <c r="H17" i="15"/>
  <c r="G17" i="15" s="1"/>
  <c r="E17" i="15"/>
  <c r="D17" i="15"/>
  <c r="K16" i="15"/>
  <c r="J16" i="15" s="1"/>
  <c r="H16" i="15"/>
  <c r="G16" i="15"/>
  <c r="E16" i="15"/>
  <c r="D16" i="15" s="1"/>
  <c r="K15" i="15"/>
  <c r="J15" i="15"/>
  <c r="H15" i="15"/>
  <c r="G15" i="15" s="1"/>
  <c r="E15" i="15"/>
  <c r="D15" i="15"/>
  <c r="K14" i="15"/>
  <c r="J14" i="15" s="1"/>
  <c r="H14" i="15"/>
  <c r="G14" i="15"/>
  <c r="E14" i="15"/>
  <c r="D14" i="15" s="1"/>
  <c r="K13" i="15"/>
  <c r="J13" i="15"/>
  <c r="H13" i="15"/>
  <c r="G13" i="15" s="1"/>
  <c r="E13" i="15"/>
  <c r="D13" i="15"/>
  <c r="K12" i="15"/>
  <c r="J12" i="15" s="1"/>
  <c r="H12" i="15"/>
  <c r="G12" i="15"/>
  <c r="E12" i="15"/>
  <c r="D12" i="15" s="1"/>
  <c r="K11" i="15"/>
  <c r="J11" i="15"/>
  <c r="H11" i="15"/>
  <c r="G11" i="15" s="1"/>
  <c r="E11" i="15"/>
  <c r="D11" i="15"/>
  <c r="K10" i="15"/>
  <c r="J10" i="15" s="1"/>
  <c r="H10" i="15"/>
  <c r="G10" i="15"/>
  <c r="E10" i="15"/>
  <c r="D10" i="15" s="1"/>
  <c r="K9" i="15"/>
  <c r="J9" i="15"/>
  <c r="H9" i="15"/>
  <c r="G9" i="15" s="1"/>
  <c r="E9" i="15"/>
  <c r="D9" i="15"/>
  <c r="K8" i="15"/>
  <c r="J8" i="15" s="1"/>
  <c r="H8" i="15"/>
  <c r="G8" i="15"/>
  <c r="E8" i="15"/>
  <c r="D8" i="15" s="1"/>
  <c r="K7" i="15"/>
  <c r="J7" i="15"/>
  <c r="H7" i="15"/>
  <c r="G7" i="15" s="1"/>
  <c r="E7" i="15"/>
  <c r="D7" i="15"/>
  <c r="B72" i="13"/>
  <c r="C72" i="13" s="1"/>
  <c r="AP73" i="13" s="1"/>
  <c r="B71" i="13"/>
  <c r="B73" i="13"/>
  <c r="B74" i="13"/>
  <c r="B75" i="13"/>
  <c r="C75" i="13"/>
  <c r="AP76" i="13"/>
  <c r="U75" i="13"/>
  <c r="V75" i="13"/>
  <c r="AN76" i="13"/>
  <c r="U74" i="13"/>
  <c r="U73" i="13"/>
  <c r="U72" i="13"/>
  <c r="V72" i="13"/>
  <c r="AN73" i="13" s="1"/>
  <c r="D72" i="13"/>
  <c r="D71" i="13"/>
  <c r="E71" i="13" s="1"/>
  <c r="AK72" i="13" s="1"/>
  <c r="D73" i="13"/>
  <c r="E73" i="13"/>
  <c r="AK74" i="13" s="1"/>
  <c r="D74" i="13"/>
  <c r="E74" i="13"/>
  <c r="AK75" i="13"/>
  <c r="D75" i="13"/>
  <c r="E75" i="13"/>
  <c r="AK76" i="13"/>
  <c r="Q72" i="13"/>
  <c r="Q73" i="13"/>
  <c r="F72" i="13"/>
  <c r="F71" i="13"/>
  <c r="G72" i="13"/>
  <c r="F73" i="13"/>
  <c r="G73" i="13"/>
  <c r="AF74" i="13"/>
  <c r="F74" i="13"/>
  <c r="G74" i="13"/>
  <c r="AF75" i="13"/>
  <c r="F75" i="13"/>
  <c r="G75" i="13" s="1"/>
  <c r="AF76" i="13" s="1"/>
  <c r="M75" i="13"/>
  <c r="N75" i="13" s="1"/>
  <c r="AD76" i="13" s="1"/>
  <c r="M74" i="13"/>
  <c r="N74" i="13"/>
  <c r="AD75" i="13" s="1"/>
  <c r="M72" i="13"/>
  <c r="AC76" i="13"/>
  <c r="L74" i="13"/>
  <c r="AC75" i="13"/>
  <c r="N79" i="21"/>
  <c r="W75" i="13" s="1"/>
  <c r="X75" i="13" s="1"/>
  <c r="G75" i="7"/>
  <c r="H75" i="7"/>
  <c r="V79" i="21" s="1"/>
  <c r="S75" i="13" s="1"/>
  <c r="T75" i="13" s="1"/>
  <c r="E79" i="21"/>
  <c r="O75" i="13" s="1"/>
  <c r="P75" i="13" s="1"/>
  <c r="L73" i="13"/>
  <c r="AC74" i="13"/>
  <c r="N78" i="21"/>
  <c r="W74" i="13" s="1"/>
  <c r="G74" i="7"/>
  <c r="H74" i="7" s="1"/>
  <c r="V78" i="21" s="1"/>
  <c r="S74" i="13" s="1"/>
  <c r="T74" i="13" s="1"/>
  <c r="E78" i="21"/>
  <c r="O74" i="13" s="1"/>
  <c r="P74" i="13" s="1"/>
  <c r="L72" i="13"/>
  <c r="AC73" i="13" s="1"/>
  <c r="N77" i="21"/>
  <c r="W73" i="13"/>
  <c r="G73" i="7"/>
  <c r="H73" i="7" s="1"/>
  <c r="V77" i="21" s="1"/>
  <c r="S73" i="13"/>
  <c r="E77" i="21"/>
  <c r="O73" i="13"/>
  <c r="P73" i="13"/>
  <c r="B68" i="13"/>
  <c r="B67" i="13"/>
  <c r="C68" i="13"/>
  <c r="AP69" i="13"/>
  <c r="B69" i="13"/>
  <c r="C69" i="13" s="1"/>
  <c r="AP70" i="13" s="1"/>
  <c r="B70" i="13"/>
  <c r="U68" i="13"/>
  <c r="V68" i="13"/>
  <c r="AN69" i="13"/>
  <c r="U69" i="13"/>
  <c r="V69" i="13" s="1"/>
  <c r="AN70" i="13" s="1"/>
  <c r="U70" i="13"/>
  <c r="U71" i="13"/>
  <c r="D68" i="13"/>
  <c r="E68" i="13" s="1"/>
  <c r="AK69" i="13" s="1"/>
  <c r="D67" i="13"/>
  <c r="D69" i="13"/>
  <c r="E69" i="13"/>
  <c r="AK70" i="13" s="1"/>
  <c r="D70" i="13"/>
  <c r="E70" i="13"/>
  <c r="AK71" i="13"/>
  <c r="Q69" i="13"/>
  <c r="Q71" i="13"/>
  <c r="F68" i="13"/>
  <c r="F67" i="13"/>
  <c r="G68" i="13"/>
  <c r="AF69" i="13"/>
  <c r="F69" i="13"/>
  <c r="G69" i="13" s="1"/>
  <c r="AF70" i="13" s="1"/>
  <c r="F70" i="13"/>
  <c r="M70" i="13"/>
  <c r="M69" i="13"/>
  <c r="N69" i="13" s="1"/>
  <c r="AD70" i="13" s="1"/>
  <c r="M68" i="13"/>
  <c r="N68" i="13"/>
  <c r="AD69" i="13" s="1"/>
  <c r="L71" i="13"/>
  <c r="AC72" i="13"/>
  <c r="N76" i="21"/>
  <c r="W72" i="13" s="1"/>
  <c r="G72" i="7"/>
  <c r="H72" i="7" s="1"/>
  <c r="V76" i="21" s="1"/>
  <c r="S72" i="13" s="1"/>
  <c r="E76" i="21"/>
  <c r="O72" i="13" s="1"/>
  <c r="P72" i="13" s="1"/>
  <c r="L70" i="13"/>
  <c r="AC71" i="13" s="1"/>
  <c r="N75" i="21"/>
  <c r="W71" i="13"/>
  <c r="G71" i="7"/>
  <c r="H71" i="7" s="1"/>
  <c r="V75" i="21" s="1"/>
  <c r="S71" i="13"/>
  <c r="T71" i="13" s="1"/>
  <c r="L69" i="13"/>
  <c r="AC70" i="13" s="1"/>
  <c r="N74" i="21"/>
  <c r="W70" i="13"/>
  <c r="G70" i="7"/>
  <c r="H70" i="7"/>
  <c r="V74" i="21"/>
  <c r="S70" i="13" s="1"/>
  <c r="T70" i="13" s="1"/>
  <c r="E74" i="21"/>
  <c r="O70" i="13"/>
  <c r="L68" i="13"/>
  <c r="AC69" i="13"/>
  <c r="N73" i="21"/>
  <c r="W69" i="13" s="1"/>
  <c r="X69" i="13" s="1"/>
  <c r="G69" i="7"/>
  <c r="H69" i="7"/>
  <c r="V73" i="21" s="1"/>
  <c r="S69" i="13" s="1"/>
  <c r="T69" i="13" s="1"/>
  <c r="E73" i="21"/>
  <c r="O69" i="13" s="1"/>
  <c r="P69" i="13" s="1"/>
  <c r="B64" i="13"/>
  <c r="C64" i="13" s="1"/>
  <c r="AP65" i="13" s="1"/>
  <c r="AQ68" i="13" s="1"/>
  <c r="AY15" i="13" s="1"/>
  <c r="B63" i="13"/>
  <c r="B65" i="13"/>
  <c r="C65" i="13"/>
  <c r="AP66" i="13" s="1"/>
  <c r="B66" i="13"/>
  <c r="C66" i="13"/>
  <c r="AP67" i="13"/>
  <c r="C67" i="13"/>
  <c r="AP68" i="13" s="1"/>
  <c r="U64" i="13"/>
  <c r="V64" i="13" s="1"/>
  <c r="AN65" i="13" s="1"/>
  <c r="U65" i="13"/>
  <c r="V65" i="13"/>
  <c r="AN66" i="13" s="1"/>
  <c r="U66" i="13"/>
  <c r="V66" i="13"/>
  <c r="AN67" i="13"/>
  <c r="U67" i="13"/>
  <c r="V67" i="13" s="1"/>
  <c r="AN68" i="13" s="1"/>
  <c r="D64" i="13"/>
  <c r="D63" i="13"/>
  <c r="E64" i="13"/>
  <c r="AK65" i="13"/>
  <c r="D65" i="13"/>
  <c r="E65" i="13" s="1"/>
  <c r="D66" i="13"/>
  <c r="E66" i="13" s="1"/>
  <c r="AK67" i="13" s="1"/>
  <c r="Q64" i="13"/>
  <c r="R64" i="13"/>
  <c r="AI65" i="13"/>
  <c r="Q65" i="13"/>
  <c r="Q67" i="13"/>
  <c r="F64" i="13"/>
  <c r="G64" i="13" s="1"/>
  <c r="AF65" i="13" s="1"/>
  <c r="F63" i="13"/>
  <c r="F65" i="13"/>
  <c r="G65" i="13"/>
  <c r="AF66" i="13" s="1"/>
  <c r="F66" i="13"/>
  <c r="G67" i="13" s="1"/>
  <c r="AF68" i="13" s="1"/>
  <c r="G66" i="13"/>
  <c r="AF67" i="13"/>
  <c r="M64" i="13"/>
  <c r="M66" i="13"/>
  <c r="N66" i="13"/>
  <c r="AD67" i="13"/>
  <c r="L67" i="13"/>
  <c r="AC68" i="13" s="1"/>
  <c r="N72" i="21"/>
  <c r="W68" i="13"/>
  <c r="X68" i="13" s="1"/>
  <c r="G68" i="7"/>
  <c r="H68" i="7"/>
  <c r="V72" i="21"/>
  <c r="S68" i="13" s="1"/>
  <c r="E72" i="21"/>
  <c r="O68" i="13"/>
  <c r="P68" i="13" s="1"/>
  <c r="L66" i="13"/>
  <c r="AC67" i="13"/>
  <c r="N71" i="21"/>
  <c r="W67" i="13" s="1"/>
  <c r="X67" i="13" s="1"/>
  <c r="G67" i="7"/>
  <c r="H67" i="7"/>
  <c r="V71" i="21" s="1"/>
  <c r="S67" i="13" s="1"/>
  <c r="L65" i="13"/>
  <c r="AC66" i="13"/>
  <c r="N70" i="21"/>
  <c r="W66" i="13"/>
  <c r="X66" i="13"/>
  <c r="G66" i="7"/>
  <c r="H66" i="7" s="1"/>
  <c r="V70" i="21" s="1"/>
  <c r="S66" i="13" s="1"/>
  <c r="T66" i="13" s="1"/>
  <c r="E70" i="21"/>
  <c r="O66" i="13" s="1"/>
  <c r="P66" i="13" s="1"/>
  <c r="L64" i="13"/>
  <c r="AC65" i="13" s="1"/>
  <c r="N69" i="21"/>
  <c r="W65" i="13"/>
  <c r="X65" i="13"/>
  <c r="G65" i="7"/>
  <c r="H65" i="7" s="1"/>
  <c r="V69" i="21" s="1"/>
  <c r="S65" i="13"/>
  <c r="E69" i="21"/>
  <c r="O65" i="13"/>
  <c r="P65" i="13"/>
  <c r="B60" i="13"/>
  <c r="B59" i="13"/>
  <c r="C60" i="13"/>
  <c r="AP61" i="13"/>
  <c r="B61" i="13"/>
  <c r="C61" i="13" s="1"/>
  <c r="AP62" i="13" s="1"/>
  <c r="B62" i="13"/>
  <c r="C62" i="13" s="1"/>
  <c r="AP63" i="13" s="1"/>
  <c r="U60" i="13"/>
  <c r="V60" i="13"/>
  <c r="AN61" i="13"/>
  <c r="U61" i="13"/>
  <c r="V61" i="13" s="1"/>
  <c r="AN62" i="13" s="1"/>
  <c r="U62" i="13"/>
  <c r="U63" i="13"/>
  <c r="D60" i="13"/>
  <c r="E60" i="13" s="1"/>
  <c r="AK61" i="13" s="1"/>
  <c r="D59" i="13"/>
  <c r="D61" i="13"/>
  <c r="E61" i="13"/>
  <c r="AK62" i="13" s="1"/>
  <c r="D62" i="13"/>
  <c r="E63" i="13" s="1"/>
  <c r="E62" i="13"/>
  <c r="AK63" i="13"/>
  <c r="Q60" i="13"/>
  <c r="Q61" i="13"/>
  <c r="Q63" i="13"/>
  <c r="F60" i="13"/>
  <c r="F59" i="13"/>
  <c r="G60" i="13"/>
  <c r="AF61" i="13"/>
  <c r="F61" i="13"/>
  <c r="G61" i="13" s="1"/>
  <c r="AF62" i="13" s="1"/>
  <c r="F62" i="13"/>
  <c r="G62" i="13" s="1"/>
  <c r="AF63" i="13" s="1"/>
  <c r="M62" i="13"/>
  <c r="M61" i="13"/>
  <c r="N61" i="13" s="1"/>
  <c r="AD62" i="13" s="1"/>
  <c r="M60" i="13"/>
  <c r="N60" i="13"/>
  <c r="AD61" i="13" s="1"/>
  <c r="L63" i="13"/>
  <c r="AC64" i="13"/>
  <c r="N68" i="21"/>
  <c r="W64" i="13" s="1"/>
  <c r="G64" i="7"/>
  <c r="H64" i="7" s="1"/>
  <c r="V68" i="21" s="1"/>
  <c r="S64" i="13" s="1"/>
  <c r="T64" i="13" s="1"/>
  <c r="E68" i="21"/>
  <c r="O64" i="13" s="1"/>
  <c r="P64" i="13" s="1"/>
  <c r="L62" i="13"/>
  <c r="AC63" i="13" s="1"/>
  <c r="N67" i="21"/>
  <c r="W63" i="13"/>
  <c r="G63" i="7"/>
  <c r="H63" i="7" s="1"/>
  <c r="V67" i="21" s="1"/>
  <c r="S63" i="13"/>
  <c r="T63" i="13" s="1"/>
  <c r="L61" i="13"/>
  <c r="AC62" i="13" s="1"/>
  <c r="N66" i="21"/>
  <c r="W62" i="13"/>
  <c r="X62" i="13" s="1"/>
  <c r="G62" i="7"/>
  <c r="H62" i="7"/>
  <c r="V66" i="21"/>
  <c r="S62" i="13" s="1"/>
  <c r="T62" i="13" s="1"/>
  <c r="E66" i="21"/>
  <c r="O62" i="13"/>
  <c r="L60" i="13"/>
  <c r="AC61" i="13"/>
  <c r="N65" i="21"/>
  <c r="W61" i="13" s="1"/>
  <c r="X61" i="13" s="1"/>
  <c r="G61" i="7"/>
  <c r="H61" i="7"/>
  <c r="V65" i="21" s="1"/>
  <c r="S61" i="13" s="1"/>
  <c r="T61" i="13" s="1"/>
  <c r="E65" i="21"/>
  <c r="O61" i="13" s="1"/>
  <c r="P61" i="13" s="1"/>
  <c r="B56" i="13"/>
  <c r="B55" i="13"/>
  <c r="C55" i="13" s="1"/>
  <c r="B57" i="13"/>
  <c r="C57" i="13"/>
  <c r="AP58" i="13" s="1"/>
  <c r="B58" i="13"/>
  <c r="C58" i="13"/>
  <c r="AP59" i="13" s="1"/>
  <c r="C59" i="13"/>
  <c r="AP60" i="13" s="1"/>
  <c r="U56" i="13"/>
  <c r="U57" i="13"/>
  <c r="V57" i="13"/>
  <c r="AN58" i="13" s="1"/>
  <c r="U58" i="13"/>
  <c r="V58" i="13"/>
  <c r="AN59" i="13" s="1"/>
  <c r="U59" i="13"/>
  <c r="V59" i="13" s="1"/>
  <c r="AN60" i="13" s="1"/>
  <c r="D56" i="13"/>
  <c r="D55" i="13"/>
  <c r="E56" i="13"/>
  <c r="AK57" i="13"/>
  <c r="D57" i="13"/>
  <c r="E57" i="13" s="1"/>
  <c r="AK58" i="13"/>
  <c r="D58" i="13"/>
  <c r="E58" i="13" s="1"/>
  <c r="AK59" i="13" s="1"/>
  <c r="E59" i="13"/>
  <c r="AK60" i="13" s="1"/>
  <c r="Q56" i="13"/>
  <c r="R56" i="13"/>
  <c r="AI57" i="13"/>
  <c r="Q58" i="13"/>
  <c r="R58" i="13" s="1"/>
  <c r="AI59" i="13" s="1"/>
  <c r="Q59" i="13"/>
  <c r="R59" i="13"/>
  <c r="AI60" i="13" s="1"/>
  <c r="F56" i="13"/>
  <c r="G56" i="13" s="1"/>
  <c r="F55" i="13"/>
  <c r="F57" i="13"/>
  <c r="G57" i="13"/>
  <c r="AF58" i="13" s="1"/>
  <c r="F58" i="13"/>
  <c r="G59" i="13" s="1"/>
  <c r="AF60" i="13" s="1"/>
  <c r="M58" i="13"/>
  <c r="M56" i="13"/>
  <c r="L59" i="13"/>
  <c r="AC60" i="13"/>
  <c r="N64" i="21"/>
  <c r="W60" i="13"/>
  <c r="X60" i="13" s="1"/>
  <c r="G60" i="7"/>
  <c r="H60" i="7" s="1"/>
  <c r="V64" i="21" s="1"/>
  <c r="S60" i="13" s="1"/>
  <c r="T60" i="13" s="1"/>
  <c r="E64" i="21"/>
  <c r="O60" i="13"/>
  <c r="P60" i="13" s="1"/>
  <c r="L58" i="13"/>
  <c r="AC59" i="13" s="1"/>
  <c r="N63" i="21"/>
  <c r="W59" i="13" s="1"/>
  <c r="X59" i="13" s="1"/>
  <c r="G59" i="7"/>
  <c r="H59" i="7"/>
  <c r="V63" i="21" s="1"/>
  <c r="S59" i="13" s="1"/>
  <c r="T59" i="13" s="1"/>
  <c r="L57" i="13"/>
  <c r="AC58" i="13"/>
  <c r="N62" i="21"/>
  <c r="W58" i="13"/>
  <c r="X58" i="13" s="1"/>
  <c r="G58" i="7"/>
  <c r="H58" i="7" s="1"/>
  <c r="V62" i="21" s="1"/>
  <c r="S58" i="13" s="1"/>
  <c r="T58" i="13"/>
  <c r="E62" i="21"/>
  <c r="O58" i="13"/>
  <c r="L56" i="13"/>
  <c r="AC57" i="13" s="1"/>
  <c r="N61" i="21"/>
  <c r="W57" i="13" s="1"/>
  <c r="X57" i="13" s="1"/>
  <c r="G57" i="7"/>
  <c r="H57" i="7"/>
  <c r="V61" i="21" s="1"/>
  <c r="S57" i="13"/>
  <c r="T57" i="13" s="1"/>
  <c r="B52" i="13"/>
  <c r="B51" i="13"/>
  <c r="C51" i="13" s="1"/>
  <c r="B53" i="13"/>
  <c r="C53" i="13"/>
  <c r="AP54" i="13" s="1"/>
  <c r="B54" i="13"/>
  <c r="C54" i="13" s="1"/>
  <c r="AP55" i="13" s="1"/>
  <c r="AP56" i="13"/>
  <c r="U52" i="13"/>
  <c r="U53" i="13"/>
  <c r="V53" i="13"/>
  <c r="AN54" i="13" s="1"/>
  <c r="U54" i="13"/>
  <c r="U55" i="13"/>
  <c r="D52" i="13"/>
  <c r="E52" i="13" s="1"/>
  <c r="AK53" i="13" s="1"/>
  <c r="D51" i="13"/>
  <c r="D53" i="13"/>
  <c r="E53" i="13"/>
  <c r="AK54" i="13" s="1"/>
  <c r="D54" i="13"/>
  <c r="E55" i="13" s="1"/>
  <c r="Q52" i="13"/>
  <c r="Q54" i="13"/>
  <c r="Q55" i="13"/>
  <c r="F52" i="13"/>
  <c r="F51" i="13"/>
  <c r="G51" i="13" s="1"/>
  <c r="AF52" i="13" s="1"/>
  <c r="F53" i="13"/>
  <c r="G53" i="13"/>
  <c r="AF54" i="13" s="1"/>
  <c r="F54" i="13"/>
  <c r="G54" i="13" s="1"/>
  <c r="M54" i="13"/>
  <c r="M53" i="13"/>
  <c r="N53" i="13" s="1"/>
  <c r="AD54" i="13" s="1"/>
  <c r="M52" i="13"/>
  <c r="L55" i="13"/>
  <c r="AC56" i="13"/>
  <c r="N60" i="21"/>
  <c r="W56" i="13"/>
  <c r="G56" i="7"/>
  <c r="H56" i="7" s="1"/>
  <c r="V60" i="21" s="1"/>
  <c r="S56" i="13" s="1"/>
  <c r="T56" i="13" s="1"/>
  <c r="E60" i="21"/>
  <c r="O56" i="13"/>
  <c r="L54" i="13"/>
  <c r="AC55" i="13" s="1"/>
  <c r="N59" i="21"/>
  <c r="W55" i="13" s="1"/>
  <c r="G55" i="7"/>
  <c r="H55" i="7"/>
  <c r="V59" i="21" s="1"/>
  <c r="S55" i="13" s="1"/>
  <c r="T55" i="13" s="1"/>
  <c r="L53" i="13"/>
  <c r="AC54" i="13"/>
  <c r="N58" i="21"/>
  <c r="W54" i="13"/>
  <c r="X54" i="13" s="1"/>
  <c r="G54" i="7"/>
  <c r="H54" i="7" s="1"/>
  <c r="V58" i="21"/>
  <c r="S54" i="13" s="1"/>
  <c r="E58" i="21"/>
  <c r="O54" i="13"/>
  <c r="P54" i="13" s="1"/>
  <c r="L52" i="13"/>
  <c r="AC53" i="13" s="1"/>
  <c r="N57" i="21"/>
  <c r="G53" i="7"/>
  <c r="H53" i="7"/>
  <c r="V57" i="21" s="1"/>
  <c r="S53" i="13" s="1"/>
  <c r="T53" i="13" s="1"/>
  <c r="E57" i="21"/>
  <c r="O53" i="13" s="1"/>
  <c r="P53" i="13" s="1"/>
  <c r="B48" i="13"/>
  <c r="C48" i="13" s="1"/>
  <c r="AP49" i="13" s="1"/>
  <c r="B47" i="13"/>
  <c r="B49" i="13"/>
  <c r="C49" i="13"/>
  <c r="AP50" i="13" s="1"/>
  <c r="B50" i="13"/>
  <c r="C50" i="13" s="1"/>
  <c r="AP51" i="13" s="1"/>
  <c r="U48" i="13"/>
  <c r="U49" i="13"/>
  <c r="V49" i="13"/>
  <c r="AN50" i="13" s="1"/>
  <c r="U50" i="13"/>
  <c r="U51" i="13"/>
  <c r="D48" i="13"/>
  <c r="D47" i="13"/>
  <c r="E47" i="13" s="1"/>
  <c r="D49" i="13"/>
  <c r="E49" i="13"/>
  <c r="AK50" i="13" s="1"/>
  <c r="D50" i="13"/>
  <c r="E50" i="13" s="1"/>
  <c r="AK51" i="13" s="1"/>
  <c r="Q48" i="13"/>
  <c r="Q49" i="13"/>
  <c r="R49" i="13"/>
  <c r="AI50" i="13" s="1"/>
  <c r="Q50" i="13"/>
  <c r="R50" i="13" s="1"/>
  <c r="AI51" i="13" s="1"/>
  <c r="F48" i="13"/>
  <c r="G48" i="13" s="1"/>
  <c r="F47" i="13"/>
  <c r="F49" i="13"/>
  <c r="G49" i="13"/>
  <c r="AF50" i="13" s="1"/>
  <c r="F50" i="13"/>
  <c r="G50" i="13" s="1"/>
  <c r="AF51" i="13" s="1"/>
  <c r="M51" i="13"/>
  <c r="N51" i="13" s="1"/>
  <c r="AD52" i="13" s="1"/>
  <c r="M50" i="13"/>
  <c r="N50" i="13"/>
  <c r="AD51" i="13" s="1"/>
  <c r="M49" i="13"/>
  <c r="N49" i="13" s="1"/>
  <c r="AD50" i="13"/>
  <c r="M48" i="13"/>
  <c r="L51" i="13"/>
  <c r="AC52" i="13"/>
  <c r="N56" i="21"/>
  <c r="W52" i="13"/>
  <c r="G52" i="7"/>
  <c r="H52" i="7" s="1"/>
  <c r="V56" i="21"/>
  <c r="S52" i="13" s="1"/>
  <c r="T52" i="13" s="1"/>
  <c r="E56" i="21"/>
  <c r="O52" i="13"/>
  <c r="L50" i="13"/>
  <c r="AC51" i="13" s="1"/>
  <c r="N55" i="21"/>
  <c r="W51" i="13" s="1"/>
  <c r="X51" i="13" s="1"/>
  <c r="G51" i="7"/>
  <c r="H51" i="7"/>
  <c r="V55" i="21" s="1"/>
  <c r="S51" i="13" s="1"/>
  <c r="E55" i="21"/>
  <c r="O51" i="13" s="1"/>
  <c r="P51" i="13" s="1"/>
  <c r="L49" i="13"/>
  <c r="AC50" i="13"/>
  <c r="N54" i="21"/>
  <c r="W50" i="13"/>
  <c r="G50" i="7"/>
  <c r="H50" i="7" s="1"/>
  <c r="V54" i="21" s="1"/>
  <c r="E54" i="21"/>
  <c r="O50" i="13"/>
  <c r="L48" i="13"/>
  <c r="AC49" i="13" s="1"/>
  <c r="N53" i="21"/>
  <c r="W49" i="13" s="1"/>
  <c r="X49" i="13"/>
  <c r="G49" i="7"/>
  <c r="H49" i="7"/>
  <c r="V53" i="21" s="1"/>
  <c r="E53" i="21"/>
  <c r="O49" i="13" s="1"/>
  <c r="P49" i="13" s="1"/>
  <c r="B44" i="13"/>
  <c r="B43" i="13"/>
  <c r="C43" i="13" s="1"/>
  <c r="B45" i="13"/>
  <c r="C45" i="13"/>
  <c r="AP46" i="13" s="1"/>
  <c r="B46" i="13"/>
  <c r="C46" i="13" s="1"/>
  <c r="AP47" i="13" s="1"/>
  <c r="U44" i="13"/>
  <c r="U45" i="13"/>
  <c r="V45" i="13"/>
  <c r="AN46" i="13" s="1"/>
  <c r="U46" i="13"/>
  <c r="V46" i="13" s="1"/>
  <c r="AN47" i="13" s="1"/>
  <c r="U47" i="13"/>
  <c r="D44" i="13"/>
  <c r="E44" i="13" s="1"/>
  <c r="AK45" i="13" s="1"/>
  <c r="D43" i="13"/>
  <c r="D45" i="13"/>
  <c r="E45" i="13"/>
  <c r="AK46" i="13" s="1"/>
  <c r="D46" i="13"/>
  <c r="E46" i="13" s="1"/>
  <c r="AK47" i="13" s="1"/>
  <c r="Q44" i="13"/>
  <c r="R44" i="13" s="1"/>
  <c r="AI45" i="13" s="1"/>
  <c r="Q45" i="13"/>
  <c r="R45" i="13"/>
  <c r="AI46" i="13" s="1"/>
  <c r="Q46" i="13"/>
  <c r="Q47" i="13"/>
  <c r="F44" i="13"/>
  <c r="F43" i="13"/>
  <c r="G43" i="13" s="1"/>
  <c r="AF44" i="13" s="1"/>
  <c r="F45" i="13"/>
  <c r="G45" i="13"/>
  <c r="AF46" i="13" s="1"/>
  <c r="F46" i="13"/>
  <c r="G46" i="13" s="1"/>
  <c r="AF47" i="13" s="1"/>
  <c r="L47" i="13"/>
  <c r="AC48" i="13"/>
  <c r="N52" i="21"/>
  <c r="W48" i="13"/>
  <c r="X48" i="13" s="1"/>
  <c r="G48" i="7"/>
  <c r="H48" i="7" s="1"/>
  <c r="V52" i="21" s="1"/>
  <c r="S48" i="13" s="1"/>
  <c r="E52" i="21"/>
  <c r="O48" i="13"/>
  <c r="P48" i="13" s="1"/>
  <c r="L46" i="13"/>
  <c r="AC47" i="13" s="1"/>
  <c r="N51" i="21"/>
  <c r="W47" i="13" s="1"/>
  <c r="G47" i="7"/>
  <c r="H47" i="7"/>
  <c r="V51" i="21" s="1"/>
  <c r="S47" i="13"/>
  <c r="T47" i="13" s="1"/>
  <c r="L45" i="13"/>
  <c r="AC46" i="13"/>
  <c r="N50" i="21"/>
  <c r="W46" i="13"/>
  <c r="X46" i="13" s="1"/>
  <c r="G46" i="7"/>
  <c r="H46" i="7" s="1"/>
  <c r="V50" i="21" s="1"/>
  <c r="L44" i="13"/>
  <c r="AC45" i="13" s="1"/>
  <c r="N49" i="21"/>
  <c r="G45" i="7"/>
  <c r="H45" i="7"/>
  <c r="V49" i="21" s="1"/>
  <c r="B40" i="13"/>
  <c r="C40" i="13" s="1"/>
  <c r="AP41" i="13" s="1"/>
  <c r="B39" i="13"/>
  <c r="B41" i="13"/>
  <c r="C41" i="13"/>
  <c r="AP42" i="13" s="1"/>
  <c r="B42" i="13"/>
  <c r="C42" i="13" s="1"/>
  <c r="AP43" i="13" s="1"/>
  <c r="U40" i="13"/>
  <c r="V40" i="13" s="1"/>
  <c r="AN41" i="13" s="1"/>
  <c r="U41" i="13"/>
  <c r="V41" i="13"/>
  <c r="AN42" i="13" s="1"/>
  <c r="U42" i="13"/>
  <c r="U43" i="13"/>
  <c r="D40" i="13"/>
  <c r="D39" i="13"/>
  <c r="E39" i="13" s="1"/>
  <c r="D41" i="13"/>
  <c r="E41" i="13"/>
  <c r="AK42" i="13" s="1"/>
  <c r="D42" i="13"/>
  <c r="E42" i="13" s="1"/>
  <c r="AK43" i="13" s="1"/>
  <c r="Q40" i="13"/>
  <c r="Q41" i="13"/>
  <c r="R41" i="13"/>
  <c r="AI42" i="13" s="1"/>
  <c r="Q42" i="13"/>
  <c r="R42" i="13" s="1"/>
  <c r="AI43" i="13" s="1"/>
  <c r="Q43" i="13"/>
  <c r="F40" i="13"/>
  <c r="F39" i="13"/>
  <c r="G39" i="13" s="1"/>
  <c r="F41" i="13"/>
  <c r="G41" i="13"/>
  <c r="AF42" i="13" s="1"/>
  <c r="F42" i="13"/>
  <c r="G42" i="13" s="1"/>
  <c r="AF43" i="13"/>
  <c r="L43" i="13"/>
  <c r="AC44" i="13"/>
  <c r="N48" i="21"/>
  <c r="W44" i="13"/>
  <c r="G44" i="7"/>
  <c r="H44" i="7" s="1"/>
  <c r="V48" i="21"/>
  <c r="L42" i="13"/>
  <c r="AC43" i="13" s="1"/>
  <c r="N47" i="21"/>
  <c r="W43" i="13" s="1"/>
  <c r="X43" i="13" s="1"/>
  <c r="G43" i="7"/>
  <c r="H43" i="7"/>
  <c r="V47" i="21" s="1"/>
  <c r="S43" i="13" s="1"/>
  <c r="L41" i="13"/>
  <c r="AC42" i="13"/>
  <c r="N46" i="21"/>
  <c r="W42" i="13"/>
  <c r="X42" i="13" s="1"/>
  <c r="G42" i="7"/>
  <c r="H42" i="7" s="1"/>
  <c r="V46" i="21" s="1"/>
  <c r="S42" i="13" s="1"/>
  <c r="L40" i="13"/>
  <c r="AC41" i="13" s="1"/>
  <c r="N45" i="21"/>
  <c r="W41" i="13" s="1"/>
  <c r="X41" i="13" s="1"/>
  <c r="G41" i="7"/>
  <c r="H41" i="7"/>
  <c r="V45" i="21" s="1"/>
  <c r="S41" i="13"/>
  <c r="T41" i="13" s="1"/>
  <c r="B36" i="13"/>
  <c r="B35" i="13"/>
  <c r="C36" i="13" s="1"/>
  <c r="AP37" i="13"/>
  <c r="B37" i="13"/>
  <c r="C37" i="13"/>
  <c r="AP38" i="13" s="1"/>
  <c r="B38" i="13"/>
  <c r="C38" i="13" s="1"/>
  <c r="AP39" i="13" s="1"/>
  <c r="U36" i="13"/>
  <c r="U37" i="13"/>
  <c r="V37" i="13"/>
  <c r="AN38" i="13" s="1"/>
  <c r="U38" i="13"/>
  <c r="U39" i="13"/>
  <c r="D36" i="13"/>
  <c r="E36" i="13" s="1"/>
  <c r="AK37" i="13" s="1"/>
  <c r="D35" i="13"/>
  <c r="E35" i="13" s="1"/>
  <c r="AK36" i="13" s="1"/>
  <c r="D37" i="13"/>
  <c r="E37" i="13"/>
  <c r="AK38" i="13" s="1"/>
  <c r="D38" i="13"/>
  <c r="E38" i="13" s="1"/>
  <c r="AK39" i="13" s="1"/>
  <c r="Q38" i="13"/>
  <c r="R38" i="13" s="1"/>
  <c r="AI39" i="13" s="1"/>
  <c r="Q39" i="13"/>
  <c r="F36" i="13"/>
  <c r="F35" i="13"/>
  <c r="G36" i="13" s="1"/>
  <c r="AF37" i="13"/>
  <c r="F37" i="13"/>
  <c r="G37" i="13"/>
  <c r="AF38" i="13" s="1"/>
  <c r="F38" i="13"/>
  <c r="G38" i="13" s="1"/>
  <c r="AF39" i="13" s="1"/>
  <c r="AF40" i="13"/>
  <c r="L39" i="13"/>
  <c r="AC40" i="13"/>
  <c r="N44" i="21"/>
  <c r="W40" i="13"/>
  <c r="G40" i="7"/>
  <c r="H40" i="7" s="1"/>
  <c r="V44" i="21" s="1"/>
  <c r="L38" i="13"/>
  <c r="AC39" i="13" s="1"/>
  <c r="N43" i="21"/>
  <c r="W39" i="13" s="1"/>
  <c r="G39" i="7"/>
  <c r="H39" i="7"/>
  <c r="V43" i="21" s="1"/>
  <c r="L37" i="13"/>
  <c r="AC38" i="13"/>
  <c r="N42" i="21"/>
  <c r="W38" i="13"/>
  <c r="X38" i="13" s="1"/>
  <c r="G38" i="7"/>
  <c r="H38" i="7" s="1"/>
  <c r="V42" i="21"/>
  <c r="L36" i="13"/>
  <c r="AC37" i="13" s="1"/>
  <c r="N41" i="21"/>
  <c r="W37" i="13" s="1"/>
  <c r="X37" i="13" s="1"/>
  <c r="G37" i="7"/>
  <c r="H37" i="7"/>
  <c r="V41" i="21" s="1"/>
  <c r="S37" i="13" s="1"/>
  <c r="T37" i="13" s="1"/>
  <c r="AS36" i="13"/>
  <c r="B32" i="13"/>
  <c r="B31" i="13"/>
  <c r="C32" i="13"/>
  <c r="B33" i="13"/>
  <c r="C33" i="13" s="1"/>
  <c r="AP34" i="13"/>
  <c r="B34" i="13"/>
  <c r="C34" i="13"/>
  <c r="AP35" i="13" s="1"/>
  <c r="C35" i="13"/>
  <c r="AP36" i="13" s="1"/>
  <c r="U32" i="13"/>
  <c r="U33" i="13"/>
  <c r="V33" i="13" s="1"/>
  <c r="AN34" i="13" s="1"/>
  <c r="U34" i="13"/>
  <c r="V34" i="13"/>
  <c r="AN35" i="13" s="1"/>
  <c r="U35" i="13"/>
  <c r="V35" i="13" s="1"/>
  <c r="AN36" i="13" s="1"/>
  <c r="D32" i="13"/>
  <c r="E32" i="13" s="1"/>
  <c r="D31" i="13"/>
  <c r="D33" i="13"/>
  <c r="D34" i="13"/>
  <c r="E34" i="13"/>
  <c r="AK35" i="13" s="1"/>
  <c r="Q32" i="13"/>
  <c r="Q35" i="13"/>
  <c r="R35" i="13" s="1"/>
  <c r="AI36" i="13" s="1"/>
  <c r="F34" i="13"/>
  <c r="F33" i="13"/>
  <c r="G34" i="13"/>
  <c r="AF35" i="13" s="1"/>
  <c r="F32" i="13"/>
  <c r="G33" i="13" s="1"/>
  <c r="F31" i="13"/>
  <c r="G32" i="13"/>
  <c r="AF33" i="13" s="1"/>
  <c r="M35" i="13"/>
  <c r="M34" i="13"/>
  <c r="N34" i="13" s="1"/>
  <c r="AD35" i="13"/>
  <c r="M33" i="13"/>
  <c r="M32" i="13"/>
  <c r="L35" i="13"/>
  <c r="AC36" i="13" s="1"/>
  <c r="N40" i="21"/>
  <c r="W36" i="13" s="1"/>
  <c r="X36" i="13" s="1"/>
  <c r="G36" i="7"/>
  <c r="H36" i="7"/>
  <c r="V40" i="21" s="1"/>
  <c r="S36" i="13"/>
  <c r="T36" i="13" s="1"/>
  <c r="AS35" i="13"/>
  <c r="L34" i="13"/>
  <c r="AC35" i="13" s="1"/>
  <c r="N39" i="21"/>
  <c r="W35" i="13" s="1"/>
  <c r="X35" i="13"/>
  <c r="G35" i="7"/>
  <c r="H35" i="7"/>
  <c r="V39" i="21" s="1"/>
  <c r="D38" i="4"/>
  <c r="E38" i="4" s="1"/>
  <c r="D39" i="21" s="1"/>
  <c r="E39" i="21" s="1"/>
  <c r="O35" i="13" s="1"/>
  <c r="AY34" i="13"/>
  <c r="AU34" i="13"/>
  <c r="AS34" i="13"/>
  <c r="L33" i="13"/>
  <c r="AC34" i="13"/>
  <c r="N38" i="21"/>
  <c r="W34" i="13"/>
  <c r="X34" i="13" s="1"/>
  <c r="G34" i="7"/>
  <c r="H34" i="7" s="1"/>
  <c r="V38" i="21" s="1"/>
  <c r="S34" i="13" s="1"/>
  <c r="T34" i="13"/>
  <c r="D37" i="4"/>
  <c r="E37" i="4"/>
  <c r="D38" i="21" s="1"/>
  <c r="E38" i="21" s="1"/>
  <c r="O34" i="13" s="1"/>
  <c r="P34" i="13" s="1"/>
  <c r="AS33" i="13"/>
  <c r="L32" i="13"/>
  <c r="AC33" i="13" s="1"/>
  <c r="N37" i="21"/>
  <c r="W33" i="13" s="1"/>
  <c r="X33" i="13" s="1"/>
  <c r="G33" i="7"/>
  <c r="H33" i="7"/>
  <c r="V37" i="21" s="1"/>
  <c r="D36" i="4"/>
  <c r="E36" i="4" s="1"/>
  <c r="D37" i="21" s="1"/>
  <c r="E37" i="21" s="1"/>
  <c r="O33" i="13"/>
  <c r="P33" i="13" s="1"/>
  <c r="AW32" i="13"/>
  <c r="AS32" i="13"/>
  <c r="B28" i="13"/>
  <c r="B27" i="13"/>
  <c r="C28" i="13" s="1"/>
  <c r="AP29" i="13" s="1"/>
  <c r="B29" i="13"/>
  <c r="C29" i="13"/>
  <c r="AP30" i="13" s="1"/>
  <c r="B30" i="13"/>
  <c r="U31" i="13"/>
  <c r="AK32" i="13"/>
  <c r="D30" i="13"/>
  <c r="E31" i="13"/>
  <c r="F30" i="13"/>
  <c r="G31" i="13"/>
  <c r="AF32" i="13" s="1"/>
  <c r="M31" i="13"/>
  <c r="L31" i="13"/>
  <c r="AC32" i="13"/>
  <c r="N36" i="21"/>
  <c r="W32" i="13"/>
  <c r="G32" i="7"/>
  <c r="H32" i="7" s="1"/>
  <c r="V36" i="21"/>
  <c r="D35" i="4"/>
  <c r="E35" i="4"/>
  <c r="D36" i="21" s="1"/>
  <c r="E36" i="21" s="1"/>
  <c r="O32" i="13" s="1"/>
  <c r="AS31" i="13"/>
  <c r="U30" i="13"/>
  <c r="AK31" i="13"/>
  <c r="Q30" i="13"/>
  <c r="R30" i="13" s="1"/>
  <c r="AI31" i="13" s="1"/>
  <c r="D29" i="13"/>
  <c r="E30" i="13"/>
  <c r="F29" i="13"/>
  <c r="G30" i="13"/>
  <c r="AF31" i="13" s="1"/>
  <c r="M30" i="13"/>
  <c r="N30" i="13" s="1"/>
  <c r="AD31" i="13" s="1"/>
  <c r="L30" i="13"/>
  <c r="AC31" i="13"/>
  <c r="N35" i="21"/>
  <c r="W31" i="13"/>
  <c r="G31" i="7"/>
  <c r="H31" i="7" s="1"/>
  <c r="V35" i="21" s="1"/>
  <c r="S31" i="13" s="1"/>
  <c r="T31" i="13"/>
  <c r="D34" i="4"/>
  <c r="E34" i="4"/>
  <c r="D35" i="21" s="1"/>
  <c r="E35" i="21" s="1"/>
  <c r="AS30" i="13"/>
  <c r="U29" i="13"/>
  <c r="V29" i="13" s="1"/>
  <c r="AN30" i="13"/>
  <c r="AK30" i="13"/>
  <c r="D28" i="13"/>
  <c r="E29" i="13"/>
  <c r="F28" i="13"/>
  <c r="G29" i="13"/>
  <c r="AF30" i="13" s="1"/>
  <c r="M29" i="13"/>
  <c r="N29" i="13" s="1"/>
  <c r="AD30" i="13" s="1"/>
  <c r="L29" i="13"/>
  <c r="AC30" i="13"/>
  <c r="N34" i="21"/>
  <c r="W30" i="13"/>
  <c r="G30" i="7"/>
  <c r="H30" i="7" s="1"/>
  <c r="V34" i="21" s="1"/>
  <c r="S30" i="13" s="1"/>
  <c r="T30" i="13" s="1"/>
  <c r="D33" i="4"/>
  <c r="E33" i="4"/>
  <c r="D34" i="21" s="1"/>
  <c r="E34" i="21" s="1"/>
  <c r="O30" i="13" s="1"/>
  <c r="P30" i="13"/>
  <c r="AS29" i="13"/>
  <c r="U28" i="13"/>
  <c r="AK29" i="13"/>
  <c r="D27" i="13"/>
  <c r="E28" i="13"/>
  <c r="F27" i="13"/>
  <c r="G28" i="13"/>
  <c r="AF29" i="13" s="1"/>
  <c r="M28" i="13"/>
  <c r="N28" i="13" s="1"/>
  <c r="AD29" i="13" s="1"/>
  <c r="L28" i="13"/>
  <c r="AC29" i="13"/>
  <c r="N33" i="21"/>
  <c r="W29" i="13"/>
  <c r="X29" i="13" s="1"/>
  <c r="G29" i="7"/>
  <c r="H29" i="7" s="1"/>
  <c r="V33" i="21" s="1"/>
  <c r="S29" i="13" s="1"/>
  <c r="T29" i="13" s="1"/>
  <c r="D32" i="4"/>
  <c r="E32" i="4"/>
  <c r="D33" i="21" s="1"/>
  <c r="E33" i="21"/>
  <c r="AS28" i="13"/>
  <c r="B26" i="13"/>
  <c r="C27" i="13" s="1"/>
  <c r="U27" i="13"/>
  <c r="AK28" i="13"/>
  <c r="Q27" i="13"/>
  <c r="D26" i="13"/>
  <c r="E27" i="13" s="1"/>
  <c r="R27" i="13"/>
  <c r="AI28" i="13" s="1"/>
  <c r="F26" i="13"/>
  <c r="G27" i="13" s="1"/>
  <c r="N27" i="13" s="1"/>
  <c r="AD28" i="13" s="1"/>
  <c r="AF28" i="13"/>
  <c r="M27" i="13"/>
  <c r="L27" i="13"/>
  <c r="AC28" i="13" s="1"/>
  <c r="N32" i="21"/>
  <c r="W28" i="13" s="1"/>
  <c r="X28" i="13"/>
  <c r="G28" i="7"/>
  <c r="H28" i="7"/>
  <c r="V32" i="21" s="1"/>
  <c r="S28" i="13" s="1"/>
  <c r="T28" i="13" s="1"/>
  <c r="D31" i="4"/>
  <c r="E31" i="4" s="1"/>
  <c r="D32" i="21" s="1"/>
  <c r="E32" i="21" s="1"/>
  <c r="AS27" i="13"/>
  <c r="B25" i="13"/>
  <c r="C26" i="13"/>
  <c r="AP27" i="13" s="1"/>
  <c r="U26" i="13"/>
  <c r="AK27" i="13"/>
  <c r="D25" i="13"/>
  <c r="E25" i="13" s="1"/>
  <c r="E26" i="13"/>
  <c r="F25" i="13"/>
  <c r="G26" i="13"/>
  <c r="AF27" i="13" s="1"/>
  <c r="M26" i="13"/>
  <c r="N26" i="13" s="1"/>
  <c r="AD27" i="13" s="1"/>
  <c r="L26" i="13"/>
  <c r="AC27" i="13"/>
  <c r="N31" i="21"/>
  <c r="W27" i="13"/>
  <c r="G27" i="7"/>
  <c r="H27" i="7" s="1"/>
  <c r="V31" i="21" s="1"/>
  <c r="D30" i="4"/>
  <c r="E30" i="4"/>
  <c r="D31" i="21" s="1"/>
  <c r="E31" i="21" s="1"/>
  <c r="O27" i="13" s="1"/>
  <c r="P27" i="13"/>
  <c r="AS26" i="13"/>
  <c r="B24" i="13"/>
  <c r="C24" i="13" s="1"/>
  <c r="AP25" i="13" s="1"/>
  <c r="U25" i="13"/>
  <c r="AK26" i="13"/>
  <c r="D24" i="13"/>
  <c r="E24" i="13" s="1"/>
  <c r="F24" i="13"/>
  <c r="G24" i="13" s="1"/>
  <c r="AF25" i="13" s="1"/>
  <c r="M25" i="13"/>
  <c r="L25" i="13"/>
  <c r="AC26" i="13" s="1"/>
  <c r="N30" i="21"/>
  <c r="G26" i="7"/>
  <c r="H26" i="7"/>
  <c r="V30" i="21" s="1"/>
  <c r="S26" i="13" s="1"/>
  <c r="T26" i="13" s="1"/>
  <c r="D29" i="4"/>
  <c r="E29" i="4" s="1"/>
  <c r="D30" i="21" s="1"/>
  <c r="E30" i="21" s="1"/>
  <c r="O26" i="13"/>
  <c r="P26" i="13" s="1"/>
  <c r="AS25" i="13"/>
  <c r="B23" i="13"/>
  <c r="U24" i="13"/>
  <c r="V24" i="13" s="1"/>
  <c r="AN25" i="13" s="1"/>
  <c r="AK25" i="13"/>
  <c r="Q24" i="13"/>
  <c r="R24" i="13" s="1"/>
  <c r="D23" i="13"/>
  <c r="AI25" i="13"/>
  <c r="F23" i="13"/>
  <c r="L24" i="13"/>
  <c r="AC25" i="13"/>
  <c r="N29" i="21"/>
  <c r="W25" i="13"/>
  <c r="G25" i="7"/>
  <c r="H25" i="7" s="1"/>
  <c r="V29" i="21" s="1"/>
  <c r="S25" i="13" s="1"/>
  <c r="T25" i="13"/>
  <c r="D28" i="4"/>
  <c r="E28" i="4"/>
  <c r="D29" i="21" s="1"/>
  <c r="E29" i="21" s="1"/>
  <c r="AS24" i="13"/>
  <c r="B22" i="13"/>
  <c r="C23" i="13" s="1"/>
  <c r="V23" i="13" s="1"/>
  <c r="AN24" i="13" s="1"/>
  <c r="AP24" i="13"/>
  <c r="U23" i="13"/>
  <c r="AK24" i="13"/>
  <c r="Q23" i="13"/>
  <c r="D22" i="13"/>
  <c r="E23" i="13" s="1"/>
  <c r="R23" i="13" s="1"/>
  <c r="AI24" i="13" s="1"/>
  <c r="F22" i="13"/>
  <c r="G23" i="13" s="1"/>
  <c r="M23" i="13"/>
  <c r="L23" i="13"/>
  <c r="AC24" i="13" s="1"/>
  <c r="N28" i="21"/>
  <c r="W24" i="13" s="1"/>
  <c r="X24" i="13" s="1"/>
  <c r="G24" i="7"/>
  <c r="H24" i="7"/>
  <c r="V28" i="21" s="1"/>
  <c r="S24" i="13"/>
  <c r="T24" i="13" s="1"/>
  <c r="D27" i="4"/>
  <c r="E27" i="4" s="1"/>
  <c r="D28" i="21"/>
  <c r="E28" i="21" s="1"/>
  <c r="AS23" i="13"/>
  <c r="B21" i="13"/>
  <c r="C22" i="13"/>
  <c r="AP23" i="13" s="1"/>
  <c r="U22" i="13"/>
  <c r="V22" i="13" s="1"/>
  <c r="AN23" i="13" s="1"/>
  <c r="AK23" i="13"/>
  <c r="Q22" i="13"/>
  <c r="D21" i="13"/>
  <c r="E22" i="13"/>
  <c r="F21" i="13"/>
  <c r="G22" i="13"/>
  <c r="AF23" i="13" s="1"/>
  <c r="M22" i="13"/>
  <c r="N22" i="13" s="1"/>
  <c r="AD23" i="13" s="1"/>
  <c r="L22" i="13"/>
  <c r="AC23" i="13"/>
  <c r="N27" i="21"/>
  <c r="W23" i="13"/>
  <c r="X23" i="13" s="1"/>
  <c r="G23" i="7"/>
  <c r="H23" i="7" s="1"/>
  <c r="V27" i="21" s="1"/>
  <c r="D26" i="4"/>
  <c r="E26" i="4"/>
  <c r="D27" i="21" s="1"/>
  <c r="E27" i="21" s="1"/>
  <c r="O23" i="13" s="1"/>
  <c r="P23" i="13"/>
  <c r="B20" i="13"/>
  <c r="C21" i="13"/>
  <c r="AP22" i="13" s="1"/>
  <c r="U21" i="13"/>
  <c r="V21" i="13" s="1"/>
  <c r="AN22" i="13" s="1"/>
  <c r="AK22" i="13"/>
  <c r="D20" i="13"/>
  <c r="E21" i="13"/>
  <c r="F20" i="13"/>
  <c r="G21" i="13"/>
  <c r="AF22" i="13" s="1"/>
  <c r="M21" i="13"/>
  <c r="N21" i="13" s="1"/>
  <c r="AD22" i="13" s="1"/>
  <c r="L21" i="13"/>
  <c r="AC22" i="13"/>
  <c r="I22" i="13"/>
  <c r="I21" i="13"/>
  <c r="J21" i="13" s="1"/>
  <c r="J22" i="13"/>
  <c r="Y22" i="13"/>
  <c r="N26" i="21"/>
  <c r="W22" i="13"/>
  <c r="X22" i="13" s="1"/>
  <c r="G22" i="7"/>
  <c r="H22" i="7" s="1"/>
  <c r="V26" i="21" s="1"/>
  <c r="S22" i="13" s="1"/>
  <c r="T22" i="13" s="1"/>
  <c r="D25" i="4"/>
  <c r="E25" i="4"/>
  <c r="D26" i="21" s="1"/>
  <c r="E26" i="21" s="1"/>
  <c r="O22" i="13" s="1"/>
  <c r="P22" i="13"/>
  <c r="AD22" i="16"/>
  <c r="H22" i="13"/>
  <c r="B19" i="13"/>
  <c r="C19" i="13" s="1"/>
  <c r="AP20" i="13" s="1"/>
  <c r="C20" i="13"/>
  <c r="AP21" i="13" s="1"/>
  <c r="U20" i="13"/>
  <c r="AK21" i="13"/>
  <c r="Q20" i="13"/>
  <c r="D19" i="13"/>
  <c r="E20" i="13"/>
  <c r="F19" i="13"/>
  <c r="G20" i="13"/>
  <c r="AF21" i="13" s="1"/>
  <c r="M20" i="13"/>
  <c r="L20" i="13"/>
  <c r="AC21" i="13"/>
  <c r="I20" i="13"/>
  <c r="J20" i="13" s="1"/>
  <c r="Y21" i="13"/>
  <c r="N25" i="21"/>
  <c r="W21" i="13" s="1"/>
  <c r="X21" i="13" s="1"/>
  <c r="G21" i="7"/>
  <c r="H21" i="7"/>
  <c r="V25" i="21" s="1"/>
  <c r="S21" i="13" s="1"/>
  <c r="T21" i="13" s="1"/>
  <c r="D24" i="4"/>
  <c r="E24" i="4" s="1"/>
  <c r="D25" i="21" s="1"/>
  <c r="E25" i="21" s="1"/>
  <c r="AD21" i="16"/>
  <c r="H21" i="13" s="1"/>
  <c r="B18" i="13"/>
  <c r="C18" i="13" s="1"/>
  <c r="AP19" i="13" s="1"/>
  <c r="U19" i="13"/>
  <c r="V19" i="13"/>
  <c r="AN20" i="13" s="1"/>
  <c r="AK20" i="13"/>
  <c r="Q19" i="13"/>
  <c r="D18" i="13"/>
  <c r="E18" i="13" s="1"/>
  <c r="F18" i="13"/>
  <c r="G18" i="13" s="1"/>
  <c r="AF19" i="13" s="1"/>
  <c r="M19" i="13"/>
  <c r="L19" i="13"/>
  <c r="AC20" i="13" s="1"/>
  <c r="I19" i="13"/>
  <c r="Y20" i="13"/>
  <c r="N24" i="21"/>
  <c r="W20" i="13"/>
  <c r="G20" i="7"/>
  <c r="H20" i="7" s="1"/>
  <c r="V24" i="21" s="1"/>
  <c r="S20" i="13" s="1"/>
  <c r="T20" i="13" s="1"/>
  <c r="D23" i="4"/>
  <c r="E23" i="4"/>
  <c r="D24" i="21" s="1"/>
  <c r="E24" i="21"/>
  <c r="AD20" i="16"/>
  <c r="H20" i="13"/>
  <c r="B17" i="13"/>
  <c r="U18" i="13"/>
  <c r="V18" i="13" s="1"/>
  <c r="AN19" i="13" s="1"/>
  <c r="AK19" i="13"/>
  <c r="D17" i="13"/>
  <c r="F17" i="13"/>
  <c r="M18" i="13"/>
  <c r="N18" i="13" s="1"/>
  <c r="AD19" i="13" s="1"/>
  <c r="L18" i="13"/>
  <c r="AC19" i="13"/>
  <c r="I18" i="13"/>
  <c r="J19" i="13" s="1"/>
  <c r="Y19" i="13"/>
  <c r="N23" i="21"/>
  <c r="W19" i="13" s="1"/>
  <c r="X19" i="13" s="1"/>
  <c r="G19" i="7"/>
  <c r="H19" i="7"/>
  <c r="V23" i="21" s="1"/>
  <c r="S19" i="13"/>
  <c r="D22" i="4"/>
  <c r="E22" i="4" s="1"/>
  <c r="D23" i="21"/>
  <c r="E23" i="21" s="1"/>
  <c r="AD19" i="16"/>
  <c r="H19" i="13" s="1"/>
  <c r="B16" i="13"/>
  <c r="C17" i="13" s="1"/>
  <c r="U17" i="13"/>
  <c r="AK18" i="13"/>
  <c r="Q17" i="13"/>
  <c r="D16" i="13"/>
  <c r="E17" i="13" s="1"/>
  <c r="R17" i="13"/>
  <c r="AI18" i="13" s="1"/>
  <c r="F16" i="13"/>
  <c r="G17" i="13" s="1"/>
  <c r="N17" i="13" s="1"/>
  <c r="AD18" i="13" s="1"/>
  <c r="AF18" i="13"/>
  <c r="M17" i="13"/>
  <c r="L17" i="13"/>
  <c r="AC18" i="13" s="1"/>
  <c r="I17" i="13"/>
  <c r="J18" i="13"/>
  <c r="Y18" i="13"/>
  <c r="N22" i="21"/>
  <c r="W18" i="13"/>
  <c r="X18" i="13" s="1"/>
  <c r="G18" i="7"/>
  <c r="H18" i="7" s="1"/>
  <c r="V22" i="21" s="1"/>
  <c r="S18" i="13" s="1"/>
  <c r="T18" i="13" s="1"/>
  <c r="D21" i="4"/>
  <c r="E21" i="4"/>
  <c r="D22" i="21" s="1"/>
  <c r="E22" i="21" s="1"/>
  <c r="O18" i="13" s="1"/>
  <c r="P18" i="13"/>
  <c r="AD18" i="16"/>
  <c r="H18" i="13"/>
  <c r="B15" i="13"/>
  <c r="C16" i="13"/>
  <c r="AP17" i="13" s="1"/>
  <c r="U16" i="13"/>
  <c r="V16" i="13" s="1"/>
  <c r="AN17" i="13" s="1"/>
  <c r="AK17" i="13"/>
  <c r="D15" i="13"/>
  <c r="E16" i="13"/>
  <c r="F15" i="13"/>
  <c r="G16" i="13"/>
  <c r="AF17" i="13" s="1"/>
  <c r="L16" i="13"/>
  <c r="AC17" i="13"/>
  <c r="I16" i="13"/>
  <c r="J17" i="13" s="1"/>
  <c r="Y17" i="13"/>
  <c r="N21" i="21"/>
  <c r="W17" i="13" s="1"/>
  <c r="X17" i="13"/>
  <c r="G17" i="7"/>
  <c r="H17" i="7"/>
  <c r="V21" i="21"/>
  <c r="S17" i="13"/>
  <c r="T17" i="13" s="1"/>
  <c r="D20" i="4"/>
  <c r="E20" i="4" s="1"/>
  <c r="D21" i="21"/>
  <c r="E21" i="21" s="1"/>
  <c r="O17" i="13" s="1"/>
  <c r="P17" i="13" s="1"/>
  <c r="AD17" i="16"/>
  <c r="H17" i="13" s="1"/>
  <c r="B14" i="13"/>
  <c r="C15" i="13" s="1"/>
  <c r="AP16" i="13" s="1"/>
  <c r="U15" i="13"/>
  <c r="AK16" i="13"/>
  <c r="Q15" i="13"/>
  <c r="D14" i="13"/>
  <c r="F14" i="13"/>
  <c r="G15" i="13" s="1"/>
  <c r="AF16" i="13" s="1"/>
  <c r="M15" i="13"/>
  <c r="N15" i="13"/>
  <c r="AD16" i="13" s="1"/>
  <c r="L15" i="13"/>
  <c r="AC16" i="13" s="1"/>
  <c r="Y16" i="13"/>
  <c r="N20" i="21"/>
  <c r="W16" i="13" s="1"/>
  <c r="X16" i="13" s="1"/>
  <c r="G16" i="7"/>
  <c r="H16" i="7" s="1"/>
  <c r="V20" i="21" s="1"/>
  <c r="D19" i="4"/>
  <c r="E19" i="4" s="1"/>
  <c r="D20" i="21" s="1"/>
  <c r="E20" i="21" s="1"/>
  <c r="O16" i="13" s="1"/>
  <c r="P16" i="13" s="1"/>
  <c r="AD16" i="16"/>
  <c r="H16" i="13"/>
  <c r="B13" i="13"/>
  <c r="C14" i="13"/>
  <c r="U14" i="13"/>
  <c r="AK15" i="13"/>
  <c r="D13" i="13"/>
  <c r="F13" i="13"/>
  <c r="G14" i="13"/>
  <c r="M14" i="13"/>
  <c r="L14" i="13"/>
  <c r="AC15" i="13" s="1"/>
  <c r="I14" i="13"/>
  <c r="Y15" i="13"/>
  <c r="N19" i="21"/>
  <c r="W15" i="13" s="1"/>
  <c r="G15" i="7"/>
  <c r="H15" i="7"/>
  <c r="V19" i="21" s="1"/>
  <c r="S15" i="13" s="1"/>
  <c r="D18" i="4"/>
  <c r="E18" i="4" s="1"/>
  <c r="D19" i="21" s="1"/>
  <c r="E19" i="21" s="1"/>
  <c r="AD15" i="16"/>
  <c r="H15" i="13"/>
  <c r="B12" i="13"/>
  <c r="C13" i="13"/>
  <c r="V13" i="13" s="1"/>
  <c r="AP14" i="13"/>
  <c r="U13" i="13"/>
  <c r="AN14" i="13"/>
  <c r="AK14" i="13"/>
  <c r="Q13" i="13"/>
  <c r="D12" i="13"/>
  <c r="E13" i="13"/>
  <c r="R13" i="13" s="1"/>
  <c r="AI14" i="13" s="1"/>
  <c r="F12" i="13"/>
  <c r="G13" i="13"/>
  <c r="N13" i="13" s="1"/>
  <c r="AF14" i="13"/>
  <c r="M13" i="13"/>
  <c r="AD14" i="13"/>
  <c r="L13" i="13"/>
  <c r="AC14" i="13" s="1"/>
  <c r="I13" i="13"/>
  <c r="Y14" i="13"/>
  <c r="N18" i="21"/>
  <c r="W14" i="13"/>
  <c r="X14" i="13" s="1"/>
  <c r="G14" i="7"/>
  <c r="H14" i="7"/>
  <c r="V18" i="21" s="1"/>
  <c r="D17" i="4"/>
  <c r="E17" i="4"/>
  <c r="D18" i="21" s="1"/>
  <c r="E18" i="21"/>
  <c r="AD14" i="16"/>
  <c r="H14" i="13"/>
  <c r="B11" i="13"/>
  <c r="C12" i="13"/>
  <c r="AP13" i="13" s="1"/>
  <c r="U12" i="13"/>
  <c r="AK13" i="13"/>
  <c r="Q12" i="13"/>
  <c r="R12" i="13" s="1"/>
  <c r="D11" i="13"/>
  <c r="E12" i="13"/>
  <c r="F11" i="13"/>
  <c r="G12" i="13"/>
  <c r="AF13" i="13" s="1"/>
  <c r="M12" i="13"/>
  <c r="N12" i="13" s="1"/>
  <c r="L12" i="13"/>
  <c r="AC13" i="13"/>
  <c r="I12" i="13"/>
  <c r="J12" i="13" s="1"/>
  <c r="Y13" i="13"/>
  <c r="N17" i="21"/>
  <c r="G13" i="7"/>
  <c r="H13" i="7"/>
  <c r="V17" i="21" s="1"/>
  <c r="D16" i="4"/>
  <c r="E16" i="4" s="1"/>
  <c r="D17" i="21" s="1"/>
  <c r="E17" i="21" s="1"/>
  <c r="AD13" i="16"/>
  <c r="H13" i="13" s="1"/>
  <c r="B10" i="13"/>
  <c r="U11" i="13"/>
  <c r="AK12" i="13"/>
  <c r="CE14" i="9"/>
  <c r="D10" i="7"/>
  <c r="CD14" i="9" s="1"/>
  <c r="CF15" i="9"/>
  <c r="CG15" i="9" s="1"/>
  <c r="CH15" i="9" s="1"/>
  <c r="CW15" i="9" s="1"/>
  <c r="CX15" i="9" s="1"/>
  <c r="U15" i="21" s="1"/>
  <c r="M10" i="19" s="1"/>
  <c r="DE15" i="9"/>
  <c r="Q11" i="13"/>
  <c r="R11" i="13" s="1"/>
  <c r="AI12" i="13" s="1"/>
  <c r="D10" i="13"/>
  <c r="E11" i="13"/>
  <c r="F10" i="13"/>
  <c r="G11" i="13"/>
  <c r="AF12" i="13" s="1"/>
  <c r="M11" i="13"/>
  <c r="N11" i="13" s="1"/>
  <c r="AD12" i="13" s="1"/>
  <c r="L11" i="13"/>
  <c r="AC12" i="13"/>
  <c r="Z12" i="13"/>
  <c r="I11" i="13"/>
  <c r="AA12" i="13"/>
  <c r="Y12" i="13"/>
  <c r="N16" i="21"/>
  <c r="G12" i="7"/>
  <c r="H12" i="7"/>
  <c r="V16" i="21" s="1"/>
  <c r="S12" i="13"/>
  <c r="T12" i="13" s="1"/>
  <c r="D15" i="4"/>
  <c r="E15" i="4" s="1"/>
  <c r="D16" i="21"/>
  <c r="E16" i="21" s="1"/>
  <c r="AD12" i="16"/>
  <c r="H12" i="13" s="1"/>
  <c r="B9" i="13"/>
  <c r="C9" i="13" s="1"/>
  <c r="AK11" i="13"/>
  <c r="Q10" i="13"/>
  <c r="D9" i="13"/>
  <c r="E10" i="13" s="1"/>
  <c r="R10" i="13"/>
  <c r="AI11" i="13" s="1"/>
  <c r="F9" i="13"/>
  <c r="G10" i="13" s="1"/>
  <c r="AF11" i="13"/>
  <c r="M10" i="13"/>
  <c r="N10" i="13"/>
  <c r="AD11" i="13" s="1"/>
  <c r="L10" i="13"/>
  <c r="AC11" i="13" s="1"/>
  <c r="AS35" i="9"/>
  <c r="AT12" i="9" s="1"/>
  <c r="P12" i="21" s="1"/>
  <c r="Q12" i="21" s="1"/>
  <c r="Z11" i="13"/>
  <c r="AA11" i="13" s="1"/>
  <c r="I10" i="13"/>
  <c r="J11" i="13"/>
  <c r="Y11" i="13"/>
  <c r="N15" i="21"/>
  <c r="W11" i="13"/>
  <c r="G11" i="7"/>
  <c r="H11" i="7" s="1"/>
  <c r="V15" i="21" s="1"/>
  <c r="D14" i="4"/>
  <c r="E14" i="4"/>
  <c r="D15" i="21" s="1"/>
  <c r="E15" i="21" s="1"/>
  <c r="AD11" i="16"/>
  <c r="H11" i="13"/>
  <c r="AP10" i="13"/>
  <c r="AP13" i="9"/>
  <c r="AQ13" i="9" s="1"/>
  <c r="BJ13" i="9"/>
  <c r="B8" i="13"/>
  <c r="AK10" i="13"/>
  <c r="Q9" i="13"/>
  <c r="D8" i="13"/>
  <c r="E9" i="13"/>
  <c r="AF10" i="13"/>
  <c r="O12" i="4"/>
  <c r="P12" i="4" s="1"/>
  <c r="S13" i="9"/>
  <c r="C13" i="21" s="1"/>
  <c r="F8" i="13"/>
  <c r="G9" i="13"/>
  <c r="L9" i="13"/>
  <c r="AC10" i="13"/>
  <c r="AS31" i="9"/>
  <c r="AT11" i="9"/>
  <c r="P11" i="21" s="1"/>
  <c r="Q11" i="21" s="1"/>
  <c r="Z10" i="13" s="1"/>
  <c r="I9" i="13"/>
  <c r="Y10" i="13"/>
  <c r="N14" i="21"/>
  <c r="S10" i="13"/>
  <c r="T10" i="13"/>
  <c r="D13" i="4"/>
  <c r="E13" i="4"/>
  <c r="D14" i="21" s="1"/>
  <c r="E14" i="21" s="1"/>
  <c r="O10" i="13" s="1"/>
  <c r="P10" i="13"/>
  <c r="AD10" i="16"/>
  <c r="H10" i="13"/>
  <c r="AP9" i="13"/>
  <c r="AP12" i="9"/>
  <c r="AQ12" i="9" s="1"/>
  <c r="BJ12" i="9"/>
  <c r="B7" i="13"/>
  <c r="C8" i="13"/>
  <c r="AK9" i="13"/>
  <c r="Q8" i="13"/>
  <c r="D7" i="13"/>
  <c r="E8" i="13"/>
  <c r="AF9" i="13"/>
  <c r="O11" i="4"/>
  <c r="P11" i="4" s="1"/>
  <c r="S12" i="9"/>
  <c r="C12" i="21" s="1"/>
  <c r="F7" i="13"/>
  <c r="G8" i="13"/>
  <c r="L8" i="13"/>
  <c r="AC9" i="13"/>
  <c r="AS27" i="9"/>
  <c r="AT10" i="9"/>
  <c r="P10" i="21" s="1"/>
  <c r="Q10" i="21" s="1"/>
  <c r="Z9" i="13" s="1"/>
  <c r="I8" i="13"/>
  <c r="Y9" i="13"/>
  <c r="N13" i="21"/>
  <c r="S9" i="13"/>
  <c r="T9" i="13"/>
  <c r="D12" i="4"/>
  <c r="E12" i="4"/>
  <c r="D13" i="21" s="1"/>
  <c r="E13" i="21" s="1"/>
  <c r="AD9" i="16"/>
  <c r="H9" i="13"/>
  <c r="AP8" i="13"/>
  <c r="AP11" i="9"/>
  <c r="AQ11" i="9" s="1"/>
  <c r="BJ11" i="9"/>
  <c r="B6" i="13"/>
  <c r="C7" i="13"/>
  <c r="AK8" i="13"/>
  <c r="Q7" i="13"/>
  <c r="D6" i="13"/>
  <c r="E7" i="13"/>
  <c r="T7" i="13" s="1"/>
  <c r="AF8" i="13"/>
  <c r="O10" i="4"/>
  <c r="P10" i="4" s="1"/>
  <c r="S11" i="9"/>
  <c r="C11" i="21" s="1"/>
  <c r="M7" i="13" s="1"/>
  <c r="N7" i="13" s="1"/>
  <c r="AD8" i="13" s="1"/>
  <c r="F6" i="13"/>
  <c r="G7" i="13"/>
  <c r="L7" i="13"/>
  <c r="AC8" i="13"/>
  <c r="AS23" i="9"/>
  <c r="AT9" i="9"/>
  <c r="P9" i="21" s="1"/>
  <c r="Q9" i="21" s="1"/>
  <c r="Z8" i="13" s="1"/>
  <c r="I7" i="13"/>
  <c r="J7" i="13" s="1"/>
  <c r="Y8" i="13"/>
  <c r="N12" i="21"/>
  <c r="S8" i="13"/>
  <c r="T8" i="13"/>
  <c r="D11" i="4"/>
  <c r="E11" i="4"/>
  <c r="D12" i="21" s="1"/>
  <c r="E12" i="21" s="1"/>
  <c r="AD8" i="16"/>
  <c r="H8" i="13"/>
  <c r="AP7" i="13"/>
  <c r="AP10" i="9"/>
  <c r="AQ10" i="9" s="1"/>
  <c r="AR10" i="9" s="1"/>
  <c r="M10" i="21" s="1"/>
  <c r="P5" i="19" s="1"/>
  <c r="Q5" i="19" s="1"/>
  <c r="BJ10" i="9"/>
  <c r="U6" i="13"/>
  <c r="V6" i="13" s="1"/>
  <c r="AN7" i="13" s="1"/>
  <c r="B5" i="13"/>
  <c r="C6" i="13"/>
  <c r="AK7" i="13"/>
  <c r="Q6" i="13"/>
  <c r="D5" i="13"/>
  <c r="E6" i="13"/>
  <c r="T6" i="13" s="1"/>
  <c r="AF7" i="13"/>
  <c r="O9" i="4"/>
  <c r="P9" i="4" s="1"/>
  <c r="S10" i="9" s="1"/>
  <c r="C10" i="21" s="1"/>
  <c r="J5" i="19" s="1"/>
  <c r="K5" i="19" s="1"/>
  <c r="M6" i="13"/>
  <c r="N6" i="13" s="1"/>
  <c r="AD7" i="13" s="1"/>
  <c r="F5" i="13"/>
  <c r="G6" i="13"/>
  <c r="L6" i="13"/>
  <c r="AC7" i="13"/>
  <c r="AS19" i="9"/>
  <c r="AT8" i="9"/>
  <c r="P8" i="21" s="1"/>
  <c r="Q8" i="21"/>
  <c r="Z7" i="13" s="1"/>
  <c r="AA7" i="13" s="1"/>
  <c r="I6" i="13"/>
  <c r="Y7" i="13"/>
  <c r="N11" i="21"/>
  <c r="W7" i="13" s="1"/>
  <c r="X7" i="13" s="1"/>
  <c r="S7" i="13"/>
  <c r="D10" i="4"/>
  <c r="E10" i="4"/>
  <c r="D11" i="21" s="1"/>
  <c r="E11" i="21"/>
  <c r="O7" i="13" s="1"/>
  <c r="P7" i="13" s="1"/>
  <c r="AD7" i="16"/>
  <c r="H7" i="13"/>
  <c r="AP6" i="13"/>
  <c r="AP9" i="9"/>
  <c r="AQ9" i="9" s="1"/>
  <c r="BJ9" i="9"/>
  <c r="B4" i="13"/>
  <c r="C5" i="13"/>
  <c r="AK6" i="13"/>
  <c r="Q5" i="13"/>
  <c r="R5" i="13" s="1"/>
  <c r="AI6" i="13" s="1"/>
  <c r="D4" i="13"/>
  <c r="E5" i="13"/>
  <c r="T5" i="13" s="1"/>
  <c r="AF6" i="13"/>
  <c r="O8" i="4"/>
  <c r="P8" i="4" s="1"/>
  <c r="S9" i="9"/>
  <c r="C9" i="21" s="1"/>
  <c r="M5" i="13" s="1"/>
  <c r="N5" i="13" s="1"/>
  <c r="AD6" i="13" s="1"/>
  <c r="F4" i="13"/>
  <c r="G5" i="13"/>
  <c r="L5" i="13"/>
  <c r="AC6" i="13"/>
  <c r="I5" i="13"/>
  <c r="J5" i="13" s="1"/>
  <c r="Y6" i="13"/>
  <c r="N10" i="21"/>
  <c r="W6" i="13" s="1"/>
  <c r="X6" i="13" s="1"/>
  <c r="S6" i="13"/>
  <c r="D9" i="4"/>
  <c r="E9" i="4"/>
  <c r="D10" i="21" s="1"/>
  <c r="E10" i="21"/>
  <c r="AD6" i="16"/>
  <c r="H6" i="13"/>
  <c r="AP5" i="13"/>
  <c r="AP8" i="9"/>
  <c r="AQ8" i="9" s="1"/>
  <c r="BJ8" i="9"/>
  <c r="B3" i="13"/>
  <c r="C4" i="13"/>
  <c r="AK5" i="13"/>
  <c r="Q4" i="13"/>
  <c r="D3" i="13"/>
  <c r="E4" i="13"/>
  <c r="T4" i="13" s="1"/>
  <c r="AF5" i="13"/>
  <c r="O7" i="4"/>
  <c r="P7" i="4" s="1"/>
  <c r="S8" i="9"/>
  <c r="C8" i="21" s="1"/>
  <c r="F3" i="13"/>
  <c r="G4" i="13"/>
  <c r="L4" i="13"/>
  <c r="AC5" i="13"/>
  <c r="I4" i="13"/>
  <c r="Y5" i="13"/>
  <c r="N9" i="21"/>
  <c r="W5" i="13" s="1"/>
  <c r="X5" i="13" s="1"/>
  <c r="S5" i="13"/>
  <c r="D8" i="4"/>
  <c r="E8" i="4"/>
  <c r="D9" i="21" s="1"/>
  <c r="E9" i="21"/>
  <c r="O5" i="13" s="1"/>
  <c r="P5" i="13" s="1"/>
  <c r="AD5" i="16"/>
  <c r="H5" i="13"/>
  <c r="L3" i="13"/>
  <c r="AC4" i="13"/>
  <c r="Y4" i="13"/>
  <c r="N8" i="21"/>
  <c r="W4" i="13" s="1"/>
  <c r="X4" i="13"/>
  <c r="S4" i="13"/>
  <c r="D7" i="4"/>
  <c r="E7" i="4"/>
  <c r="D8" i="21" s="1"/>
  <c r="E8" i="21" s="1"/>
  <c r="AD4" i="16"/>
  <c r="H4" i="13"/>
  <c r="L2" i="13"/>
  <c r="AC3" i="13"/>
  <c r="Y3" i="13"/>
  <c r="AD3" i="16"/>
  <c r="H3" i="13" s="1"/>
  <c r="AP2" i="13"/>
  <c r="AN2" i="13"/>
  <c r="AK2" i="13"/>
  <c r="AI2" i="13"/>
  <c r="Y2" i="13"/>
  <c r="AD2" i="16"/>
  <c r="H2" i="13"/>
  <c r="AD1" i="13"/>
  <c r="AF51" i="19"/>
  <c r="AG51" i="19"/>
  <c r="AF53" i="19"/>
  <c r="AG53" i="19"/>
  <c r="AF54" i="19"/>
  <c r="AG54" i="19"/>
  <c r="AF55" i="19"/>
  <c r="AG55" i="19"/>
  <c r="AF56" i="19"/>
  <c r="AG56" i="19"/>
  <c r="AF57" i="19"/>
  <c r="AG57" i="19"/>
  <c r="AF58" i="19"/>
  <c r="AG58" i="19"/>
  <c r="AH58" i="19" s="1"/>
  <c r="AF59" i="19"/>
  <c r="AG59" i="19"/>
  <c r="AF60" i="19"/>
  <c r="AG60" i="19"/>
  <c r="AF61" i="19"/>
  <c r="AG61" i="19"/>
  <c r="AF62" i="19"/>
  <c r="AG62" i="19"/>
  <c r="AH62" i="19" s="1"/>
  <c r="AF63" i="19"/>
  <c r="AG63" i="19"/>
  <c r="AF64" i="19"/>
  <c r="AG64" i="19"/>
  <c r="AF65" i="19"/>
  <c r="AG65" i="19"/>
  <c r="AF66" i="19"/>
  <c r="AG66" i="19"/>
  <c r="AH66" i="19" s="1"/>
  <c r="AF67" i="19"/>
  <c r="AG67" i="19"/>
  <c r="AF68" i="19"/>
  <c r="AG68" i="19"/>
  <c r="AF69" i="19"/>
  <c r="AG69" i="19"/>
  <c r="AF70" i="19"/>
  <c r="AG70" i="19"/>
  <c r="AH70" i="19" s="1"/>
  <c r="AF71" i="19"/>
  <c r="AG71" i="19"/>
  <c r="AF72" i="19"/>
  <c r="AG72" i="19"/>
  <c r="AF73" i="19"/>
  <c r="AG73" i="19"/>
  <c r="AF74" i="19"/>
  <c r="AG74" i="19"/>
  <c r="AH74" i="19" s="1"/>
  <c r="AA51" i="19"/>
  <c r="AB51" i="19" s="1"/>
  <c r="AA52" i="19"/>
  <c r="AB52" i="19" s="1"/>
  <c r="AA53" i="19"/>
  <c r="AB53" i="19" s="1"/>
  <c r="AA54" i="19"/>
  <c r="AB54" i="19" s="1"/>
  <c r="AA55" i="19"/>
  <c r="AB55" i="19" s="1"/>
  <c r="AA56" i="19"/>
  <c r="AB56" i="19" s="1"/>
  <c r="AA57" i="19"/>
  <c r="AB57" i="19" s="1"/>
  <c r="AC58" i="19" s="1"/>
  <c r="AA58" i="19"/>
  <c r="AB58" i="19" s="1"/>
  <c r="AA59" i="19"/>
  <c r="AB59" i="19" s="1"/>
  <c r="AA60" i="19"/>
  <c r="AB60" i="19" s="1"/>
  <c r="AA61" i="19"/>
  <c r="AB61" i="19" s="1"/>
  <c r="AC62" i="19" s="1"/>
  <c r="AA62" i="19"/>
  <c r="AB62" i="19" s="1"/>
  <c r="AA63" i="19"/>
  <c r="AB63" i="19" s="1"/>
  <c r="AA64" i="19"/>
  <c r="AB64" i="19" s="1"/>
  <c r="AA65" i="19"/>
  <c r="AB65" i="19" s="1"/>
  <c r="AC66" i="19" s="1"/>
  <c r="AA66" i="19"/>
  <c r="AB66" i="19" s="1"/>
  <c r="AA67" i="19"/>
  <c r="AB67" i="19" s="1"/>
  <c r="AA68" i="19"/>
  <c r="AB68" i="19" s="1"/>
  <c r="AA69" i="19"/>
  <c r="AB69" i="19" s="1"/>
  <c r="AC70" i="19" s="1"/>
  <c r="AA70" i="19"/>
  <c r="AB70" i="19" s="1"/>
  <c r="AA71" i="19"/>
  <c r="AB71" i="19" s="1"/>
  <c r="AA72" i="19"/>
  <c r="AB72" i="19" s="1"/>
  <c r="AA73" i="19"/>
  <c r="AB73" i="19" s="1"/>
  <c r="AC74" i="19" s="1"/>
  <c r="AA74" i="19"/>
  <c r="AB74" i="19" s="1"/>
  <c r="V51" i="19"/>
  <c r="W51" i="19"/>
  <c r="V52" i="19"/>
  <c r="W52" i="19"/>
  <c r="V53" i="19"/>
  <c r="W53" i="19"/>
  <c r="V55" i="19"/>
  <c r="W55" i="19"/>
  <c r="V57" i="19"/>
  <c r="W57" i="19"/>
  <c r="V59" i="19"/>
  <c r="W59" i="19"/>
  <c r="V60" i="19"/>
  <c r="W60" i="19"/>
  <c r="V61" i="19"/>
  <c r="W61" i="19"/>
  <c r="V63" i="19"/>
  <c r="W63" i="19"/>
  <c r="V64" i="19"/>
  <c r="W64" i="19"/>
  <c r="V65" i="19"/>
  <c r="W65" i="19"/>
  <c r="V67" i="19"/>
  <c r="W67" i="19"/>
  <c r="V68" i="19"/>
  <c r="W68" i="19"/>
  <c r="V69" i="19"/>
  <c r="W69" i="19"/>
  <c r="V71" i="19"/>
  <c r="W71" i="19"/>
  <c r="V72" i="19"/>
  <c r="W72" i="19"/>
  <c r="V73" i="19"/>
  <c r="W73" i="19"/>
  <c r="V74" i="19"/>
  <c r="W74" i="19"/>
  <c r="AF31" i="19"/>
  <c r="AG31" i="19" s="1"/>
  <c r="AF32" i="19"/>
  <c r="AG32" i="19" s="1"/>
  <c r="AF33" i="19"/>
  <c r="AG33" i="19" s="1"/>
  <c r="AF34" i="19"/>
  <c r="AG34" i="19" s="1"/>
  <c r="AF35" i="19"/>
  <c r="AG35" i="19" s="1"/>
  <c r="AF36" i="19"/>
  <c r="AG36" i="19" s="1"/>
  <c r="AF37" i="19"/>
  <c r="AG37" i="19" s="1"/>
  <c r="AF38" i="19"/>
  <c r="AG38" i="19" s="1"/>
  <c r="AF39" i="19"/>
  <c r="AG39" i="19" s="1"/>
  <c r="AF40" i="19"/>
  <c r="AG40" i="19" s="1"/>
  <c r="AF41" i="19"/>
  <c r="AG41" i="19" s="1"/>
  <c r="AF42" i="19"/>
  <c r="AG42" i="19" s="1"/>
  <c r="AF43" i="19"/>
  <c r="AG43" i="19" s="1"/>
  <c r="AF44" i="19"/>
  <c r="AG44" i="19" s="1"/>
  <c r="AF45" i="19"/>
  <c r="AG45" i="19" s="1"/>
  <c r="AF46" i="19"/>
  <c r="AG46" i="19" s="1"/>
  <c r="AF47" i="19"/>
  <c r="AG47" i="19" s="1"/>
  <c r="AF48" i="19"/>
  <c r="AG48" i="19" s="1"/>
  <c r="AF49" i="19"/>
  <c r="AG49" i="19" s="1"/>
  <c r="AF50" i="19"/>
  <c r="AG50" i="19" s="1"/>
  <c r="AA33" i="19"/>
  <c r="AB33" i="19"/>
  <c r="AA35" i="19"/>
  <c r="AB35" i="19"/>
  <c r="AA36" i="19"/>
  <c r="AB36" i="19"/>
  <c r="AA40" i="19"/>
  <c r="AB40" i="19"/>
  <c r="AA41" i="19"/>
  <c r="AB41" i="19"/>
  <c r="AA42" i="19"/>
  <c r="AB42" i="19"/>
  <c r="AA46" i="19"/>
  <c r="AB46" i="19"/>
  <c r="AA47" i="19"/>
  <c r="AB47" i="19"/>
  <c r="V31" i="19"/>
  <c r="W31" i="19" s="1"/>
  <c r="V32" i="19"/>
  <c r="W32" i="19" s="1"/>
  <c r="V33" i="19"/>
  <c r="W33" i="19" s="1"/>
  <c r="V34" i="19"/>
  <c r="W34" i="19" s="1"/>
  <c r="V47" i="19"/>
  <c r="W47" i="19" s="1"/>
  <c r="V48" i="19"/>
  <c r="W48" i="19" s="1"/>
  <c r="V49" i="19"/>
  <c r="W49" i="19" s="1"/>
  <c r="V50" i="19"/>
  <c r="W50" i="19" s="1"/>
  <c r="AF13" i="19"/>
  <c r="AG13" i="19"/>
  <c r="AF14" i="19"/>
  <c r="AG14" i="19"/>
  <c r="AF15" i="19"/>
  <c r="AG15" i="19"/>
  <c r="AF16" i="19"/>
  <c r="AG16" i="19"/>
  <c r="AF17" i="19"/>
  <c r="AG17" i="19"/>
  <c r="AF18" i="19"/>
  <c r="AG18" i="19"/>
  <c r="AF19" i="19"/>
  <c r="AG19" i="19"/>
  <c r="AF20" i="19"/>
  <c r="AG20" i="19"/>
  <c r="AF21" i="19"/>
  <c r="AG21" i="19"/>
  <c r="AF22" i="19"/>
  <c r="AG22" i="19"/>
  <c r="AF23" i="19"/>
  <c r="AG23" i="19"/>
  <c r="AF24" i="19"/>
  <c r="AG24" i="19"/>
  <c r="AF26" i="19"/>
  <c r="AG26" i="19"/>
  <c r="AF27" i="19"/>
  <c r="AG27" i="19"/>
  <c r="AF28" i="19"/>
  <c r="AG28" i="19"/>
  <c r="AF29" i="19"/>
  <c r="AG29" i="19"/>
  <c r="AF30" i="19"/>
  <c r="AG30" i="19"/>
  <c r="AH30" i="19" s="1"/>
  <c r="AA11" i="19"/>
  <c r="AB11" i="19" s="1"/>
  <c r="AA14" i="19"/>
  <c r="AB14" i="19" s="1"/>
  <c r="AA16" i="19"/>
  <c r="AB16" i="19" s="1"/>
  <c r="AA17" i="19"/>
  <c r="AB17" i="19" s="1"/>
  <c r="AA18" i="19"/>
  <c r="AB18" i="19" s="1"/>
  <c r="AA19" i="19"/>
  <c r="AB19" i="19" s="1"/>
  <c r="AA20" i="19"/>
  <c r="AB20" i="19" s="1"/>
  <c r="AA21" i="19"/>
  <c r="AB21" i="19" s="1"/>
  <c r="AA23" i="19"/>
  <c r="AB23" i="19" s="1"/>
  <c r="AA24" i="19"/>
  <c r="AB24" i="19" s="1"/>
  <c r="AA25" i="19"/>
  <c r="AB25" i="19" s="1"/>
  <c r="AA27" i="19"/>
  <c r="AB27" i="19" s="1"/>
  <c r="AA28" i="19"/>
  <c r="AB28" i="19" s="1"/>
  <c r="AA29" i="19"/>
  <c r="AB29" i="19" s="1"/>
  <c r="AC30" i="19" s="1"/>
  <c r="AA30" i="19"/>
  <c r="AB30" i="19" s="1"/>
  <c r="V21" i="19"/>
  <c r="W21" i="19"/>
  <c r="V22" i="19"/>
  <c r="W22" i="19"/>
  <c r="V25" i="19"/>
  <c r="W25" i="19"/>
  <c r="V26" i="19"/>
  <c r="W26" i="19"/>
  <c r="V29" i="19"/>
  <c r="W29" i="19"/>
  <c r="I74" i="19"/>
  <c r="U74" i="19" s="1"/>
  <c r="Z74" i="19"/>
  <c r="AE74" i="19" s="1"/>
  <c r="D74" i="19"/>
  <c r="I73" i="19"/>
  <c r="U73" i="19" s="1"/>
  <c r="Z73" i="19"/>
  <c r="AE73" i="19" s="1"/>
  <c r="D73" i="19"/>
  <c r="I72" i="19"/>
  <c r="U72" i="19"/>
  <c r="Z72" i="19" s="1"/>
  <c r="AE72" i="19"/>
  <c r="D72" i="19"/>
  <c r="I71" i="19"/>
  <c r="U71" i="19" s="1"/>
  <c r="Z71" i="19" s="1"/>
  <c r="AE71" i="19" s="1"/>
  <c r="D71" i="19"/>
  <c r="I70" i="19"/>
  <c r="U70" i="19" s="1"/>
  <c r="Z70" i="19"/>
  <c r="AE70" i="19" s="1"/>
  <c r="D70" i="19"/>
  <c r="I69" i="19"/>
  <c r="U69" i="19" s="1"/>
  <c r="Z69" i="19"/>
  <c r="AE69" i="19" s="1"/>
  <c r="D69" i="19"/>
  <c r="I68" i="19"/>
  <c r="U68" i="19"/>
  <c r="Z68" i="19" s="1"/>
  <c r="AE68" i="19"/>
  <c r="D68" i="19"/>
  <c r="I67" i="19"/>
  <c r="U67" i="19" s="1"/>
  <c r="Z67" i="19" s="1"/>
  <c r="AE67" i="19" s="1"/>
  <c r="D67" i="19"/>
  <c r="I66" i="19"/>
  <c r="U66" i="19" s="1"/>
  <c r="Z66" i="19"/>
  <c r="AE66" i="19" s="1"/>
  <c r="D66" i="19"/>
  <c r="I65" i="19"/>
  <c r="U65" i="19" s="1"/>
  <c r="Z65" i="19"/>
  <c r="AE65" i="19" s="1"/>
  <c r="D65" i="19"/>
  <c r="I64" i="19"/>
  <c r="U64" i="19"/>
  <c r="Z64" i="19" s="1"/>
  <c r="AE64" i="19"/>
  <c r="D64" i="19"/>
  <c r="I63" i="19"/>
  <c r="U63" i="19" s="1"/>
  <c r="Z63" i="19" s="1"/>
  <c r="AE63" i="19" s="1"/>
  <c r="D63" i="19"/>
  <c r="I62" i="19"/>
  <c r="U62" i="19" s="1"/>
  <c r="Z62" i="19"/>
  <c r="AE62" i="19" s="1"/>
  <c r="R62" i="19"/>
  <c r="D62" i="19"/>
  <c r="I61" i="19"/>
  <c r="U61" i="19" s="1"/>
  <c r="Z61" i="19"/>
  <c r="AE61" i="19" s="1"/>
  <c r="D61" i="19"/>
  <c r="I60" i="19"/>
  <c r="U60" i="19"/>
  <c r="Z60" i="19" s="1"/>
  <c r="AE60" i="19"/>
  <c r="D60" i="19"/>
  <c r="I59" i="19"/>
  <c r="U59" i="19" s="1"/>
  <c r="Z59" i="19" s="1"/>
  <c r="AE59" i="19" s="1"/>
  <c r="D59" i="19"/>
  <c r="I58" i="19"/>
  <c r="U58" i="19" s="1"/>
  <c r="Z58" i="19"/>
  <c r="AE58" i="19" s="1"/>
  <c r="R58" i="19"/>
  <c r="D58" i="19"/>
  <c r="I57" i="19"/>
  <c r="U57" i="19" s="1"/>
  <c r="Z57" i="19"/>
  <c r="AE57" i="19" s="1"/>
  <c r="D57" i="19"/>
  <c r="I56" i="19"/>
  <c r="U56" i="19"/>
  <c r="Z56" i="19" s="1"/>
  <c r="AE56" i="19"/>
  <c r="D56" i="19"/>
  <c r="I55" i="19"/>
  <c r="U55" i="19" s="1"/>
  <c r="Z55" i="19" s="1"/>
  <c r="AE55" i="19" s="1"/>
  <c r="D55" i="19"/>
  <c r="I54" i="19"/>
  <c r="U54" i="19" s="1"/>
  <c r="Z54" i="19"/>
  <c r="AE54" i="19" s="1"/>
  <c r="R54" i="19"/>
  <c r="D54" i="19"/>
  <c r="I53" i="19"/>
  <c r="U53" i="19" s="1"/>
  <c r="Z53" i="19"/>
  <c r="AE53" i="19" s="1"/>
  <c r="D53" i="19"/>
  <c r="I52" i="19"/>
  <c r="U52" i="19"/>
  <c r="Z52" i="19" s="1"/>
  <c r="AE52" i="19"/>
  <c r="D52" i="19"/>
  <c r="I51" i="19"/>
  <c r="U51" i="19" s="1"/>
  <c r="Z51" i="19" s="1"/>
  <c r="AE51" i="19" s="1"/>
  <c r="D51" i="19"/>
  <c r="I50" i="19"/>
  <c r="U50" i="19" s="1"/>
  <c r="Z50" i="19"/>
  <c r="AE50" i="19" s="1"/>
  <c r="R50" i="19"/>
  <c r="L50" i="19"/>
  <c r="D50" i="19"/>
  <c r="I49" i="19"/>
  <c r="U49" i="19" s="1"/>
  <c r="Z49" i="19"/>
  <c r="AE49" i="19" s="1"/>
  <c r="D49" i="19"/>
  <c r="I48" i="19"/>
  <c r="U48" i="19"/>
  <c r="Z48" i="19" s="1"/>
  <c r="AE48" i="19"/>
  <c r="D48" i="19"/>
  <c r="I47" i="19"/>
  <c r="U47" i="19" s="1"/>
  <c r="Z47" i="19" s="1"/>
  <c r="AE47" i="19" s="1"/>
  <c r="D47" i="19"/>
  <c r="I46" i="19"/>
  <c r="U46" i="19" s="1"/>
  <c r="Z46" i="19"/>
  <c r="AE46" i="19" s="1"/>
  <c r="R46" i="19"/>
  <c r="D46" i="19"/>
  <c r="I45" i="19"/>
  <c r="U45" i="19" s="1"/>
  <c r="Z45" i="19"/>
  <c r="AE45" i="19" s="1"/>
  <c r="D45" i="19"/>
  <c r="I44" i="19"/>
  <c r="U44" i="19"/>
  <c r="Z44" i="19" s="1"/>
  <c r="AE44" i="19"/>
  <c r="D44" i="19"/>
  <c r="I43" i="19"/>
  <c r="U43" i="19" s="1"/>
  <c r="Z43" i="19" s="1"/>
  <c r="AE43" i="19" s="1"/>
  <c r="D43" i="19"/>
  <c r="I42" i="19"/>
  <c r="U42" i="19" s="1"/>
  <c r="Z42" i="19"/>
  <c r="AE42" i="19" s="1"/>
  <c r="R42" i="19"/>
  <c r="O42" i="19"/>
  <c r="D42" i="19"/>
  <c r="I41" i="19"/>
  <c r="U41" i="19" s="1"/>
  <c r="Z41" i="19" s="1"/>
  <c r="AE41" i="19" s="1"/>
  <c r="D41" i="19"/>
  <c r="I40" i="19"/>
  <c r="U40" i="19"/>
  <c r="Z40" i="19" s="1"/>
  <c r="AE40" i="19" s="1"/>
  <c r="D40" i="19"/>
  <c r="I39" i="19"/>
  <c r="U39" i="19" s="1"/>
  <c r="Z39" i="19"/>
  <c r="AE39" i="19" s="1"/>
  <c r="D39" i="19"/>
  <c r="I38" i="19"/>
  <c r="U38" i="19" s="1"/>
  <c r="Z38" i="19" s="1"/>
  <c r="AE38" i="19" s="1"/>
  <c r="R38" i="19"/>
  <c r="D38" i="19"/>
  <c r="I37" i="19"/>
  <c r="U37" i="19" s="1"/>
  <c r="Z37" i="19" s="1"/>
  <c r="AE37" i="19" s="1"/>
  <c r="D37" i="19"/>
  <c r="I36" i="19"/>
  <c r="U36" i="19"/>
  <c r="Z36" i="19" s="1"/>
  <c r="AE36" i="19" s="1"/>
  <c r="D36" i="19"/>
  <c r="I35" i="19"/>
  <c r="U35" i="19" s="1"/>
  <c r="Z35" i="19"/>
  <c r="AE35" i="19" s="1"/>
  <c r="D35" i="19"/>
  <c r="I34" i="19"/>
  <c r="U34" i="19" s="1"/>
  <c r="Z34" i="19" s="1"/>
  <c r="AE34" i="19" s="1"/>
  <c r="R34" i="19"/>
  <c r="L34" i="19"/>
  <c r="D34" i="19"/>
  <c r="I33" i="19"/>
  <c r="U33" i="19" s="1"/>
  <c r="Z33" i="19" s="1"/>
  <c r="AE33" i="19" s="1"/>
  <c r="D33" i="19"/>
  <c r="I32" i="19"/>
  <c r="U32" i="19"/>
  <c r="Z32" i="19" s="1"/>
  <c r="AE32" i="19" s="1"/>
  <c r="D32" i="19"/>
  <c r="I31" i="19"/>
  <c r="U31" i="19" s="1"/>
  <c r="Z31" i="19"/>
  <c r="AE31" i="19" s="1"/>
  <c r="D31" i="19"/>
  <c r="I30" i="19"/>
  <c r="U30" i="19" s="1"/>
  <c r="Z30" i="19" s="1"/>
  <c r="AE30" i="19" s="1"/>
  <c r="R30" i="19"/>
  <c r="D30" i="19"/>
  <c r="I29" i="19"/>
  <c r="U29" i="19" s="1"/>
  <c r="Z29" i="19" s="1"/>
  <c r="AE29" i="19" s="1"/>
  <c r="D29" i="19"/>
  <c r="I28" i="19"/>
  <c r="U28" i="19"/>
  <c r="Z28" i="19" s="1"/>
  <c r="AE28" i="19" s="1"/>
  <c r="D28" i="19"/>
  <c r="I27" i="19"/>
  <c r="U27" i="19" s="1"/>
  <c r="Z27" i="19"/>
  <c r="AE27" i="19" s="1"/>
  <c r="D27" i="19"/>
  <c r="I26" i="19"/>
  <c r="U26" i="19" s="1"/>
  <c r="Z26" i="19" s="1"/>
  <c r="AE26" i="19" s="1"/>
  <c r="R26" i="19"/>
  <c r="D26" i="19"/>
  <c r="I25" i="19"/>
  <c r="U25" i="19" s="1"/>
  <c r="Z25" i="19" s="1"/>
  <c r="AE25" i="19" s="1"/>
  <c r="D25" i="19"/>
  <c r="I24" i="19"/>
  <c r="U24" i="19"/>
  <c r="Z24" i="19" s="1"/>
  <c r="AE24" i="19" s="1"/>
  <c r="D24" i="19"/>
  <c r="I23" i="19"/>
  <c r="U23" i="19" s="1"/>
  <c r="Z23" i="19"/>
  <c r="AE23" i="19" s="1"/>
  <c r="D23" i="19"/>
  <c r="I22" i="19"/>
  <c r="U22" i="19" s="1"/>
  <c r="Z22" i="19" s="1"/>
  <c r="AE22" i="19" s="1"/>
  <c r="R22" i="19"/>
  <c r="L22" i="19"/>
  <c r="D22" i="19"/>
  <c r="I21" i="19"/>
  <c r="U21" i="19" s="1"/>
  <c r="Z21" i="19" s="1"/>
  <c r="AE21" i="19" s="1"/>
  <c r="D21" i="19"/>
  <c r="I20" i="19"/>
  <c r="U20" i="19"/>
  <c r="Z20" i="19" s="1"/>
  <c r="AE20" i="19" s="1"/>
  <c r="D20" i="19"/>
  <c r="I19" i="19"/>
  <c r="U19" i="19" s="1"/>
  <c r="Z19" i="19"/>
  <c r="AE19" i="19" s="1"/>
  <c r="D19" i="19"/>
  <c r="I18" i="19"/>
  <c r="U18" i="19" s="1"/>
  <c r="Z18" i="19" s="1"/>
  <c r="AE18" i="19" s="1"/>
  <c r="R18" i="19"/>
  <c r="D18" i="19"/>
  <c r="I17" i="19"/>
  <c r="U17" i="19" s="1"/>
  <c r="Z17" i="19" s="1"/>
  <c r="AE17" i="19" s="1"/>
  <c r="V17" i="19"/>
  <c r="D17" i="19"/>
  <c r="I16" i="19"/>
  <c r="U16" i="19" s="1"/>
  <c r="Z16" i="19" s="1"/>
  <c r="AE16" i="19" s="1"/>
  <c r="V16" i="19"/>
  <c r="D16" i="19"/>
  <c r="I15" i="19"/>
  <c r="U15" i="19" s="1"/>
  <c r="Z15" i="19" s="1"/>
  <c r="AE15" i="19" s="1"/>
  <c r="V15" i="19"/>
  <c r="D15" i="19"/>
  <c r="I14" i="19"/>
  <c r="U14" i="19"/>
  <c r="Z14" i="19" s="1"/>
  <c r="AE14" i="19" s="1"/>
  <c r="R14" i="19"/>
  <c r="L14" i="19"/>
  <c r="D14" i="19"/>
  <c r="I13" i="19"/>
  <c r="U13" i="19"/>
  <c r="Z13" i="19" s="1"/>
  <c r="AE13" i="19" s="1"/>
  <c r="D13" i="19"/>
  <c r="I12" i="19"/>
  <c r="U12" i="19"/>
  <c r="Z12" i="19" s="1"/>
  <c r="AE12" i="19" s="1"/>
  <c r="D12" i="19"/>
  <c r="I11" i="19"/>
  <c r="U11" i="19"/>
  <c r="Z11" i="19" s="1"/>
  <c r="AE11" i="19" s="1"/>
  <c r="D11" i="19"/>
  <c r="AF10" i="19"/>
  <c r="AG10" i="19"/>
  <c r="I10" i="19"/>
  <c r="U10" i="19" s="1"/>
  <c r="Z10" i="19" s="1"/>
  <c r="AE10" i="19" s="1"/>
  <c r="P10" i="19"/>
  <c r="B10" i="19"/>
  <c r="C10" i="19" s="1"/>
  <c r="D10" i="19" s="1"/>
  <c r="Q10" i="19"/>
  <c r="B9" i="19"/>
  <c r="C9" i="19" s="1"/>
  <c r="D9" i="19" s="1"/>
  <c r="B8" i="19"/>
  <c r="C8" i="19"/>
  <c r="D8" i="19" s="1"/>
  <c r="B7" i="19"/>
  <c r="C7" i="19" s="1"/>
  <c r="D7" i="19" s="1"/>
  <c r="N10" i="19"/>
  <c r="O10" i="19" s="1"/>
  <c r="J10" i="19"/>
  <c r="K10" i="19" s="1"/>
  <c r="J9" i="19"/>
  <c r="K9" i="19" s="1"/>
  <c r="I9" i="19"/>
  <c r="U9" i="19" s="1"/>
  <c r="Z9" i="19" s="1"/>
  <c r="AE9" i="19" s="1"/>
  <c r="V9" i="19"/>
  <c r="I8" i="19"/>
  <c r="U8" i="19" s="1"/>
  <c r="Z8" i="19"/>
  <c r="AE8" i="19" s="1"/>
  <c r="I7" i="19"/>
  <c r="U7" i="19" s="1"/>
  <c r="Z7" i="19" s="1"/>
  <c r="AE7" i="19" s="1"/>
  <c r="AF6" i="19"/>
  <c r="AG6" i="19" s="1"/>
  <c r="AF5" i="19"/>
  <c r="AG5" i="19" s="1"/>
  <c r="AF3" i="19"/>
  <c r="AG3" i="19" s="1"/>
  <c r="I6" i="19"/>
  <c r="U6" i="19"/>
  <c r="Z6" i="19" s="1"/>
  <c r="AE6" i="19"/>
  <c r="B6" i="19"/>
  <c r="C6" i="19" s="1"/>
  <c r="D6" i="19" s="1"/>
  <c r="B5" i="19"/>
  <c r="C5" i="19"/>
  <c r="D5" i="19" s="1"/>
  <c r="B4" i="19"/>
  <c r="C4" i="19" s="1"/>
  <c r="D4" i="19" s="1"/>
  <c r="B3" i="19"/>
  <c r="C3" i="19"/>
  <c r="D3" i="19" s="1"/>
  <c r="O6" i="19"/>
  <c r="J4" i="19"/>
  <c r="I5" i="19"/>
  <c r="U5" i="19" s="1"/>
  <c r="Z5" i="19" s="1"/>
  <c r="AE5" i="19" s="1"/>
  <c r="I4" i="19"/>
  <c r="U4" i="19" s="1"/>
  <c r="Z4" i="19" s="1"/>
  <c r="AE4" i="19" s="1"/>
  <c r="V4" i="19"/>
  <c r="I3" i="19"/>
  <c r="U3" i="19" s="1"/>
  <c r="Z3" i="19" s="1"/>
  <c r="AE3" i="19" s="1"/>
  <c r="I2" i="19"/>
  <c r="CG36" i="24"/>
  <c r="CE36" i="24"/>
  <c r="CD25" i="24"/>
  <c r="CD36" i="24"/>
  <c r="L92" i="20"/>
  <c r="CG35" i="24"/>
  <c r="L70" i="20"/>
  <c r="CE35" i="24"/>
  <c r="CD24" i="24"/>
  <c r="CD35" i="24"/>
  <c r="CG34" i="24"/>
  <c r="CE34" i="24"/>
  <c r="CD23" i="24"/>
  <c r="CD34" i="24"/>
  <c r="CH32" i="24"/>
  <c r="CG32" i="24"/>
  <c r="CF32" i="24"/>
  <c r="CE32" i="24"/>
  <c r="CD21" i="24"/>
  <c r="CD32" i="24"/>
  <c r="CH31" i="24"/>
  <c r="CG31" i="24"/>
  <c r="CF31" i="24"/>
  <c r="CE31" i="24"/>
  <c r="CD20" i="24"/>
  <c r="CD31" i="24"/>
  <c r="CH30" i="24"/>
  <c r="CG30" i="24"/>
  <c r="CF30" i="24"/>
  <c r="CE30" i="24"/>
  <c r="CD19" i="24"/>
  <c r="CD30" i="24"/>
  <c r="CH29" i="24"/>
  <c r="CG29" i="24"/>
  <c r="CF29" i="24"/>
  <c r="CE29" i="24"/>
  <c r="CD18" i="24"/>
  <c r="CD29" i="24"/>
  <c r="CH6" i="24"/>
  <c r="CH17" i="24"/>
  <c r="CH28" i="24" s="1"/>
  <c r="CG6" i="24"/>
  <c r="CG17" i="24" s="1"/>
  <c r="CG28" i="24"/>
  <c r="CF17" i="24"/>
  <c r="CF28" i="24"/>
  <c r="CE17" i="24"/>
  <c r="CE28" i="24"/>
  <c r="S27" i="24"/>
  <c r="E57" i="24"/>
  <c r="E70" i="24" s="1"/>
  <c r="BJ28" i="24"/>
  <c r="BP4" i="24" s="1"/>
  <c r="CD26" i="24" s="1"/>
  <c r="BZ4" i="24" s="1"/>
  <c r="CG25" i="24"/>
  <c r="CE25" i="24"/>
  <c r="L136" i="20"/>
  <c r="CG24" i="24"/>
  <c r="L114" i="20"/>
  <c r="CE24" i="24"/>
  <c r="CG23" i="24"/>
  <c r="CE23" i="24"/>
  <c r="CH21" i="24"/>
  <c r="CG21" i="24"/>
  <c r="CF21" i="24"/>
  <c r="CE21" i="24"/>
  <c r="CU79" i="9"/>
  <c r="CU78" i="9"/>
  <c r="CV79" i="9" s="1"/>
  <c r="CU77" i="9"/>
  <c r="CU76" i="9"/>
  <c r="CA22" i="24"/>
  <c r="CS79" i="9"/>
  <c r="CS78" i="9"/>
  <c r="CS77" i="9"/>
  <c r="CS76" i="9"/>
  <c r="AY23" i="9"/>
  <c r="BY22" i="24"/>
  <c r="AX23" i="9"/>
  <c r="BX22" i="24"/>
  <c r="Q79" i="9"/>
  <c r="Q78" i="9"/>
  <c r="R79" i="9" s="1"/>
  <c r="BW22" i="24" s="1"/>
  <c r="Q77" i="9"/>
  <c r="Q76" i="9"/>
  <c r="O79" i="9"/>
  <c r="O78" i="9"/>
  <c r="P79" i="9" s="1"/>
  <c r="BV22" i="24" s="1"/>
  <c r="O77" i="9"/>
  <c r="O76" i="9"/>
  <c r="CH20" i="24"/>
  <c r="CG20" i="24"/>
  <c r="CF20" i="24"/>
  <c r="CE20" i="24"/>
  <c r="CU75" i="9"/>
  <c r="CU74" i="9"/>
  <c r="CV75" i="9" s="1"/>
  <c r="CA21" i="24" s="1"/>
  <c r="CU73" i="9"/>
  <c r="CU72" i="9"/>
  <c r="CS75" i="9"/>
  <c r="CS74" i="9"/>
  <c r="CT75" i="9" s="1"/>
  <c r="BZ21" i="24" s="1"/>
  <c r="CS73" i="9"/>
  <c r="CS72" i="9"/>
  <c r="AY22" i="9"/>
  <c r="BY21" i="24"/>
  <c r="AX22" i="9"/>
  <c r="BX21" i="24"/>
  <c r="Q75" i="9"/>
  <c r="Q74" i="9"/>
  <c r="R75" i="9" s="1"/>
  <c r="BW21" i="24" s="1"/>
  <c r="Q73" i="9"/>
  <c r="Q72" i="9"/>
  <c r="O75" i="9"/>
  <c r="O74" i="9"/>
  <c r="O73" i="9"/>
  <c r="O72" i="9"/>
  <c r="CH19" i="24"/>
  <c r="CG19" i="24"/>
  <c r="CF19" i="24"/>
  <c r="CE19" i="24"/>
  <c r="CU71" i="9"/>
  <c r="CU70" i="9"/>
  <c r="CV71" i="9" s="1"/>
  <c r="CU69" i="9"/>
  <c r="CU68" i="9"/>
  <c r="CA20" i="24"/>
  <c r="CS71" i="9"/>
  <c r="CS70" i="9"/>
  <c r="CS69" i="9"/>
  <c r="CS68" i="9"/>
  <c r="AY21" i="9"/>
  <c r="BY20" i="24"/>
  <c r="AX21" i="9"/>
  <c r="BX20" i="24"/>
  <c r="Q71" i="9"/>
  <c r="Q70" i="9"/>
  <c r="R71" i="9" s="1"/>
  <c r="BW20" i="24" s="1"/>
  <c r="Q69" i="9"/>
  <c r="Q68" i="9"/>
  <c r="O71" i="9"/>
  <c r="O70" i="9"/>
  <c r="P71" i="9" s="1"/>
  <c r="BV20" i="24" s="1"/>
  <c r="O69" i="9"/>
  <c r="O68" i="9"/>
  <c r="CH18" i="24"/>
  <c r="CG18" i="24"/>
  <c r="CF18" i="24"/>
  <c r="CE18" i="24"/>
  <c r="CU67" i="9"/>
  <c r="CU66" i="9"/>
  <c r="CV67" i="9" s="1"/>
  <c r="CA19" i="24" s="1"/>
  <c r="CU65" i="9"/>
  <c r="CU64" i="9"/>
  <c r="CS67" i="9"/>
  <c r="CS66" i="9"/>
  <c r="CT67" i="9" s="1"/>
  <c r="BZ19" i="24" s="1"/>
  <c r="CS65" i="9"/>
  <c r="CS64" i="9"/>
  <c r="AY20" i="9"/>
  <c r="BY19" i="24"/>
  <c r="AX20" i="9"/>
  <c r="BX19" i="24"/>
  <c r="Q67" i="9"/>
  <c r="Q66" i="9"/>
  <c r="R67" i="9" s="1"/>
  <c r="BW19" i="24" s="1"/>
  <c r="Q65" i="9"/>
  <c r="Q64" i="9"/>
  <c r="O67" i="9"/>
  <c r="O66" i="9"/>
  <c r="O65" i="9"/>
  <c r="O64" i="9"/>
  <c r="CU63" i="9"/>
  <c r="CU62" i="9"/>
  <c r="CV63" i="9" s="1"/>
  <c r="CU61" i="9"/>
  <c r="CU60" i="9"/>
  <c r="CA18" i="24"/>
  <c r="CS63" i="9"/>
  <c r="CS62" i="9"/>
  <c r="CS61" i="9"/>
  <c r="CS60" i="9"/>
  <c r="AY19" i="9"/>
  <c r="BY18" i="24"/>
  <c r="AX19" i="9"/>
  <c r="BX18" i="24"/>
  <c r="Q63" i="9"/>
  <c r="Q62" i="9"/>
  <c r="R63" i="9" s="1"/>
  <c r="BW18" i="24" s="1"/>
  <c r="Q61" i="9"/>
  <c r="Q60" i="9"/>
  <c r="O63" i="9"/>
  <c r="O62" i="9"/>
  <c r="P63" i="9" s="1"/>
  <c r="BV18" i="24" s="1"/>
  <c r="O61" i="9"/>
  <c r="O60" i="9"/>
  <c r="CU59" i="9"/>
  <c r="CU58" i="9"/>
  <c r="CV59" i="9" s="1"/>
  <c r="CA17" i="24" s="1"/>
  <c r="CU57" i="9"/>
  <c r="CU56" i="9"/>
  <c r="CS59" i="9"/>
  <c r="CS58" i="9"/>
  <c r="CT59" i="9" s="1"/>
  <c r="BZ17" i="24" s="1"/>
  <c r="CS57" i="9"/>
  <c r="CS56" i="9"/>
  <c r="AY18" i="9"/>
  <c r="BY17" i="24"/>
  <c r="Q59" i="9"/>
  <c r="Q58" i="9"/>
  <c r="R59" i="9" s="1"/>
  <c r="BW17" i="24" s="1"/>
  <c r="Q57" i="9"/>
  <c r="Q56" i="9"/>
  <c r="O59" i="9"/>
  <c r="O58" i="9"/>
  <c r="P59" i="9" s="1"/>
  <c r="BV17" i="24" s="1"/>
  <c r="O57" i="9"/>
  <c r="O56" i="9"/>
  <c r="R27" i="24"/>
  <c r="D57" i="24"/>
  <c r="D70" i="24" s="1"/>
  <c r="BG28" i="24" s="1"/>
  <c r="BM4" i="24" s="1"/>
  <c r="CD15" i="24"/>
  <c r="CU55" i="9"/>
  <c r="CU54" i="9"/>
  <c r="CU53" i="9"/>
  <c r="CU52" i="9"/>
  <c r="CS55" i="9"/>
  <c r="CS54" i="9"/>
  <c r="CT55" i="9" s="1"/>
  <c r="BZ16" i="24" s="1"/>
  <c r="CS53" i="9"/>
  <c r="CS52" i="9"/>
  <c r="AY17" i="9"/>
  <c r="BY16" i="24"/>
  <c r="AX17" i="9"/>
  <c r="BX16" i="24"/>
  <c r="Q55" i="9"/>
  <c r="Q54" i="9"/>
  <c r="R55" i="9" s="1"/>
  <c r="BW16" i="24" s="1"/>
  <c r="Q53" i="9"/>
  <c r="Q52" i="9"/>
  <c r="O55" i="9"/>
  <c r="O54" i="9"/>
  <c r="P55" i="9" s="1"/>
  <c r="BV16" i="24" s="1"/>
  <c r="O53" i="9"/>
  <c r="O52" i="9"/>
  <c r="CG14" i="24"/>
  <c r="CE14" i="24"/>
  <c r="CU51" i="9"/>
  <c r="CU50" i="9"/>
  <c r="CV51" i="9" s="1"/>
  <c r="CA15" i="24" s="1"/>
  <c r="CU49" i="9"/>
  <c r="CU48" i="9"/>
  <c r="CS51" i="9"/>
  <c r="CS50" i="9"/>
  <c r="CT51" i="9" s="1"/>
  <c r="BZ15" i="24" s="1"/>
  <c r="CS49" i="9"/>
  <c r="CS48" i="9"/>
  <c r="AY16" i="9"/>
  <c r="BY15" i="24"/>
  <c r="AX16" i="9"/>
  <c r="BX15" i="24"/>
  <c r="Q51" i="9"/>
  <c r="O51" i="9"/>
  <c r="O50" i="9"/>
  <c r="O49" i="9"/>
  <c r="O48" i="9"/>
  <c r="L48" i="20"/>
  <c r="CG13" i="24"/>
  <c r="L29" i="20"/>
  <c r="CE13" i="24"/>
  <c r="CU47" i="9"/>
  <c r="CU46" i="9"/>
  <c r="CV47" i="9" s="1"/>
  <c r="CA14" i="24" s="1"/>
  <c r="CU45" i="9"/>
  <c r="CU44" i="9"/>
  <c r="CS47" i="9"/>
  <c r="CS46" i="9"/>
  <c r="CT47" i="9" s="1"/>
  <c r="BZ14" i="24" s="1"/>
  <c r="CS45" i="9"/>
  <c r="CS44" i="9"/>
  <c r="AY15" i="9"/>
  <c r="BY14" i="24"/>
  <c r="O47" i="9"/>
  <c r="O46" i="9"/>
  <c r="P47" i="9" s="1"/>
  <c r="BV14" i="24" s="1"/>
  <c r="O45" i="9"/>
  <c r="O44" i="9"/>
  <c r="CG12" i="24"/>
  <c r="CE12" i="24"/>
  <c r="CU43" i="9"/>
  <c r="CU42" i="9"/>
  <c r="CU41" i="9"/>
  <c r="CU40" i="9"/>
  <c r="CS43" i="9"/>
  <c r="CS42" i="9"/>
  <c r="CT43" i="9" s="1"/>
  <c r="CS41" i="9"/>
  <c r="CS40" i="9"/>
  <c r="BZ13" i="24"/>
  <c r="O43" i="9"/>
  <c r="O42" i="9"/>
  <c r="P43" i="9" s="1"/>
  <c r="BV13" i="24" s="1"/>
  <c r="O41" i="9"/>
  <c r="O40" i="9"/>
  <c r="CU39" i="9"/>
  <c r="CU38" i="9"/>
  <c r="CV39" i="9" s="1"/>
  <c r="CA12" i="24" s="1"/>
  <c r="CU37" i="9"/>
  <c r="CU36" i="9"/>
  <c r="CS39" i="9"/>
  <c r="CS38" i="9"/>
  <c r="CT39" i="9" s="1"/>
  <c r="BZ12" i="24" s="1"/>
  <c r="CS37" i="9"/>
  <c r="CS36" i="9"/>
  <c r="CH10" i="24"/>
  <c r="CG10" i="24"/>
  <c r="CF10" i="24"/>
  <c r="CE10" i="24"/>
  <c r="CU35" i="9"/>
  <c r="CU34" i="9"/>
  <c r="CU33" i="9"/>
  <c r="CU32" i="9"/>
  <c r="CS35" i="9"/>
  <c r="CS34" i="9"/>
  <c r="CT35" i="9" s="1"/>
  <c r="CS33" i="9"/>
  <c r="CS32" i="9"/>
  <c r="BZ11" i="24"/>
  <c r="CH9" i="24"/>
  <c r="CG9" i="24"/>
  <c r="CF9" i="24"/>
  <c r="CE9" i="24"/>
  <c r="CU31" i="9"/>
  <c r="CU30" i="9"/>
  <c r="CU29" i="9"/>
  <c r="CU28" i="9"/>
  <c r="CS31" i="9"/>
  <c r="CS30" i="9"/>
  <c r="CT31" i="9" s="1"/>
  <c r="BZ10" i="24" s="1"/>
  <c r="CS29" i="9"/>
  <c r="CS28" i="9"/>
  <c r="CH8" i="24"/>
  <c r="CG8" i="24"/>
  <c r="CF8" i="24"/>
  <c r="CE8" i="24"/>
  <c r="CU27" i="9"/>
  <c r="CU26" i="9"/>
  <c r="CV27" i="9" s="1"/>
  <c r="CA9" i="24" s="1"/>
  <c r="CU25" i="9"/>
  <c r="CU24" i="9"/>
  <c r="CS27" i="9"/>
  <c r="CS26" i="9"/>
  <c r="CT27" i="9" s="1"/>
  <c r="BZ9" i="24" s="1"/>
  <c r="CS25" i="9"/>
  <c r="CS24" i="9"/>
  <c r="CH7" i="24"/>
  <c r="CG7" i="24"/>
  <c r="CF7" i="24"/>
  <c r="CE7" i="24"/>
  <c r="CU23" i="9"/>
  <c r="CU22" i="9"/>
  <c r="CV23" i="9" s="1"/>
  <c r="CA8" i="24" s="1"/>
  <c r="CU21" i="9"/>
  <c r="CU20" i="9"/>
  <c r="CS23" i="9"/>
  <c r="CS22" i="9"/>
  <c r="CT23" i="9" s="1"/>
  <c r="BZ8" i="24" s="1"/>
  <c r="CS21" i="9"/>
  <c r="CS20" i="9"/>
  <c r="CU19" i="9"/>
  <c r="CU18" i="9"/>
  <c r="CU17" i="9"/>
  <c r="CU16" i="9"/>
  <c r="CS19" i="9"/>
  <c r="CS18" i="9"/>
  <c r="CT19" i="9" s="1"/>
  <c r="CS17" i="9"/>
  <c r="CS16" i="9"/>
  <c r="BZ7" i="24"/>
  <c r="Q27" i="24"/>
  <c r="C57" i="24"/>
  <c r="C70" i="24" s="1"/>
  <c r="BD28" i="24"/>
  <c r="BJ4" i="24" s="1"/>
  <c r="CD4" i="24" s="1"/>
  <c r="BV4" i="24" s="1"/>
  <c r="BX4" i="24"/>
  <c r="DH47" i="9"/>
  <c r="DN47" i="9" s="1"/>
  <c r="BJ46" i="16"/>
  <c r="DH46" i="9"/>
  <c r="DN46" i="9"/>
  <c r="BJ45" i="16" s="1"/>
  <c r="DH45" i="9"/>
  <c r="DN45" i="9" s="1"/>
  <c r="BJ44" i="16" s="1"/>
  <c r="L40" i="7"/>
  <c r="DH44" i="9"/>
  <c r="DN44" i="9" s="1"/>
  <c r="BJ43" i="16" s="1"/>
  <c r="DH51" i="9"/>
  <c r="DN51" i="9"/>
  <c r="BJ50" i="16" s="1"/>
  <c r="DH50" i="9"/>
  <c r="DN50" i="9" s="1"/>
  <c r="BJ49" i="16" s="1"/>
  <c r="DH49" i="9"/>
  <c r="DN49" i="9"/>
  <c r="BJ48" i="16" s="1"/>
  <c r="L44" i="7"/>
  <c r="DH48" i="9" s="1"/>
  <c r="DN48" i="9"/>
  <c r="BJ47" i="16" s="1"/>
  <c r="DH55" i="9"/>
  <c r="DN55" i="9" s="1"/>
  <c r="BJ54" i="16" s="1"/>
  <c r="DH54" i="9"/>
  <c r="DN54" i="9"/>
  <c r="BJ53" i="16" s="1"/>
  <c r="DH53" i="9"/>
  <c r="DN53" i="9" s="1"/>
  <c r="BJ52" i="16"/>
  <c r="L48" i="7"/>
  <c r="DH52" i="9"/>
  <c r="DN52" i="9" s="1"/>
  <c r="BJ51" i="16"/>
  <c r="DH59" i="9"/>
  <c r="DN59" i="9"/>
  <c r="BJ58" i="16" s="1"/>
  <c r="DH58" i="9"/>
  <c r="DN58" i="9" s="1"/>
  <c r="BJ57" i="16"/>
  <c r="DH57" i="9"/>
  <c r="DN57" i="9"/>
  <c r="BJ56" i="16" s="1"/>
  <c r="L52" i="7"/>
  <c r="DH56" i="9" s="1"/>
  <c r="DN56" i="9" s="1"/>
  <c r="BJ55" i="16" s="1"/>
  <c r="BL58" i="16"/>
  <c r="BR16" i="24" s="1"/>
  <c r="DH63" i="9"/>
  <c r="DN63" i="9" s="1"/>
  <c r="BJ62" i="16" s="1"/>
  <c r="BL62" i="16" s="1"/>
  <c r="DH62" i="9"/>
  <c r="DN62" i="9"/>
  <c r="BJ61" i="16" s="1"/>
  <c r="DH61" i="9"/>
  <c r="DN61" i="9" s="1"/>
  <c r="BJ60" i="16" s="1"/>
  <c r="L56" i="7"/>
  <c r="DH60" i="9"/>
  <c r="DN60" i="9" s="1"/>
  <c r="BJ59" i="16" s="1"/>
  <c r="DH67" i="9"/>
  <c r="DN67" i="9"/>
  <c r="BJ66" i="16" s="1"/>
  <c r="DH66" i="9"/>
  <c r="DN66" i="9" s="1"/>
  <c r="BJ65" i="16" s="1"/>
  <c r="DH65" i="9"/>
  <c r="DN65" i="9"/>
  <c r="BJ64" i="16" s="1"/>
  <c r="L60" i="7"/>
  <c r="DH64" i="9" s="1"/>
  <c r="DN64" i="9"/>
  <c r="BJ63" i="16" s="1"/>
  <c r="DH71" i="9"/>
  <c r="DN71" i="9" s="1"/>
  <c r="BJ70" i="16" s="1"/>
  <c r="DH70" i="9"/>
  <c r="DN70" i="9"/>
  <c r="BJ69" i="16" s="1"/>
  <c r="DH69" i="9"/>
  <c r="DN69" i="9" s="1"/>
  <c r="BJ68" i="16"/>
  <c r="L64" i="7"/>
  <c r="DH68" i="9"/>
  <c r="DN68" i="9" s="1"/>
  <c r="BJ67" i="16"/>
  <c r="DH75" i="9"/>
  <c r="DN75" i="9"/>
  <c r="BJ74" i="16" s="1"/>
  <c r="DH74" i="9"/>
  <c r="DN74" i="9" s="1"/>
  <c r="BJ73" i="16"/>
  <c r="DH73" i="9"/>
  <c r="DN73" i="9"/>
  <c r="BJ72" i="16" s="1"/>
  <c r="L68" i="7"/>
  <c r="DH72" i="9" s="1"/>
  <c r="DN72" i="9" s="1"/>
  <c r="BJ71" i="16" s="1"/>
  <c r="DH79" i="9"/>
  <c r="DN79" i="9" s="1"/>
  <c r="BJ78" i="16"/>
  <c r="BL78" i="16" s="1"/>
  <c r="DH78" i="9"/>
  <c r="DN78" i="9"/>
  <c r="BJ77" i="16" s="1"/>
  <c r="DH77" i="9"/>
  <c r="DN77" i="9" s="1"/>
  <c r="BJ76" i="16" s="1"/>
  <c r="L72" i="7"/>
  <c r="DH76" i="9"/>
  <c r="DN76" i="9" s="1"/>
  <c r="BJ75" i="16" s="1"/>
  <c r="DG47" i="9"/>
  <c r="DM47" i="9" s="1"/>
  <c r="BB46" i="16"/>
  <c r="DG46" i="9"/>
  <c r="DM46" i="9"/>
  <c r="BB45" i="16" s="1"/>
  <c r="DG45" i="9"/>
  <c r="DM45" i="9" s="1"/>
  <c r="K40" i="7"/>
  <c r="DG44" i="9"/>
  <c r="DM44" i="9" s="1"/>
  <c r="BB43" i="16" s="1"/>
  <c r="DG51" i="9"/>
  <c r="DM51" i="9"/>
  <c r="BB50" i="16" s="1"/>
  <c r="DG50" i="9"/>
  <c r="DM50" i="9" s="1"/>
  <c r="BB49" i="16" s="1"/>
  <c r="DG49" i="9"/>
  <c r="DM49" i="9"/>
  <c r="BB48" i="16" s="1"/>
  <c r="K44" i="7"/>
  <c r="DG48" i="9" s="1"/>
  <c r="DM48" i="9" s="1"/>
  <c r="BB47" i="16" s="1"/>
  <c r="DG55" i="9"/>
  <c r="DM55" i="9" s="1"/>
  <c r="BB54" i="16" s="1"/>
  <c r="DG54" i="9"/>
  <c r="DM54" i="9"/>
  <c r="BB53" i="16" s="1"/>
  <c r="DG53" i="9"/>
  <c r="DM53" i="9" s="1"/>
  <c r="BB52" i="16"/>
  <c r="K48" i="7"/>
  <c r="DG52" i="9"/>
  <c r="DM52" i="9" s="1"/>
  <c r="DG59" i="9"/>
  <c r="DM59" i="9"/>
  <c r="BB58" i="16" s="1"/>
  <c r="DG58" i="9"/>
  <c r="DM58" i="9" s="1"/>
  <c r="BB57" i="16" s="1"/>
  <c r="DG57" i="9"/>
  <c r="DM57" i="9"/>
  <c r="BB56" i="16" s="1"/>
  <c r="K52" i="7"/>
  <c r="DG56" i="9" s="1"/>
  <c r="DM56" i="9" s="1"/>
  <c r="BB55" i="16" s="1"/>
  <c r="DG63" i="9"/>
  <c r="DM63" i="9" s="1"/>
  <c r="BB62" i="16"/>
  <c r="BD62" i="16" s="1"/>
  <c r="BQ17" i="24" s="1"/>
  <c r="DG62" i="9"/>
  <c r="DM62" i="9"/>
  <c r="BB61" i="16" s="1"/>
  <c r="DG61" i="9"/>
  <c r="DM61" i="9" s="1"/>
  <c r="BB60" i="16" s="1"/>
  <c r="K56" i="7"/>
  <c r="DG60" i="9"/>
  <c r="DM60" i="9" s="1"/>
  <c r="BB59" i="16" s="1"/>
  <c r="DG67" i="9"/>
  <c r="DM67" i="9"/>
  <c r="BB66" i="16" s="1"/>
  <c r="DG66" i="9"/>
  <c r="DM66" i="9" s="1"/>
  <c r="BB65" i="16" s="1"/>
  <c r="DG65" i="9"/>
  <c r="DM65" i="9"/>
  <c r="BB64" i="16" s="1"/>
  <c r="K60" i="7"/>
  <c r="DG64" i="9" s="1"/>
  <c r="DM64" i="9" s="1"/>
  <c r="BB63" i="16" s="1"/>
  <c r="DG71" i="9"/>
  <c r="DM71" i="9" s="1"/>
  <c r="BB70" i="16" s="1"/>
  <c r="DG70" i="9"/>
  <c r="DM70" i="9"/>
  <c r="BB69" i="16" s="1"/>
  <c r="DG69" i="9"/>
  <c r="DM69" i="9" s="1"/>
  <c r="BB68" i="16" s="1"/>
  <c r="K64" i="7"/>
  <c r="DG68" i="9"/>
  <c r="DM68" i="9" s="1"/>
  <c r="DP68" i="9" s="1"/>
  <c r="CC67" i="16" s="1"/>
  <c r="BB67" i="16"/>
  <c r="DG75" i="9"/>
  <c r="DM75" i="9"/>
  <c r="BB74" i="16" s="1"/>
  <c r="DG74" i="9"/>
  <c r="DM74" i="9" s="1"/>
  <c r="BB73" i="16"/>
  <c r="BG74" i="16" s="1"/>
  <c r="DG73" i="9"/>
  <c r="DM73" i="9"/>
  <c r="BB72" i="16" s="1"/>
  <c r="K68" i="7"/>
  <c r="DG72" i="9" s="1"/>
  <c r="DM72" i="9" s="1"/>
  <c r="BB71" i="16" s="1"/>
  <c r="BD74" i="16"/>
  <c r="DG79" i="9"/>
  <c r="DM79" i="9" s="1"/>
  <c r="BB78" i="16"/>
  <c r="DG78" i="9"/>
  <c r="DM78" i="9"/>
  <c r="BB77" i="16" s="1"/>
  <c r="DG77" i="9"/>
  <c r="DM77" i="9" s="1"/>
  <c r="BB76" i="16" s="1"/>
  <c r="K72" i="7"/>
  <c r="DG76" i="9"/>
  <c r="DM76" i="9" s="1"/>
  <c r="BB75" i="16" s="1"/>
  <c r="DI47" i="9"/>
  <c r="DO47" i="9" s="1"/>
  <c r="BO46" i="16"/>
  <c r="DI46" i="9"/>
  <c r="DO46" i="9"/>
  <c r="BO45" i="16" s="1"/>
  <c r="DI45" i="9"/>
  <c r="DO45" i="9" s="1"/>
  <c r="BO44" i="16" s="1"/>
  <c r="M40" i="7"/>
  <c r="DI44" i="9"/>
  <c r="DO44" i="9" s="1"/>
  <c r="BO43" i="16" s="1"/>
  <c r="DI51" i="9"/>
  <c r="DO51" i="9"/>
  <c r="BO50" i="16" s="1"/>
  <c r="DI50" i="9"/>
  <c r="DO50" i="9" s="1"/>
  <c r="DI49" i="9"/>
  <c r="DO49" i="9"/>
  <c r="M44" i="7"/>
  <c r="DI48" i="9" s="1"/>
  <c r="DO48" i="9"/>
  <c r="DI55" i="9"/>
  <c r="DO55" i="9" s="1"/>
  <c r="DI54" i="9"/>
  <c r="DO54" i="9"/>
  <c r="BO53" i="16" s="1"/>
  <c r="DI53" i="9"/>
  <c r="DO53" i="9" s="1"/>
  <c r="BO52" i="16"/>
  <c r="M48" i="7"/>
  <c r="DI52" i="9"/>
  <c r="DO52" i="9" s="1"/>
  <c r="BO51" i="16"/>
  <c r="DI59" i="9"/>
  <c r="DO59" i="9"/>
  <c r="DI58" i="9"/>
  <c r="DO58" i="9" s="1"/>
  <c r="BO57" i="16"/>
  <c r="DI57" i="9"/>
  <c r="DO57" i="9"/>
  <c r="DP57" i="9" s="1"/>
  <c r="M52" i="7"/>
  <c r="DI56" i="9" s="1"/>
  <c r="DO56" i="9" s="1"/>
  <c r="DI63" i="9"/>
  <c r="DO63" i="9" s="1"/>
  <c r="BO62" i="16" s="1"/>
  <c r="DI62" i="9"/>
  <c r="DO62" i="9"/>
  <c r="BO61" i="16" s="1"/>
  <c r="DI61" i="9"/>
  <c r="DO61" i="9" s="1"/>
  <c r="M56" i="7"/>
  <c r="DI60" i="9"/>
  <c r="DO60" i="9" s="1"/>
  <c r="BO59" i="16" s="1"/>
  <c r="DI67" i="9"/>
  <c r="DO67" i="9"/>
  <c r="BO66" i="16" s="1"/>
  <c r="DI66" i="9"/>
  <c r="DO66" i="9" s="1"/>
  <c r="DI65" i="9"/>
  <c r="DO65" i="9"/>
  <c r="M60" i="7"/>
  <c r="DI64" i="9" s="1"/>
  <c r="DO64" i="9"/>
  <c r="DI71" i="9"/>
  <c r="DO71" i="9" s="1"/>
  <c r="DI70" i="9"/>
  <c r="DO70" i="9"/>
  <c r="BO69" i="16" s="1"/>
  <c r="DI69" i="9"/>
  <c r="DO69" i="9" s="1"/>
  <c r="BO68" i="16"/>
  <c r="M64" i="7"/>
  <c r="DI68" i="9"/>
  <c r="DO68" i="9" s="1"/>
  <c r="BO67" i="16"/>
  <c r="DI75" i="9"/>
  <c r="DO75" i="9"/>
  <c r="DI74" i="9"/>
  <c r="DO74" i="9" s="1"/>
  <c r="BO73" i="16"/>
  <c r="DI73" i="9"/>
  <c r="DO73" i="9"/>
  <c r="DP73" i="9" s="1"/>
  <c r="M68" i="7"/>
  <c r="DI72" i="9" s="1"/>
  <c r="DO72" i="9" s="1"/>
  <c r="DI79" i="9"/>
  <c r="DO79" i="9" s="1"/>
  <c r="BO78" i="16" s="1"/>
  <c r="DI78" i="9"/>
  <c r="DO78" i="9"/>
  <c r="BO77" i="16" s="1"/>
  <c r="DI77" i="9"/>
  <c r="DO77" i="9" s="1"/>
  <c r="M72" i="7"/>
  <c r="DI76" i="9"/>
  <c r="DO76" i="9" s="1"/>
  <c r="BO75" i="16" s="1"/>
  <c r="X22" i="2"/>
  <c r="BE18" i="9" s="1"/>
  <c r="BV18" i="9" s="1"/>
  <c r="AI17" i="16" s="1"/>
  <c r="X23" i="2"/>
  <c r="BE19" i="9"/>
  <c r="BV19" i="9" s="1"/>
  <c r="AI18" i="16" s="1"/>
  <c r="BO17" i="24" s="1"/>
  <c r="X24" i="2"/>
  <c r="BE20" i="9" s="1"/>
  <c r="BV20" i="9" s="1"/>
  <c r="AI19" i="16" s="1"/>
  <c r="BO18" i="24" s="1"/>
  <c r="X25" i="2"/>
  <c r="BE21" i="9"/>
  <c r="BV21" i="9" s="1"/>
  <c r="AI20" i="16"/>
  <c r="X26" i="2"/>
  <c r="BE22" i="9" s="1"/>
  <c r="BV22" i="9" s="1"/>
  <c r="AI21" i="16" s="1"/>
  <c r="X27" i="2"/>
  <c r="BE23" i="9"/>
  <c r="BV23" i="9" s="1"/>
  <c r="AI22" i="16" s="1"/>
  <c r="BO21" i="24" s="1"/>
  <c r="W19" i="2"/>
  <c r="BD15" i="9"/>
  <c r="BU15" i="9" s="1"/>
  <c r="AE14" i="16"/>
  <c r="BN13" i="24" s="1"/>
  <c r="W20" i="2"/>
  <c r="BD16" i="9" s="1"/>
  <c r="BU16" i="9" s="1"/>
  <c r="W21" i="2"/>
  <c r="BD17" i="9"/>
  <c r="BU17" i="9" s="1"/>
  <c r="W22" i="2"/>
  <c r="W23" i="2"/>
  <c r="BD19" i="9"/>
  <c r="BU19" i="9" s="1"/>
  <c r="AE18" i="16" s="1"/>
  <c r="W24" i="2"/>
  <c r="BD20" i="9" s="1"/>
  <c r="BU20" i="9"/>
  <c r="W25" i="2"/>
  <c r="BD21" i="9"/>
  <c r="BU21" i="9" s="1"/>
  <c r="W26" i="2"/>
  <c r="W27" i="2"/>
  <c r="BD23" i="9"/>
  <c r="BU23" i="9" s="1"/>
  <c r="Y19" i="2"/>
  <c r="BF15" i="9"/>
  <c r="BW15" i="9" s="1"/>
  <c r="AM14" i="16" s="1"/>
  <c r="Y20" i="2"/>
  <c r="BF16" i="9" s="1"/>
  <c r="BW16" i="9" s="1"/>
  <c r="AM15" i="16" s="1"/>
  <c r="BM14" i="24" s="1"/>
  <c r="Y21" i="2"/>
  <c r="BF17" i="9"/>
  <c r="BW17" i="9" s="1"/>
  <c r="AM16" i="16"/>
  <c r="BM15" i="24" s="1"/>
  <c r="Y23" i="2"/>
  <c r="BF19" i="9"/>
  <c r="BW19" i="9" s="1"/>
  <c r="AM18" i="16" s="1"/>
  <c r="BM17" i="24" s="1"/>
  <c r="Y24" i="2"/>
  <c r="BF20" i="9" s="1"/>
  <c r="BW20" i="9" s="1"/>
  <c r="AM19" i="16" s="1"/>
  <c r="BM18" i="24" s="1"/>
  <c r="Y25" i="2"/>
  <c r="BF21" i="9"/>
  <c r="BW21" i="9" s="1"/>
  <c r="AM20" i="16" s="1"/>
  <c r="Y27" i="2"/>
  <c r="BF23" i="9"/>
  <c r="BW23" i="9" s="1"/>
  <c r="AM22" i="16" s="1"/>
  <c r="AL44" i="4"/>
  <c r="AL45" i="4"/>
  <c r="AL46" i="4" s="1"/>
  <c r="AM46" i="4" s="1"/>
  <c r="AA47" i="9" s="1"/>
  <c r="Z47" i="9"/>
  <c r="AF47" i="9" s="1"/>
  <c r="Z45" i="9"/>
  <c r="AF45" i="9" s="1"/>
  <c r="B44" i="16"/>
  <c r="Z44" i="9"/>
  <c r="AF44" i="9"/>
  <c r="AH44" i="9" s="1"/>
  <c r="O43" i="16" s="1"/>
  <c r="AL47" i="4"/>
  <c r="AL51" i="4"/>
  <c r="AL53" i="4"/>
  <c r="Z54" i="9" s="1"/>
  <c r="AF54" i="9" s="1"/>
  <c r="AL55" i="4"/>
  <c r="AL56" i="4"/>
  <c r="AL57" i="4"/>
  <c r="Z57" i="9"/>
  <c r="AF57" i="9" s="1"/>
  <c r="AL59" i="4"/>
  <c r="AL60" i="4"/>
  <c r="AL61" i="4"/>
  <c r="AM61" i="4" s="1"/>
  <c r="Z61" i="9"/>
  <c r="AF61" i="9" s="1"/>
  <c r="AL63" i="4"/>
  <c r="AL66" i="4" s="1"/>
  <c r="Z67" i="9" s="1"/>
  <c r="AF67" i="9" s="1"/>
  <c r="AL64" i="4"/>
  <c r="AL65" i="4"/>
  <c r="Z65" i="9"/>
  <c r="AF65" i="9" s="1"/>
  <c r="AL67" i="4"/>
  <c r="AL68" i="4"/>
  <c r="AL69" i="4"/>
  <c r="Z70" i="9" s="1"/>
  <c r="AF70" i="9" s="1"/>
  <c r="Z69" i="9"/>
  <c r="AF69" i="9" s="1"/>
  <c r="B68" i="16"/>
  <c r="AL71" i="4"/>
  <c r="AL72" i="4"/>
  <c r="AL73" i="4"/>
  <c r="Z73" i="9"/>
  <c r="AF73" i="9" s="1"/>
  <c r="Z79" i="9"/>
  <c r="AF79" i="9" s="1"/>
  <c r="AL77" i="4"/>
  <c r="Z78" i="9"/>
  <c r="AF78" i="9" s="1"/>
  <c r="AL76" i="4"/>
  <c r="Z77" i="9"/>
  <c r="AF77" i="9" s="1"/>
  <c r="AL75" i="4"/>
  <c r="Z76" i="9"/>
  <c r="AF76" i="9" s="1"/>
  <c r="AG47" i="9"/>
  <c r="I46" i="16" s="1"/>
  <c r="AM45" i="4"/>
  <c r="AA46" i="9" s="1"/>
  <c r="AG46" i="9" s="1"/>
  <c r="I45" i="16" s="1"/>
  <c r="AM44" i="4"/>
  <c r="AA45" i="9" s="1"/>
  <c r="AG45" i="9"/>
  <c r="I44" i="16" s="1"/>
  <c r="AM43" i="4"/>
  <c r="AA44" i="9" s="1"/>
  <c r="AG44" i="9" s="1"/>
  <c r="I43" i="16" s="1"/>
  <c r="AM47" i="4"/>
  <c r="AA48" i="9" s="1"/>
  <c r="AG48" i="9" s="1"/>
  <c r="I47" i="16" s="1"/>
  <c r="AM53" i="4"/>
  <c r="AA54" i="9" s="1"/>
  <c r="AG54" i="9" s="1"/>
  <c r="I53" i="16" s="1"/>
  <c r="AM55" i="4"/>
  <c r="AM56" i="4"/>
  <c r="AA57" i="9" s="1"/>
  <c r="AG57" i="9" s="1"/>
  <c r="I56" i="16" s="1"/>
  <c r="AM60" i="4"/>
  <c r="AN60" i="4"/>
  <c r="AA61" i="9"/>
  <c r="AG61" i="9" s="1"/>
  <c r="I60" i="16"/>
  <c r="AM63" i="4"/>
  <c r="AN63" i="4" s="1"/>
  <c r="AM64" i="4"/>
  <c r="AA64" i="9"/>
  <c r="AG64" i="9" s="1"/>
  <c r="I63" i="16" s="1"/>
  <c r="AM68" i="4"/>
  <c r="AN68" i="4"/>
  <c r="AA69" i="9"/>
  <c r="AG69" i="9" s="1"/>
  <c r="I68" i="16" s="1"/>
  <c r="AM71" i="4"/>
  <c r="AM72" i="4"/>
  <c r="AA73" i="9" s="1"/>
  <c r="AG73" i="9" s="1"/>
  <c r="I72" i="16" s="1"/>
  <c r="AA79" i="9"/>
  <c r="AG79" i="9"/>
  <c r="I78" i="16" s="1"/>
  <c r="AM77" i="4"/>
  <c r="AA78" i="9" s="1"/>
  <c r="AG78" i="9" s="1"/>
  <c r="I77" i="16" s="1"/>
  <c r="AM76" i="4"/>
  <c r="AA77" i="9" s="1"/>
  <c r="AG77" i="9" s="1"/>
  <c r="I76" i="16" s="1"/>
  <c r="AM75" i="4"/>
  <c r="AA76" i="9" s="1"/>
  <c r="AG76" i="9" s="1"/>
  <c r="I75" i="16" s="1"/>
  <c r="K78" i="16"/>
  <c r="BJ21" i="24" s="1"/>
  <c r="BI25" i="24"/>
  <c r="BI24" i="24"/>
  <c r="BI23" i="24"/>
  <c r="DH43" i="9"/>
  <c r="DN43" i="9" s="1"/>
  <c r="BJ42" i="16" s="1"/>
  <c r="DH42" i="9"/>
  <c r="DN42" i="9"/>
  <c r="BJ41" i="16" s="1"/>
  <c r="DH41" i="9"/>
  <c r="DN41" i="9" s="1"/>
  <c r="BJ40" i="16" s="1"/>
  <c r="DG43" i="9"/>
  <c r="DM43" i="9"/>
  <c r="BB42" i="16" s="1"/>
  <c r="DG42" i="9"/>
  <c r="DM42" i="9" s="1"/>
  <c r="BB41" i="16" s="1"/>
  <c r="DG41" i="9"/>
  <c r="DM41" i="9"/>
  <c r="BB40" i="16" s="1"/>
  <c r="K36" i="7"/>
  <c r="DG40" i="9" s="1"/>
  <c r="DM40" i="9"/>
  <c r="BB39" i="16" s="1"/>
  <c r="DI43" i="9"/>
  <c r="DO43" i="9" s="1"/>
  <c r="DI42" i="9"/>
  <c r="DO42" i="9"/>
  <c r="DI41" i="9"/>
  <c r="DO41" i="9" s="1"/>
  <c r="M36" i="7"/>
  <c r="DI40" i="9"/>
  <c r="DO40" i="9" s="1"/>
  <c r="DP40" i="9" s="1"/>
  <c r="CC39" i="16" s="1"/>
  <c r="AL40" i="4"/>
  <c r="AL41" i="4"/>
  <c r="Z41" i="9"/>
  <c r="AF41" i="9" s="1"/>
  <c r="Z40" i="9"/>
  <c r="AF40" i="9"/>
  <c r="AM41" i="4"/>
  <c r="AA42" i="9" s="1"/>
  <c r="AG42" i="9" s="1"/>
  <c r="I41" i="16" s="1"/>
  <c r="AM40" i="4"/>
  <c r="AA41" i="9" s="1"/>
  <c r="AG41" i="9" s="1"/>
  <c r="I40" i="16" s="1"/>
  <c r="AM39" i="4"/>
  <c r="AA40" i="9" s="1"/>
  <c r="AG40" i="9" s="1"/>
  <c r="I39" i="16" s="1"/>
  <c r="DG39" i="9"/>
  <c r="DM39" i="9" s="1"/>
  <c r="DG37" i="9"/>
  <c r="DM37" i="9"/>
  <c r="BB36" i="16" s="1"/>
  <c r="K29" i="7"/>
  <c r="K30" i="7"/>
  <c r="K31" i="7"/>
  <c r="DG35" i="9" s="1"/>
  <c r="DI39" i="9"/>
  <c r="DO39" i="9"/>
  <c r="BO38" i="16" s="1"/>
  <c r="DI38" i="9"/>
  <c r="DO38" i="9" s="1"/>
  <c r="BO37" i="16" s="1"/>
  <c r="DI37" i="9"/>
  <c r="DO37" i="9"/>
  <c r="BO36" i="16" s="1"/>
  <c r="M32" i="7"/>
  <c r="DI36" i="9" s="1"/>
  <c r="DO36" i="9"/>
  <c r="AL36" i="4"/>
  <c r="Z36" i="9"/>
  <c r="AF36" i="9" s="1"/>
  <c r="AM35" i="4"/>
  <c r="AA36" i="9"/>
  <c r="AG36" i="9" s="1"/>
  <c r="I35" i="16"/>
  <c r="DM35" i="9"/>
  <c r="BB34" i="16" s="1"/>
  <c r="DG34" i="9"/>
  <c r="DM34" i="9" s="1"/>
  <c r="BB33" i="16" s="1"/>
  <c r="O26" i="7"/>
  <c r="K25" i="7"/>
  <c r="K26" i="7"/>
  <c r="DG30" i="9" s="1"/>
  <c r="DM30" i="9" s="1"/>
  <c r="BB29" i="16" s="1"/>
  <c r="K27" i="7"/>
  <c r="K28" i="7"/>
  <c r="DG32" i="9" s="1"/>
  <c r="DM32" i="9" s="1"/>
  <c r="BB31" i="16" s="1"/>
  <c r="DI35" i="9"/>
  <c r="DO35" i="9" s="1"/>
  <c r="DI34" i="9"/>
  <c r="DO34" i="9"/>
  <c r="BO33" i="16" s="1"/>
  <c r="DI33" i="9"/>
  <c r="DO33" i="9" s="1"/>
  <c r="M28" i="7"/>
  <c r="DI32" i="9"/>
  <c r="DO32" i="9" s="1"/>
  <c r="AL32" i="4"/>
  <c r="AL33" i="4"/>
  <c r="AL34" i="4" s="1"/>
  <c r="AM34" i="4" s="1"/>
  <c r="AA35" i="9" s="1"/>
  <c r="Z35" i="9"/>
  <c r="AF35" i="9" s="1"/>
  <c r="B34" i="16" s="1"/>
  <c r="Z33" i="9"/>
  <c r="AF33" i="9" s="1"/>
  <c r="B32" i="16" s="1"/>
  <c r="Z32" i="9"/>
  <c r="AF32" i="9"/>
  <c r="B31" i="16" s="1"/>
  <c r="AG35" i="9"/>
  <c r="I34" i="16" s="1"/>
  <c r="AM33" i="4"/>
  <c r="AA34" i="9" s="1"/>
  <c r="AG34" i="9"/>
  <c r="I33" i="16" s="1"/>
  <c r="AM32" i="4"/>
  <c r="AA33" i="9" s="1"/>
  <c r="AG33" i="9" s="1"/>
  <c r="I32" i="16" s="1"/>
  <c r="AM31" i="4"/>
  <c r="AA32" i="9" s="1"/>
  <c r="AG32" i="9"/>
  <c r="I31" i="16" s="1"/>
  <c r="DG31" i="9"/>
  <c r="DM31" i="9" s="1"/>
  <c r="BB30" i="16" s="1"/>
  <c r="DG29" i="9"/>
  <c r="DM29" i="9" s="1"/>
  <c r="BB28" i="16"/>
  <c r="O22" i="7"/>
  <c r="K21" i="7"/>
  <c r="K22" i="7"/>
  <c r="K23" i="7"/>
  <c r="DI31" i="9"/>
  <c r="DO31" i="9"/>
  <c r="BO30" i="16" s="1"/>
  <c r="DI30" i="9"/>
  <c r="DO30" i="9" s="1"/>
  <c r="BO29" i="16"/>
  <c r="DI29" i="9"/>
  <c r="DO29" i="9"/>
  <c r="BO28" i="16" s="1"/>
  <c r="M21" i="7"/>
  <c r="M22" i="7"/>
  <c r="M23" i="7"/>
  <c r="AL28" i="4"/>
  <c r="AL29" i="4"/>
  <c r="AL30" i="4" s="1"/>
  <c r="AM30" i="4" s="1"/>
  <c r="AA31" i="9" s="1"/>
  <c r="Z31" i="9"/>
  <c r="AF31" i="9" s="1"/>
  <c r="Z29" i="9"/>
  <c r="AF29" i="9" s="1"/>
  <c r="Z28" i="9"/>
  <c r="AF28" i="9"/>
  <c r="B27" i="16" s="1"/>
  <c r="AG31" i="9"/>
  <c r="I30" i="16" s="1"/>
  <c r="AM29" i="4"/>
  <c r="AA30" i="9" s="1"/>
  <c r="AG30" i="9"/>
  <c r="I29" i="16" s="1"/>
  <c r="AM28" i="4"/>
  <c r="AA29" i="9" s="1"/>
  <c r="AG29" i="9" s="1"/>
  <c r="I28" i="16" s="1"/>
  <c r="AM27" i="4"/>
  <c r="AA28" i="9" s="1"/>
  <c r="AG28" i="9"/>
  <c r="I27" i="16" s="1"/>
  <c r="DG27" i="9"/>
  <c r="DM27" i="9" s="1"/>
  <c r="BB26" i="16" s="1"/>
  <c r="DG26" i="9"/>
  <c r="DM26" i="9"/>
  <c r="BB25" i="16" s="1"/>
  <c r="DG25" i="9"/>
  <c r="DM25" i="9" s="1"/>
  <c r="BB24" i="16" s="1"/>
  <c r="O18" i="7"/>
  <c r="K20" i="7"/>
  <c r="DG24" i="9" s="1"/>
  <c r="DM24" i="9" s="1"/>
  <c r="BB23" i="16" s="1"/>
  <c r="DI27" i="9"/>
  <c r="DO27" i="9" s="1"/>
  <c r="BO26" i="16"/>
  <c r="DI26" i="9"/>
  <c r="DO26" i="9"/>
  <c r="O20" i="7"/>
  <c r="M17" i="7"/>
  <c r="M18" i="7"/>
  <c r="M19" i="7"/>
  <c r="DI23" i="9" s="1"/>
  <c r="DO23" i="9" s="1"/>
  <c r="AL24" i="4"/>
  <c r="AL25" i="4"/>
  <c r="Z25" i="9"/>
  <c r="AF25" i="9" s="1"/>
  <c r="B24" i="16" s="1"/>
  <c r="Z24" i="9"/>
  <c r="AF24" i="9"/>
  <c r="AM25" i="4"/>
  <c r="AA26" i="9" s="1"/>
  <c r="AG26" i="9" s="1"/>
  <c r="I25" i="16" s="1"/>
  <c r="AM24" i="4"/>
  <c r="AA25" i="9" s="1"/>
  <c r="AG25" i="9"/>
  <c r="I24" i="16" s="1"/>
  <c r="AM23" i="4"/>
  <c r="AA24" i="9" s="1"/>
  <c r="AG24" i="9" s="1"/>
  <c r="I23" i="16" s="1"/>
  <c r="DG23" i="9"/>
  <c r="DM23" i="9" s="1"/>
  <c r="BB22" i="16"/>
  <c r="DG22" i="9"/>
  <c r="DM22" i="9"/>
  <c r="BB21" i="16" s="1"/>
  <c r="DG21" i="9"/>
  <c r="DM21" i="9" s="1"/>
  <c r="BB20" i="16"/>
  <c r="K16" i="7"/>
  <c r="DG20" i="9"/>
  <c r="DM20" i="9" s="1"/>
  <c r="BB19" i="16"/>
  <c r="DI22" i="9"/>
  <c r="DO22" i="9" s="1"/>
  <c r="BO21" i="16"/>
  <c r="O16" i="7"/>
  <c r="M13" i="7"/>
  <c r="M14" i="7"/>
  <c r="DI18" i="9" s="1"/>
  <c r="DO18" i="9" s="1"/>
  <c r="M15" i="7"/>
  <c r="M16" i="7"/>
  <c r="DI20" i="9" s="1"/>
  <c r="DO20" i="9" s="1"/>
  <c r="BO19" i="16" s="1"/>
  <c r="AL19" i="4"/>
  <c r="DG19" i="9"/>
  <c r="DM19" i="9" s="1"/>
  <c r="BB18" i="16"/>
  <c r="DG18" i="9"/>
  <c r="DM18" i="9"/>
  <c r="BB17" i="16" s="1"/>
  <c r="DG17" i="9"/>
  <c r="DM17" i="9" s="1"/>
  <c r="BB16" i="16"/>
  <c r="K12" i="7"/>
  <c r="DG16" i="9"/>
  <c r="DM16" i="9" s="1"/>
  <c r="BB15" i="16" s="1"/>
  <c r="DI19" i="9"/>
  <c r="DO19" i="9"/>
  <c r="DI17" i="9"/>
  <c r="DO17" i="9"/>
  <c r="O12" i="7"/>
  <c r="M12" i="7" s="1"/>
  <c r="DI16" i="9"/>
  <c r="DO16" i="9" s="1"/>
  <c r="BO15" i="16"/>
  <c r="AL15" i="4"/>
  <c r="AL16" i="4"/>
  <c r="Z16" i="9"/>
  <c r="AF16" i="9" s="1"/>
  <c r="AM15" i="4"/>
  <c r="AA16" i="9"/>
  <c r="AG16" i="9" s="1"/>
  <c r="I15" i="16"/>
  <c r="BO5" i="24"/>
  <c r="BR5" i="24"/>
  <c r="BN5" i="24"/>
  <c r="BQ5" i="24"/>
  <c r="BM5" i="24"/>
  <c r="BP5" i="24"/>
  <c r="CB19" i="9"/>
  <c r="CP19" i="9" s="1"/>
  <c r="BJ30" i="24" s="1"/>
  <c r="DP22" i="9"/>
  <c r="CC21" i="16" s="1"/>
  <c r="CB23" i="9"/>
  <c r="CP23" i="9"/>
  <c r="CB27" i="9"/>
  <c r="CP27" i="9" s="1"/>
  <c r="DP31" i="9"/>
  <c r="CC30" i="16" s="1"/>
  <c r="DP29" i="9"/>
  <c r="CC28" i="16" s="1"/>
  <c r="CB31" i="9"/>
  <c r="CP31" i="9"/>
  <c r="CB35" i="9"/>
  <c r="CP35" i="9" s="1"/>
  <c r="CQ35" i="9" s="1"/>
  <c r="DG38" i="9"/>
  <c r="DM38" i="9" s="1"/>
  <c r="DP38" i="9"/>
  <c r="CC37" i="16" s="1"/>
  <c r="DP37" i="9"/>
  <c r="CC36" i="16" s="1"/>
  <c r="CB39" i="9"/>
  <c r="CP39" i="9"/>
  <c r="CB43" i="9"/>
  <c r="CP43" i="9" s="1"/>
  <c r="BJ36" i="24" s="1"/>
  <c r="DP47" i="9"/>
  <c r="CC46" i="16" s="1"/>
  <c r="DP46" i="9"/>
  <c r="CC45" i="16" s="1"/>
  <c r="DP44" i="9"/>
  <c r="CC43" i="16" s="1"/>
  <c r="CB47" i="9"/>
  <c r="CP47" i="9"/>
  <c r="CB51" i="9"/>
  <c r="CP51" i="9" s="1"/>
  <c r="BJ38" i="24" s="1"/>
  <c r="DP53" i="9"/>
  <c r="CC52" i="16" s="1"/>
  <c r="CB55" i="9"/>
  <c r="CP55" i="9"/>
  <c r="CC56" i="16"/>
  <c r="CB59" i="9"/>
  <c r="CP59" i="9" s="1"/>
  <c r="DP62" i="9"/>
  <c r="CC61" i="16" s="1"/>
  <c r="DP60" i="9"/>
  <c r="CC59" i="16" s="1"/>
  <c r="CB63" i="9"/>
  <c r="CP63" i="9"/>
  <c r="CB67" i="9"/>
  <c r="CP67" i="9" s="1"/>
  <c r="BJ42" i="24" s="1"/>
  <c r="DP70" i="9"/>
  <c r="CC69" i="16" s="1"/>
  <c r="DP69" i="9"/>
  <c r="CC68" i="16" s="1"/>
  <c r="CB71" i="9"/>
  <c r="CP71" i="9"/>
  <c r="CC72" i="16"/>
  <c r="CB75" i="9"/>
  <c r="CP75" i="9" s="1"/>
  <c r="DP79" i="9"/>
  <c r="CC78" i="16" s="1"/>
  <c r="DP78" i="9"/>
  <c r="CC77" i="16" s="1"/>
  <c r="DP76" i="9"/>
  <c r="CC75" i="16" s="1"/>
  <c r="CB79" i="9"/>
  <c r="CP79" i="9"/>
  <c r="CB18" i="9"/>
  <c r="CP18" i="9" s="1"/>
  <c r="CB17" i="9"/>
  <c r="CP17" i="9" s="1"/>
  <c r="CB16" i="9"/>
  <c r="CP16" i="9" s="1"/>
  <c r="CQ19" i="9"/>
  <c r="CB22" i="9"/>
  <c r="CP22" i="9"/>
  <c r="CB21" i="9"/>
  <c r="CP21" i="9"/>
  <c r="CB20" i="9"/>
  <c r="CP20" i="9"/>
  <c r="CB26" i="9"/>
  <c r="CP26" i="9" s="1"/>
  <c r="CB25" i="9"/>
  <c r="CP25" i="9" s="1"/>
  <c r="CB24" i="9"/>
  <c r="CP24" i="9" s="1"/>
  <c r="CB30" i="9"/>
  <c r="CP30" i="9"/>
  <c r="CB29" i="9"/>
  <c r="CP29" i="9"/>
  <c r="CB28" i="9"/>
  <c r="CP28" i="9"/>
  <c r="CB34" i="9"/>
  <c r="CP34" i="9" s="1"/>
  <c r="CB33" i="9"/>
  <c r="CP33" i="9" s="1"/>
  <c r="CB32" i="9"/>
  <c r="CP32" i="9" s="1"/>
  <c r="CB38" i="9"/>
  <c r="CP38" i="9"/>
  <c r="CB37" i="9"/>
  <c r="CP37" i="9"/>
  <c r="CB36" i="9"/>
  <c r="CP36" i="9"/>
  <c r="CB42" i="9"/>
  <c r="CP42" i="9" s="1"/>
  <c r="CQ43" i="9" s="1"/>
  <c r="CB41" i="9"/>
  <c r="CP41" i="9" s="1"/>
  <c r="CB40" i="9"/>
  <c r="CP40" i="9" s="1"/>
  <c r="CB46" i="9"/>
  <c r="CP46" i="9"/>
  <c r="CB45" i="9"/>
  <c r="CP45" i="9"/>
  <c r="CB44" i="9"/>
  <c r="CP44" i="9"/>
  <c r="CB50" i="9"/>
  <c r="CP50" i="9" s="1"/>
  <c r="CB49" i="9"/>
  <c r="CP49" i="9" s="1"/>
  <c r="CB48" i="9"/>
  <c r="CP48" i="9" s="1"/>
  <c r="CQ51" i="9" s="1"/>
  <c r="CB54" i="9"/>
  <c r="CP54" i="9"/>
  <c r="CB53" i="9"/>
  <c r="CP53" i="9"/>
  <c r="CB52" i="9"/>
  <c r="CP52" i="9"/>
  <c r="CB58" i="9"/>
  <c r="CP58" i="9" s="1"/>
  <c r="CQ59" i="9" s="1"/>
  <c r="CB57" i="9"/>
  <c r="CP57" i="9" s="1"/>
  <c r="CB56" i="9"/>
  <c r="CP56" i="9" s="1"/>
  <c r="CB62" i="9"/>
  <c r="CP62" i="9"/>
  <c r="CB61" i="9"/>
  <c r="CP61" i="9"/>
  <c r="CB60" i="9"/>
  <c r="CP60" i="9"/>
  <c r="CB66" i="9"/>
  <c r="CP66" i="9" s="1"/>
  <c r="CB65" i="9"/>
  <c r="CP65" i="9" s="1"/>
  <c r="CB64" i="9"/>
  <c r="CP64" i="9" s="1"/>
  <c r="CQ67" i="9"/>
  <c r="CB70" i="9"/>
  <c r="CP70" i="9"/>
  <c r="CB69" i="9"/>
  <c r="CP69" i="9"/>
  <c r="CB68" i="9"/>
  <c r="CP68" i="9"/>
  <c r="CB74" i="9"/>
  <c r="CP74" i="9" s="1"/>
  <c r="CB73" i="9"/>
  <c r="CP73" i="9" s="1"/>
  <c r="CB72" i="9"/>
  <c r="CP72" i="9" s="1"/>
  <c r="CB78" i="9"/>
  <c r="CP78" i="9"/>
  <c r="CB77" i="9"/>
  <c r="CP77" i="9"/>
  <c r="CB76" i="9"/>
  <c r="CP76" i="9"/>
  <c r="BJ40" i="24"/>
  <c r="BJ44" i="24"/>
  <c r="BE15" i="9"/>
  <c r="BV15" i="9"/>
  <c r="AV15" i="9"/>
  <c r="BO15" i="9"/>
  <c r="BG37" i="24" s="1"/>
  <c r="BE16" i="9"/>
  <c r="BV16" i="9"/>
  <c r="AV16" i="9"/>
  <c r="BO16" i="9"/>
  <c r="BG38" i="24" s="1"/>
  <c r="BE17" i="9"/>
  <c r="BV17" i="9"/>
  <c r="AV17" i="9"/>
  <c r="BO17" i="9"/>
  <c r="BG39" i="24" s="1"/>
  <c r="AV18" i="9"/>
  <c r="BO18" i="9"/>
  <c r="AV19" i="9"/>
  <c r="BO19" i="9"/>
  <c r="BG41" i="24" s="1"/>
  <c r="AV20" i="9"/>
  <c r="BO20" i="9"/>
  <c r="AV21" i="9"/>
  <c r="BO21" i="9"/>
  <c r="BG43" i="24" s="1"/>
  <c r="AV22" i="9"/>
  <c r="BO22" i="9"/>
  <c r="AV23" i="9"/>
  <c r="BO23" i="9"/>
  <c r="BG45" i="24" s="1"/>
  <c r="BG40" i="24"/>
  <c r="BG42" i="24"/>
  <c r="BG48" i="24" s="1"/>
  <c r="BG44" i="24"/>
  <c r="L47" i="9"/>
  <c r="BD37" i="24" s="1"/>
  <c r="L51" i="9"/>
  <c r="BD38" i="24" s="1"/>
  <c r="L55" i="9"/>
  <c r="BD39" i="24" s="1"/>
  <c r="L59" i="9"/>
  <c r="BD40" i="24" s="1"/>
  <c r="L63" i="9"/>
  <c r="BD41" i="24" s="1"/>
  <c r="L67" i="9"/>
  <c r="L71" i="9"/>
  <c r="BD43" i="24" s="1"/>
  <c r="L75" i="9"/>
  <c r="BD44" i="24" s="1"/>
  <c r="L79" i="9"/>
  <c r="BD45" i="24" s="1"/>
  <c r="BD42" i="24"/>
  <c r="BD48" i="24"/>
  <c r="BG47" i="24"/>
  <c r="L43" i="9"/>
  <c r="BD36" i="24"/>
  <c r="BJ34" i="24"/>
  <c r="AH35" i="9"/>
  <c r="O34" i="16" s="1"/>
  <c r="AH33" i="9"/>
  <c r="O32" i="16" s="1"/>
  <c r="AH32" i="9"/>
  <c r="O31" i="16" s="1"/>
  <c r="BJ32" i="24"/>
  <c r="B62" i="24"/>
  <c r="B74" i="24"/>
  <c r="B79" i="24"/>
  <c r="B73" i="24"/>
  <c r="B78" i="24"/>
  <c r="B72" i="24"/>
  <c r="B77" i="24"/>
  <c r="AC15" i="17"/>
  <c r="AC16" i="17"/>
  <c r="AC18" i="17"/>
  <c r="AC20" i="17"/>
  <c r="AC22" i="17"/>
  <c r="AC23" i="17"/>
  <c r="AC25" i="17"/>
  <c r="AC26" i="17"/>
  <c r="AC27" i="17"/>
  <c r="AC30" i="17"/>
  <c r="AC33" i="17"/>
  <c r="AC35" i="17"/>
  <c r="AC38" i="17"/>
  <c r="AC41" i="17"/>
  <c r="AC42" i="17"/>
  <c r="AC43" i="17"/>
  <c r="AC44" i="17"/>
  <c r="AC45" i="17"/>
  <c r="AC46" i="17"/>
  <c r="AC47" i="17"/>
  <c r="AC48" i="17"/>
  <c r="AC49" i="17"/>
  <c r="AC50" i="17"/>
  <c r="AC51" i="17"/>
  <c r="AC52" i="17"/>
  <c r="AC53" i="17"/>
  <c r="AC55" i="17"/>
  <c r="AC57" i="17"/>
  <c r="AC58" i="17"/>
  <c r="AC59" i="17"/>
  <c r="AC61" i="17"/>
  <c r="AC62" i="17"/>
  <c r="AC63" i="17"/>
  <c r="AC64" i="17"/>
  <c r="AC66" i="17"/>
  <c r="AC67" i="17"/>
  <c r="AC68" i="17"/>
  <c r="AC70" i="17"/>
  <c r="AC72" i="17"/>
  <c r="AC74" i="17"/>
  <c r="AC75" i="17"/>
  <c r="AC76"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V5" i="17" s="1"/>
  <c r="D7" i="24" s="1"/>
  <c r="D66" i="24" s="1"/>
  <c r="P56" i="17"/>
  <c r="P57" i="17"/>
  <c r="P58" i="17"/>
  <c r="P59" i="17"/>
  <c r="P60" i="17"/>
  <c r="P61" i="17"/>
  <c r="P62" i="17"/>
  <c r="P63" i="17"/>
  <c r="P64" i="17"/>
  <c r="P65" i="17"/>
  <c r="P66" i="17"/>
  <c r="P67" i="17"/>
  <c r="P68" i="17"/>
  <c r="P69" i="17"/>
  <c r="P70" i="17"/>
  <c r="P71" i="17"/>
  <c r="P72" i="17"/>
  <c r="P73" i="17"/>
  <c r="P74" i="17"/>
  <c r="P75" i="17"/>
  <c r="P76" i="17"/>
  <c r="P77" i="17"/>
  <c r="P78" i="17"/>
  <c r="V3" i="17"/>
  <c r="D4" i="24" s="1"/>
  <c r="D67" i="24" s="1"/>
  <c r="C15" i="17"/>
  <c r="C16" i="17"/>
  <c r="C17" i="17"/>
  <c r="C18" i="17"/>
  <c r="C20" i="17"/>
  <c r="C21" i="17"/>
  <c r="C22" i="17"/>
  <c r="C23" i="17"/>
  <c r="C24" i="17"/>
  <c r="C25" i="17"/>
  <c r="C26" i="17"/>
  <c r="C28" i="17"/>
  <c r="C29" i="17"/>
  <c r="C30" i="17"/>
  <c r="C31" i="17"/>
  <c r="C32" i="17"/>
  <c r="C33" i="17"/>
  <c r="C34" i="17"/>
  <c r="C35" i="17"/>
  <c r="C36" i="17"/>
  <c r="C37" i="17"/>
  <c r="C38" i="17"/>
  <c r="C51" i="17"/>
  <c r="C52" i="17"/>
  <c r="C53" i="17"/>
  <c r="C54" i="17"/>
  <c r="C55" i="17"/>
  <c r="C56" i="17"/>
  <c r="C57" i="17"/>
  <c r="C59" i="17"/>
  <c r="C61" i="17"/>
  <c r="C63" i="17"/>
  <c r="C64" i="17"/>
  <c r="C65" i="17"/>
  <c r="C67" i="17"/>
  <c r="C69" i="17"/>
  <c r="C71" i="17"/>
  <c r="C72" i="17"/>
  <c r="C73" i="17"/>
  <c r="C75" i="17"/>
  <c r="C77" i="17"/>
  <c r="C78" i="17"/>
  <c r="B66" i="24"/>
  <c r="B65" i="24"/>
  <c r="B64" i="24"/>
  <c r="AD15" i="17"/>
  <c r="AD16" i="17"/>
  <c r="AD18" i="17"/>
  <c r="AD20" i="17"/>
  <c r="AD21" i="17"/>
  <c r="AD22" i="17"/>
  <c r="AD23" i="17"/>
  <c r="AD24" i="17"/>
  <c r="AD25" i="17"/>
  <c r="AD26" i="17"/>
  <c r="AD27" i="17"/>
  <c r="AD28" i="17"/>
  <c r="AD29" i="17"/>
  <c r="AD30" i="17"/>
  <c r="AD31" i="17"/>
  <c r="AD32" i="17"/>
  <c r="AD33" i="17"/>
  <c r="AD34" i="17"/>
  <c r="AD35" i="17"/>
  <c r="AD37" i="17"/>
  <c r="AD38" i="17"/>
  <c r="AD39" i="17"/>
  <c r="AD40" i="17"/>
  <c r="AD41" i="17"/>
  <c r="AD42" i="17"/>
  <c r="AD43" i="17"/>
  <c r="AD44" i="17"/>
  <c r="AD45" i="17"/>
  <c r="AD46" i="17"/>
  <c r="AD47" i="17"/>
  <c r="AD48" i="17"/>
  <c r="AD49" i="17"/>
  <c r="AD50" i="17"/>
  <c r="AD51" i="17"/>
  <c r="AD52" i="17"/>
  <c r="AD53" i="17"/>
  <c r="AD54" i="17"/>
  <c r="AD55" i="17"/>
  <c r="AD56" i="17"/>
  <c r="AD57" i="17"/>
  <c r="AD58" i="17"/>
  <c r="AD59" i="17"/>
  <c r="AD60" i="17"/>
  <c r="AD61" i="17"/>
  <c r="AD62" i="17"/>
  <c r="AD63" i="17"/>
  <c r="AD64" i="17"/>
  <c r="AD65" i="17"/>
  <c r="AD66" i="17"/>
  <c r="AD67" i="17"/>
  <c r="AD68" i="17"/>
  <c r="AD69" i="17"/>
  <c r="AD70" i="17"/>
  <c r="AD71" i="17"/>
  <c r="AD72" i="17"/>
  <c r="AD73" i="17"/>
  <c r="AD74" i="17"/>
  <c r="AD75" i="17"/>
  <c r="AD76" i="17"/>
  <c r="AD77" i="17"/>
  <c r="AD78"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D18" i="17"/>
  <c r="D19" i="17"/>
  <c r="D20" i="17"/>
  <c r="D21" i="17"/>
  <c r="D22" i="17"/>
  <c r="D23" i="17"/>
  <c r="D24" i="17"/>
  <c r="D25" i="17"/>
  <c r="D26" i="17"/>
  <c r="D27" i="17"/>
  <c r="D28" i="17"/>
  <c r="D29" i="17"/>
  <c r="D30" i="17"/>
  <c r="D31" i="17"/>
  <c r="D32" i="17"/>
  <c r="D33" i="17"/>
  <c r="D34" i="17"/>
  <c r="D35" i="17"/>
  <c r="D36" i="17"/>
  <c r="D37" i="17"/>
  <c r="D38" i="17"/>
  <c r="D51" i="17"/>
  <c r="D52" i="17"/>
  <c r="D53" i="17"/>
  <c r="D54" i="17"/>
  <c r="D55" i="17"/>
  <c r="D56" i="17"/>
  <c r="D57" i="17"/>
  <c r="D59" i="17"/>
  <c r="D61" i="17"/>
  <c r="D63" i="17"/>
  <c r="D64" i="17"/>
  <c r="D65" i="17"/>
  <c r="D67" i="17"/>
  <c r="D68" i="17"/>
  <c r="D69" i="17"/>
  <c r="D71" i="17"/>
  <c r="D72" i="17"/>
  <c r="D73" i="17"/>
  <c r="D75" i="17"/>
  <c r="D76" i="17"/>
  <c r="D77" i="17"/>
  <c r="D78" i="17"/>
  <c r="P39" i="24"/>
  <c r="P43" i="24" s="1"/>
  <c r="P38" i="24"/>
  <c r="P42" i="24"/>
  <c r="P37" i="24"/>
  <c r="P41" i="24" s="1"/>
  <c r="P30" i="24"/>
  <c r="R29" i="24"/>
  <c r="P29" i="24"/>
  <c r="P23" i="24"/>
  <c r="P22" i="24"/>
  <c r="P21" i="24"/>
  <c r="P20" i="24"/>
  <c r="P18" i="24"/>
  <c r="P17" i="24"/>
  <c r="P16" i="24"/>
  <c r="P15" i="24"/>
  <c r="P13" i="24"/>
  <c r="P12" i="24"/>
  <c r="P11" i="24"/>
  <c r="P10" i="24"/>
  <c r="S7" i="24"/>
  <c r="R7" i="24"/>
  <c r="R5" i="24"/>
  <c r="AO24" i="24"/>
  <c r="AO46" i="24" s="1"/>
  <c r="AO23" i="24"/>
  <c r="AO45" i="24"/>
  <c r="AC50" i="24" s="1"/>
  <c r="AO22" i="24"/>
  <c r="AO44" i="24" s="1"/>
  <c r="M9" i="24"/>
  <c r="AO21" i="24"/>
  <c r="AO43" i="24"/>
  <c r="AO20" i="24"/>
  <c r="AO42" i="24" s="1"/>
  <c r="BC18" i="24" s="1"/>
  <c r="AO19" i="24"/>
  <c r="AO41" i="24" s="1"/>
  <c r="AO18" i="24"/>
  <c r="AO40" i="24" s="1"/>
  <c r="BC16" i="24" s="1"/>
  <c r="AO17" i="24"/>
  <c r="AO39" i="24"/>
  <c r="AC44" i="24"/>
  <c r="AO16" i="24"/>
  <c r="AO38" i="24"/>
  <c r="AO15" i="24"/>
  <c r="AO37" i="24"/>
  <c r="AC42" i="24" s="1"/>
  <c r="D52" i="24"/>
  <c r="AO14" i="24"/>
  <c r="AO36" i="24" s="1"/>
  <c r="AC41" i="24"/>
  <c r="AO13" i="24"/>
  <c r="AO35" i="24" s="1"/>
  <c r="AO12" i="24"/>
  <c r="AO34" i="24" s="1"/>
  <c r="AC39" i="24" s="1"/>
  <c r="AO11" i="24"/>
  <c r="AO33" i="24" s="1"/>
  <c r="AC38" i="24" s="1"/>
  <c r="AO10" i="24"/>
  <c r="AO32" i="24" s="1"/>
  <c r="AC37" i="24" s="1"/>
  <c r="AO9" i="24"/>
  <c r="AO31" i="24" s="1"/>
  <c r="AC36" i="24" s="1"/>
  <c r="E46" i="24"/>
  <c r="AO8" i="24"/>
  <c r="AO30" i="24" s="1"/>
  <c r="AC35" i="24" s="1"/>
  <c r="D45" i="24"/>
  <c r="C43" i="24"/>
  <c r="B42" i="24"/>
  <c r="W15" i="24"/>
  <c r="W39" i="24" s="1"/>
  <c r="B41" i="24"/>
  <c r="W18" i="2"/>
  <c r="BD14" i="9" s="1"/>
  <c r="BU14" i="9" s="1"/>
  <c r="BX14" i="9" s="1"/>
  <c r="AT13" i="16" s="1"/>
  <c r="BE14" i="9"/>
  <c r="BV14" i="9"/>
  <c r="Y18" i="2"/>
  <c r="BF14" i="9" s="1"/>
  <c r="BW14" i="9"/>
  <c r="W14" i="24"/>
  <c r="W38" i="24" s="1"/>
  <c r="B40" i="24"/>
  <c r="W13" i="24"/>
  <c r="W37" i="24"/>
  <c r="BC21" i="24"/>
  <c r="L76" i="9"/>
  <c r="L77" i="9"/>
  <c r="L78" i="9"/>
  <c r="BG62" i="16"/>
  <c r="BG78" i="16"/>
  <c r="AL18" i="16"/>
  <c r="AL19" i="16"/>
  <c r="AL22" i="16"/>
  <c r="AP18" i="16"/>
  <c r="AP19" i="16"/>
  <c r="AP22" i="16"/>
  <c r="N78" i="16"/>
  <c r="BN58" i="16"/>
  <c r="BG50" i="16"/>
  <c r="AH14" i="16"/>
  <c r="AP16" i="16"/>
  <c r="BG26" i="16"/>
  <c r="BG42" i="16"/>
  <c r="AC16" i="24"/>
  <c r="AC26" i="24"/>
  <c r="BC15" i="24"/>
  <c r="N3" i="24"/>
  <c r="M3" i="24"/>
  <c r="L3" i="24"/>
  <c r="AA20" i="2"/>
  <c r="BG16" i="9" s="1"/>
  <c r="BY16" i="9" s="1"/>
  <c r="AW15" i="16" s="1"/>
  <c r="AA21" i="2"/>
  <c r="BG17" i="9" s="1"/>
  <c r="BY17" i="9" s="1"/>
  <c r="AW16" i="16" s="1"/>
  <c r="AA22" i="2"/>
  <c r="BG18" i="9" s="1"/>
  <c r="BY18" i="9" s="1"/>
  <c r="AW17" i="16" s="1"/>
  <c r="AA23" i="2"/>
  <c r="BG19" i="9"/>
  <c r="BY19" i="9" s="1"/>
  <c r="AW18" i="16" s="1"/>
  <c r="AY18" i="16" s="1"/>
  <c r="AA24" i="2"/>
  <c r="BG20" i="9" s="1"/>
  <c r="BY20" i="9" s="1"/>
  <c r="AW19" i="16" s="1"/>
  <c r="AA25" i="2"/>
  <c r="BG21" i="9" s="1"/>
  <c r="BY21" i="9" s="1"/>
  <c r="AW20" i="16" s="1"/>
  <c r="AA26" i="2"/>
  <c r="BG22" i="9" s="1"/>
  <c r="BY22" i="9" s="1"/>
  <c r="AW21" i="16" s="1"/>
  <c r="AA27" i="2"/>
  <c r="BG23" i="9"/>
  <c r="BY23" i="9" s="1"/>
  <c r="AW22" i="16" s="1"/>
  <c r="AD48" i="9"/>
  <c r="AJ48" i="9" s="1"/>
  <c r="W47" i="16" s="1"/>
  <c r="AQ48" i="4"/>
  <c r="AD49" i="9"/>
  <c r="AJ49" i="9" s="1"/>
  <c r="W48" i="16" s="1"/>
  <c r="AQ49" i="4"/>
  <c r="AD50" i="9"/>
  <c r="AJ50" i="9" s="1"/>
  <c r="W49" i="16" s="1"/>
  <c r="AQ50" i="4"/>
  <c r="AD51" i="9" s="1"/>
  <c r="AJ51" i="9"/>
  <c r="W50" i="16" s="1"/>
  <c r="AD52" i="9"/>
  <c r="AJ52" i="9"/>
  <c r="W51" i="16" s="1"/>
  <c r="AQ52" i="4"/>
  <c r="AD53" i="9"/>
  <c r="AJ53" i="9" s="1"/>
  <c r="W52" i="16" s="1"/>
  <c r="AD54" i="9"/>
  <c r="AJ54" i="9"/>
  <c r="W53" i="16" s="1"/>
  <c r="AQ54" i="4"/>
  <c r="AD55" i="9" s="1"/>
  <c r="AJ55" i="9"/>
  <c r="W54" i="16" s="1"/>
  <c r="AD56" i="9"/>
  <c r="AJ56" i="9" s="1"/>
  <c r="W55" i="16" s="1"/>
  <c r="AD57" i="9"/>
  <c r="AJ57" i="9"/>
  <c r="W56" i="16" s="1"/>
  <c r="AD58" i="9"/>
  <c r="AJ58" i="9" s="1"/>
  <c r="W57" i="16" s="1"/>
  <c r="AQ58" i="4"/>
  <c r="AD59" i="9" s="1"/>
  <c r="AJ59" i="9" s="1"/>
  <c r="W58" i="16" s="1"/>
  <c r="AD60" i="9"/>
  <c r="AJ60" i="9"/>
  <c r="W59" i="16" s="1"/>
  <c r="AD61" i="9"/>
  <c r="AJ61" i="9" s="1"/>
  <c r="W60" i="16" s="1"/>
  <c r="AD62" i="9"/>
  <c r="AJ62" i="9" s="1"/>
  <c r="W61" i="16" s="1"/>
  <c r="AQ62" i="4"/>
  <c r="AD63" i="9" s="1"/>
  <c r="AJ63" i="9" s="1"/>
  <c r="W62" i="16"/>
  <c r="AD64" i="9"/>
  <c r="AJ64" i="9" s="1"/>
  <c r="W63" i="16"/>
  <c r="AD65" i="9"/>
  <c r="AJ65" i="9" s="1"/>
  <c r="W64" i="16"/>
  <c r="AD66" i="9"/>
  <c r="AJ66" i="9" s="1"/>
  <c r="W65" i="16"/>
  <c r="AQ66" i="4"/>
  <c r="AD67" i="9" s="1"/>
  <c r="AJ67" i="9"/>
  <c r="W66" i="16" s="1"/>
  <c r="AD68" i="9"/>
  <c r="AJ68" i="9"/>
  <c r="W67" i="16" s="1"/>
  <c r="AD69" i="9"/>
  <c r="AJ69" i="9"/>
  <c r="W68" i="16" s="1"/>
  <c r="AD70" i="9"/>
  <c r="AJ70" i="9"/>
  <c r="W69" i="16" s="1"/>
  <c r="AQ70" i="4"/>
  <c r="AD71" i="9"/>
  <c r="AJ71" i="9" s="1"/>
  <c r="W70" i="16" s="1"/>
  <c r="AD72" i="9"/>
  <c r="AJ72" i="9"/>
  <c r="W71" i="16" s="1"/>
  <c r="AD73" i="9"/>
  <c r="AJ73" i="9" s="1"/>
  <c r="W72" i="16" s="1"/>
  <c r="AD74" i="9"/>
  <c r="AJ74" i="9"/>
  <c r="W73" i="16" s="1"/>
  <c r="AQ74" i="4"/>
  <c r="AD75" i="9" s="1"/>
  <c r="AJ75" i="9" s="1"/>
  <c r="W74" i="16" s="1"/>
  <c r="AD76" i="9"/>
  <c r="AJ76" i="9" s="1"/>
  <c r="W75" i="16" s="1"/>
  <c r="AD77" i="9"/>
  <c r="AJ77" i="9"/>
  <c r="W76" i="16" s="1"/>
  <c r="AD78" i="9"/>
  <c r="AJ78" i="9" s="1"/>
  <c r="W77" i="16" s="1"/>
  <c r="AQ78" i="4"/>
  <c r="AD79" i="9"/>
  <c r="AJ79" i="9" s="1"/>
  <c r="W78" i="16" s="1"/>
  <c r="BC13" i="24"/>
  <c r="AJ23" i="24"/>
  <c r="AQ19" i="4"/>
  <c r="AD20" i="9"/>
  <c r="AJ20" i="9" s="1"/>
  <c r="W19" i="16" s="1"/>
  <c r="AQ20" i="4"/>
  <c r="AD21" i="9"/>
  <c r="AJ21" i="9" s="1"/>
  <c r="W20" i="16" s="1"/>
  <c r="AQ21" i="4"/>
  <c r="AD22" i="9" s="1"/>
  <c r="AJ22" i="9"/>
  <c r="W21" i="16" s="1"/>
  <c r="AD24" i="9"/>
  <c r="AJ24" i="9" s="1"/>
  <c r="W23" i="16" s="1"/>
  <c r="AQ24" i="4"/>
  <c r="AD25" i="9"/>
  <c r="AJ25" i="9" s="1"/>
  <c r="W24" i="16" s="1"/>
  <c r="Z24" i="16" s="1"/>
  <c r="AQ25" i="4"/>
  <c r="AD26" i="9"/>
  <c r="AJ26" i="9" s="1"/>
  <c r="W25" i="16" s="1"/>
  <c r="AQ26" i="4"/>
  <c r="AD27" i="9" s="1"/>
  <c r="AJ27" i="9"/>
  <c r="W26" i="16" s="1"/>
  <c r="AD28" i="9"/>
  <c r="AJ28" i="9"/>
  <c r="W27" i="16" s="1"/>
  <c r="Z27" i="16" s="1"/>
  <c r="AQ28" i="4"/>
  <c r="AD29" i="9"/>
  <c r="AJ29" i="9" s="1"/>
  <c r="W28" i="16" s="1"/>
  <c r="AQ29" i="4"/>
  <c r="AD30" i="9"/>
  <c r="AJ30" i="9" s="1"/>
  <c r="W29" i="16" s="1"/>
  <c r="AQ30" i="4"/>
  <c r="AD31" i="9"/>
  <c r="AJ31" i="9" s="1"/>
  <c r="W30" i="16" s="1"/>
  <c r="AD32" i="9"/>
  <c r="AJ32" i="9" s="1"/>
  <c r="W31" i="16" s="1"/>
  <c r="Z31" i="16" s="1"/>
  <c r="AQ32" i="4"/>
  <c r="AD36" i="9"/>
  <c r="AJ36" i="9"/>
  <c r="W35" i="16" s="1"/>
  <c r="AQ36" i="4"/>
  <c r="AQ37" i="4"/>
  <c r="AD38" i="9" s="1"/>
  <c r="AJ38" i="9" s="1"/>
  <c r="W37" i="16" s="1"/>
  <c r="AD40" i="9"/>
  <c r="AJ40" i="9"/>
  <c r="W39" i="16" s="1"/>
  <c r="AQ40" i="4"/>
  <c r="AD41" i="9" s="1"/>
  <c r="AJ41" i="9" s="1"/>
  <c r="W40" i="16" s="1"/>
  <c r="AQ41" i="4"/>
  <c r="AD42" i="9" s="1"/>
  <c r="AJ42" i="9" s="1"/>
  <c r="W41" i="16" s="1"/>
  <c r="AQ42" i="4"/>
  <c r="AD43" i="9" s="1"/>
  <c r="AJ43" i="9" s="1"/>
  <c r="W42" i="16" s="1"/>
  <c r="AD44" i="9"/>
  <c r="AJ44" i="9"/>
  <c r="W43" i="16"/>
  <c r="AQ44" i="4"/>
  <c r="AD45" i="9"/>
  <c r="AJ45" i="9" s="1"/>
  <c r="W44" i="16" s="1"/>
  <c r="Z44" i="16" s="1"/>
  <c r="AQ45" i="4"/>
  <c r="AD46" i="9" s="1"/>
  <c r="AJ46" i="9" s="1"/>
  <c r="W45" i="16" s="1"/>
  <c r="AQ46" i="4"/>
  <c r="AD47" i="9" s="1"/>
  <c r="AJ47" i="9" s="1"/>
  <c r="W46" i="16" s="1"/>
  <c r="BC12" i="24"/>
  <c r="K7" i="24"/>
  <c r="BC10" i="24"/>
  <c r="K6" i="24"/>
  <c r="BC9" i="24"/>
  <c r="W31" i="24"/>
  <c r="K5" i="24"/>
  <c r="BC8" i="24"/>
  <c r="AE13" i="16"/>
  <c r="AF14" i="16" s="1"/>
  <c r="L96" i="16" s="1"/>
  <c r="AW16" i="24" s="1"/>
  <c r="W30" i="24"/>
  <c r="BC7" i="24"/>
  <c r="W29" i="24"/>
  <c r="BC6" i="24"/>
  <c r="M11" i="24"/>
  <c r="M12" i="24"/>
  <c r="M13" i="24"/>
  <c r="M14" i="24"/>
  <c r="M15" i="24"/>
  <c r="M16" i="24"/>
  <c r="M17" i="24"/>
  <c r="AS47" i="9"/>
  <c r="AT15" i="9"/>
  <c r="P15" i="21"/>
  <c r="M18" i="24" s="1"/>
  <c r="DB35" i="9"/>
  <c r="DA14" i="9"/>
  <c r="AA15" i="21"/>
  <c r="N18" i="24" s="1"/>
  <c r="AS51" i="9"/>
  <c r="AT16" i="9"/>
  <c r="P16" i="21"/>
  <c r="M19" i="24" s="1"/>
  <c r="DB39" i="9"/>
  <c r="DA15" i="9"/>
  <c r="AA16" i="21"/>
  <c r="N19" i="24" s="1"/>
  <c r="AS55" i="9"/>
  <c r="AT17" i="9"/>
  <c r="P17" i="21"/>
  <c r="M20" i="24" s="1"/>
  <c r="AS59" i="9"/>
  <c r="AT18" i="9"/>
  <c r="P18" i="21"/>
  <c r="M21" i="24" s="1"/>
  <c r="AS63" i="9"/>
  <c r="AT19" i="9"/>
  <c r="P19" i="21"/>
  <c r="M22" i="24" s="1"/>
  <c r="AS67" i="9"/>
  <c r="AT20" i="9"/>
  <c r="P20" i="21"/>
  <c r="M23" i="24" s="1"/>
  <c r="AS71" i="9"/>
  <c r="AT21" i="9"/>
  <c r="P21" i="21"/>
  <c r="M24" i="24" s="1"/>
  <c r="AS75" i="9"/>
  <c r="AT22" i="9"/>
  <c r="P22" i="21"/>
  <c r="M25" i="24" s="1"/>
  <c r="AS79" i="9"/>
  <c r="AT23" i="9"/>
  <c r="P23" i="21"/>
  <c r="M26" i="24" s="1"/>
  <c r="Q18" i="4"/>
  <c r="S6" i="4"/>
  <c r="H8" i="21"/>
  <c r="I8" i="21" s="1"/>
  <c r="L11" i="24" s="1"/>
  <c r="Q22" i="4"/>
  <c r="S7" i="4" s="1"/>
  <c r="H9" i="21" s="1"/>
  <c r="I9" i="21" s="1"/>
  <c r="L12" i="24" s="1"/>
  <c r="Q26" i="4"/>
  <c r="S8" i="4" s="1"/>
  <c r="H10" i="21" s="1"/>
  <c r="I10" i="21" s="1"/>
  <c r="L13" i="24" s="1"/>
  <c r="Q30" i="4"/>
  <c r="S9" i="4"/>
  <c r="H11" i="21"/>
  <c r="I11" i="21" s="1"/>
  <c r="L14" i="24" s="1"/>
  <c r="Q34" i="4"/>
  <c r="S10" i="4"/>
  <c r="H12" i="21" s="1"/>
  <c r="I12" i="21" s="1"/>
  <c r="L15" i="24" s="1"/>
  <c r="Q38" i="4"/>
  <c r="S11" i="4" s="1"/>
  <c r="H13" i="21" s="1"/>
  <c r="I13" i="21" s="1"/>
  <c r="L16" i="24" s="1"/>
  <c r="W55" i="9"/>
  <c r="I17" i="21"/>
  <c r="L20" i="24"/>
  <c r="T21" i="17"/>
  <c r="D26" i="24"/>
  <c r="T20" i="17"/>
  <c r="D25" i="24" s="1"/>
  <c r="AJ22" i="16"/>
  <c r="K104" i="16" s="1"/>
  <c r="AV24" i="24" s="1"/>
  <c r="T19" i="17"/>
  <c r="D24" i="24" s="1"/>
  <c r="AJ21" i="16"/>
  <c r="K103" i="16"/>
  <c r="AV23" i="24" s="1"/>
  <c r="AC9" i="24"/>
  <c r="AL17" i="16"/>
  <c r="T18" i="17"/>
  <c r="D23" i="24" s="1"/>
  <c r="AW46" i="24"/>
  <c r="AU46" i="24"/>
  <c r="AS46" i="24"/>
  <c r="AP46" i="24"/>
  <c r="AJ20" i="16"/>
  <c r="K102" i="16" s="1"/>
  <c r="AV22" i="24" s="1"/>
  <c r="AN20" i="16"/>
  <c r="J102" i="16"/>
  <c r="AU22" i="24" s="1"/>
  <c r="AC8" i="24"/>
  <c r="T17" i="17"/>
  <c r="D22" i="24" s="1"/>
  <c r="AW45" i="24"/>
  <c r="AJ19" i="16"/>
  <c r="K101" i="16"/>
  <c r="AV21" i="24" s="1"/>
  <c r="AN19" i="16"/>
  <c r="J101" i="16"/>
  <c r="AU21" i="24"/>
  <c r="AC7" i="24"/>
  <c r="T16" i="17"/>
  <c r="D21" i="24" s="1"/>
  <c r="BM62" i="16"/>
  <c r="O100" i="16" s="1"/>
  <c r="AZ20" i="24" s="1"/>
  <c r="AJ18" i="16"/>
  <c r="K100" i="16" s="1"/>
  <c r="AV20" i="24" s="1"/>
  <c r="Y12" i="24"/>
  <c r="Y20" i="24"/>
  <c r="X12" i="24"/>
  <c r="X20" i="24" s="1"/>
  <c r="T15" i="17"/>
  <c r="D20" i="24" s="1"/>
  <c r="G15" i="17"/>
  <c r="C20" i="24"/>
  <c r="AU43" i="24"/>
  <c r="AS43" i="24"/>
  <c r="AG14" i="17"/>
  <c r="E19" i="24" s="1"/>
  <c r="T14" i="17"/>
  <c r="D19" i="24"/>
  <c r="AW42" i="24"/>
  <c r="AU42" i="24"/>
  <c r="AS42" i="24"/>
  <c r="AN16" i="16"/>
  <c r="J98" i="16" s="1"/>
  <c r="AU18" i="24" s="1"/>
  <c r="AG13" i="17"/>
  <c r="E18" i="24"/>
  <c r="T13" i="17"/>
  <c r="D18" i="24" s="1"/>
  <c r="AX41" i="24"/>
  <c r="AU41" i="24"/>
  <c r="AN15" i="16"/>
  <c r="J97" i="16"/>
  <c r="AU17" i="24"/>
  <c r="T12" i="17"/>
  <c r="D17" i="24"/>
  <c r="AS40" i="24"/>
  <c r="AM13" i="16"/>
  <c r="AN14" i="16"/>
  <c r="J96" i="16" s="1"/>
  <c r="AU16" i="24" s="1"/>
  <c r="T11" i="17"/>
  <c r="D16" i="24" s="1"/>
  <c r="G11" i="17"/>
  <c r="C16" i="24"/>
  <c r="AW39" i="24"/>
  <c r="T10" i="17"/>
  <c r="D15" i="24"/>
  <c r="G10" i="17"/>
  <c r="C15" i="24" s="1"/>
  <c r="AT38" i="24"/>
  <c r="T9" i="17"/>
  <c r="D14" i="24" s="1"/>
  <c r="AW37" i="24"/>
  <c r="T8" i="17"/>
  <c r="D13" i="24"/>
  <c r="G8" i="17"/>
  <c r="C13" i="24" s="1"/>
  <c r="T7" i="17"/>
  <c r="D12" i="24" s="1"/>
  <c r="T6" i="17"/>
  <c r="D11" i="24"/>
  <c r="G6" i="17"/>
  <c r="C11" i="24" s="1"/>
  <c r="AW33" i="24"/>
  <c r="V80" i="21"/>
  <c r="N8" i="24" s="1"/>
  <c r="N80" i="21"/>
  <c r="M8" i="24" s="1"/>
  <c r="D39" i="4"/>
  <c r="E39" i="4" s="1"/>
  <c r="D40" i="21" s="1"/>
  <c r="D40" i="4"/>
  <c r="E40" i="4" s="1"/>
  <c r="D41" i="21" s="1"/>
  <c r="D41" i="4"/>
  <c r="E41" i="4" s="1"/>
  <c r="D42" i="21" s="1"/>
  <c r="D42" i="4"/>
  <c r="E42" i="4"/>
  <c r="D43" i="21" s="1"/>
  <c r="D43" i="4"/>
  <c r="E43" i="4" s="1"/>
  <c r="D44" i="21" s="1"/>
  <c r="D44" i="4"/>
  <c r="E44" i="4" s="1"/>
  <c r="D45" i="21" s="1"/>
  <c r="D45" i="4"/>
  <c r="E45" i="4" s="1"/>
  <c r="D46" i="21" s="1"/>
  <c r="D46" i="4"/>
  <c r="E46" i="4"/>
  <c r="D47" i="21" s="1"/>
  <c r="D47" i="4"/>
  <c r="E47" i="4" s="1"/>
  <c r="D48" i="21" s="1"/>
  <c r="D48" i="4"/>
  <c r="E48" i="4" s="1"/>
  <c r="D49" i="21" s="1"/>
  <c r="D49" i="4"/>
  <c r="E49" i="4" s="1"/>
  <c r="D50" i="21" s="1"/>
  <c r="D50" i="4"/>
  <c r="E50" i="4"/>
  <c r="D51" i="21" s="1"/>
  <c r="D51" i="4"/>
  <c r="E51" i="4" s="1"/>
  <c r="D52" i="21" s="1"/>
  <c r="D52" i="4"/>
  <c r="E52" i="4" s="1"/>
  <c r="D53" i="21" s="1"/>
  <c r="D53" i="4"/>
  <c r="E53" i="4" s="1"/>
  <c r="D54" i="21" s="1"/>
  <c r="D54" i="4"/>
  <c r="E54" i="4"/>
  <c r="D55" i="21" s="1"/>
  <c r="D55" i="4"/>
  <c r="E55" i="4" s="1"/>
  <c r="D56" i="21" s="1"/>
  <c r="D56" i="4"/>
  <c r="E56" i="4" s="1"/>
  <c r="D57" i="21" s="1"/>
  <c r="D57" i="4"/>
  <c r="E57" i="4" s="1"/>
  <c r="D58" i="21" s="1"/>
  <c r="D58" i="4"/>
  <c r="E58" i="4"/>
  <c r="D59" i="21" s="1"/>
  <c r="D59" i="4"/>
  <c r="E59" i="4" s="1"/>
  <c r="D60" i="21" s="1"/>
  <c r="D60" i="4"/>
  <c r="E60" i="4" s="1"/>
  <c r="D61" i="21" s="1"/>
  <c r="D61" i="4"/>
  <c r="E61" i="4" s="1"/>
  <c r="D62" i="21" s="1"/>
  <c r="D62" i="4"/>
  <c r="E62" i="4"/>
  <c r="D63" i="21" s="1"/>
  <c r="D63" i="4"/>
  <c r="E63" i="4" s="1"/>
  <c r="D64" i="21" s="1"/>
  <c r="D64" i="4"/>
  <c r="E64" i="4" s="1"/>
  <c r="D65" i="21" s="1"/>
  <c r="D65" i="4"/>
  <c r="E65" i="4" s="1"/>
  <c r="D66" i="21" s="1"/>
  <c r="D66" i="4"/>
  <c r="E66" i="4"/>
  <c r="D67" i="21" s="1"/>
  <c r="D67" i="4"/>
  <c r="E67" i="4"/>
  <c r="D68" i="21"/>
  <c r="D68" i="4"/>
  <c r="E68" i="4" s="1"/>
  <c r="D69" i="21" s="1"/>
  <c r="D69" i="4"/>
  <c r="E69" i="4" s="1"/>
  <c r="D70" i="21" s="1"/>
  <c r="D70" i="4"/>
  <c r="E70" i="4"/>
  <c r="D71" i="21" s="1"/>
  <c r="D71" i="4"/>
  <c r="E71" i="4" s="1"/>
  <c r="D72" i="21" s="1"/>
  <c r="D72" i="4"/>
  <c r="E72" i="4" s="1"/>
  <c r="D73" i="21" s="1"/>
  <c r="D73" i="4"/>
  <c r="E73" i="4" s="1"/>
  <c r="D74" i="21" s="1"/>
  <c r="D74" i="4"/>
  <c r="E74" i="4"/>
  <c r="D75" i="21" s="1"/>
  <c r="D75" i="4"/>
  <c r="E75" i="4" s="1"/>
  <c r="D76" i="21" s="1"/>
  <c r="D76" i="4"/>
  <c r="E76" i="4" s="1"/>
  <c r="D77" i="21" s="1"/>
  <c r="D77" i="4"/>
  <c r="E77" i="4" s="1"/>
  <c r="D78" i="21" s="1"/>
  <c r="D78" i="4"/>
  <c r="E78" i="4"/>
  <c r="D79" i="21" s="1"/>
  <c r="V81" i="21"/>
  <c r="E8" i="24" s="1"/>
  <c r="N81" i="21"/>
  <c r="D8" i="24" s="1"/>
  <c r="P87" i="16"/>
  <c r="BA6" i="24" s="1"/>
  <c r="O87" i="16"/>
  <c r="AZ6" i="24" s="1"/>
  <c r="AY6" i="24"/>
  <c r="AT6" i="24"/>
  <c r="AX6" i="24"/>
  <c r="AS6" i="24"/>
  <c r="AW6" i="24"/>
  <c r="AV6" i="24"/>
  <c r="AR6" i="24"/>
  <c r="AQ6" i="24"/>
  <c r="AP6" i="24"/>
  <c r="AO5" i="24"/>
  <c r="AV28" i="24"/>
  <c r="AO28" i="24"/>
  <c r="M87" i="16"/>
  <c r="L87" i="16"/>
  <c r="J87" i="16"/>
  <c r="BC40" i="16"/>
  <c r="BC41" i="16"/>
  <c r="BC42" i="16"/>
  <c r="BC43" i="16"/>
  <c r="BC46" i="16"/>
  <c r="BC47" i="16"/>
  <c r="BC48" i="16"/>
  <c r="BC49" i="16"/>
  <c r="BC50" i="16"/>
  <c r="BC53" i="16"/>
  <c r="BC54" i="16"/>
  <c r="BC55" i="16"/>
  <c r="BC56" i="16"/>
  <c r="BC57" i="16"/>
  <c r="BC58" i="16"/>
  <c r="BC59" i="16"/>
  <c r="BC60" i="16"/>
  <c r="BC61" i="16"/>
  <c r="BC62" i="16"/>
  <c r="BC63" i="16"/>
  <c r="BC64" i="16"/>
  <c r="BC65" i="16"/>
  <c r="BC66" i="16"/>
  <c r="BC67" i="16"/>
  <c r="BC68" i="16"/>
  <c r="BC69" i="16"/>
  <c r="BC70" i="16"/>
  <c r="BC71" i="16"/>
  <c r="BC72" i="16"/>
  <c r="BC73" i="16"/>
  <c r="BC74" i="16"/>
  <c r="BC75" i="16"/>
  <c r="BC76" i="16"/>
  <c r="BC77" i="16"/>
  <c r="BC78" i="16"/>
  <c r="DG14" i="9"/>
  <c r="DM14" i="9" s="1"/>
  <c r="BB13" i="16" s="1"/>
  <c r="BC13" i="16" s="1"/>
  <c r="DG13" i="9"/>
  <c r="DM13" i="9"/>
  <c r="BB12" i="16" s="1"/>
  <c r="DG15" i="9"/>
  <c r="DM15" i="9"/>
  <c r="BB14" i="16" s="1"/>
  <c r="BC16" i="16"/>
  <c r="BC17" i="16"/>
  <c r="BC18" i="16"/>
  <c r="BC19" i="16"/>
  <c r="BC20" i="16"/>
  <c r="BC21" i="16"/>
  <c r="BC22" i="16"/>
  <c r="BC23" i="16"/>
  <c r="BC24" i="16"/>
  <c r="BC25" i="16"/>
  <c r="BC26" i="16"/>
  <c r="BC29" i="16"/>
  <c r="BC30" i="16"/>
  <c r="BC31" i="16"/>
  <c r="BC34" i="16"/>
  <c r="CI78" i="16"/>
  <c r="DQ79" i="9"/>
  <c r="CH78" i="16" s="1"/>
  <c r="CG78" i="16"/>
  <c r="BY78" i="16"/>
  <c r="BT78" i="16"/>
  <c r="BX78" i="16" s="1"/>
  <c r="BW78" i="16"/>
  <c r="BT77" i="16"/>
  <c r="BV78" i="16" s="1"/>
  <c r="BT75" i="16"/>
  <c r="BP78" i="16"/>
  <c r="BK78" i="16"/>
  <c r="BH78" i="16"/>
  <c r="BF78" i="16"/>
  <c r="CA79" i="9"/>
  <c r="BA78" i="16" s="1"/>
  <c r="AA78" i="16"/>
  <c r="J78" i="16"/>
  <c r="A78" i="16"/>
  <c r="CI77" i="16"/>
  <c r="DQ78" i="9"/>
  <c r="CH77" i="16" s="1"/>
  <c r="BY77" i="16"/>
  <c r="BX77" i="16"/>
  <c r="BW77" i="16"/>
  <c r="BK77" i="16"/>
  <c r="BH77" i="16"/>
  <c r="BF77" i="16"/>
  <c r="CA78" i="9"/>
  <c r="BA77" i="16"/>
  <c r="AA77" i="16"/>
  <c r="J77" i="16"/>
  <c r="A77" i="16"/>
  <c r="BK76" i="16"/>
  <c r="BF76" i="16"/>
  <c r="CA77" i="9"/>
  <c r="BA76" i="16" s="1"/>
  <c r="AA76" i="16"/>
  <c r="J76" i="16"/>
  <c r="A76" i="16"/>
  <c r="CI75" i="16"/>
  <c r="DQ76" i="9"/>
  <c r="CH75" i="16" s="1"/>
  <c r="BY75" i="16"/>
  <c r="BX75" i="16"/>
  <c r="BW75" i="16"/>
  <c r="BK75" i="16"/>
  <c r="BH75" i="16"/>
  <c r="BF75" i="16"/>
  <c r="CA76" i="9"/>
  <c r="BA75" i="16" s="1"/>
  <c r="AA75" i="16"/>
  <c r="A75" i="16"/>
  <c r="BT73" i="16"/>
  <c r="BK74" i="16"/>
  <c r="BF74" i="16"/>
  <c r="CA75" i="9"/>
  <c r="BA74" i="16" s="1"/>
  <c r="A74" i="16"/>
  <c r="CI73" i="16"/>
  <c r="BK73" i="16"/>
  <c r="BF73" i="16"/>
  <c r="CA74" i="9"/>
  <c r="BA73" i="16" s="1"/>
  <c r="L74" i="9"/>
  <c r="A73" i="16"/>
  <c r="DQ73" i="9"/>
  <c r="CH72" i="16" s="1"/>
  <c r="BW72" i="16"/>
  <c r="BK72" i="16"/>
  <c r="BH72" i="16"/>
  <c r="BF72" i="16"/>
  <c r="CA73" i="9"/>
  <c r="BA72" i="16"/>
  <c r="L73" i="9"/>
  <c r="AA72" i="16" s="1"/>
  <c r="A72" i="16"/>
  <c r="BK71" i="16"/>
  <c r="BF71" i="16"/>
  <c r="CA72" i="9"/>
  <c r="BA71" i="16"/>
  <c r="L72" i="9"/>
  <c r="A71" i="16"/>
  <c r="BT69" i="16"/>
  <c r="BT68" i="16"/>
  <c r="BT67" i="16"/>
  <c r="BK70" i="16"/>
  <c r="BF70" i="16"/>
  <c r="CA71" i="9"/>
  <c r="BA70" i="16" s="1"/>
  <c r="A70" i="16"/>
  <c r="CI69" i="16"/>
  <c r="DQ70" i="9"/>
  <c r="CH69" i="16" s="1"/>
  <c r="CG69" i="16"/>
  <c r="BY69" i="16"/>
  <c r="BX69" i="16"/>
  <c r="BW69" i="16"/>
  <c r="BV69" i="16"/>
  <c r="BP69" i="16"/>
  <c r="BK69" i="16"/>
  <c r="BH69" i="16"/>
  <c r="BF69" i="16"/>
  <c r="CA70" i="9"/>
  <c r="BA69" i="16" s="1"/>
  <c r="L70" i="9"/>
  <c r="A69" i="16"/>
  <c r="CI68" i="16"/>
  <c r="DQ69" i="9"/>
  <c r="CH68" i="16" s="1"/>
  <c r="CG68" i="16"/>
  <c r="BY68" i="16"/>
  <c r="BX68" i="16"/>
  <c r="BW68" i="16"/>
  <c r="BV68" i="16"/>
  <c r="BP68" i="16"/>
  <c r="BK68" i="16"/>
  <c r="BH68" i="16"/>
  <c r="BF68" i="16"/>
  <c r="CA69" i="9"/>
  <c r="BA68" i="16"/>
  <c r="L69" i="9"/>
  <c r="AA68" i="16" s="1"/>
  <c r="G68" i="16"/>
  <c r="A68" i="16"/>
  <c r="CI67" i="16"/>
  <c r="DQ68" i="9"/>
  <c r="CH67" i="16"/>
  <c r="BY67" i="16"/>
  <c r="BX67" i="16"/>
  <c r="BW67" i="16"/>
  <c r="BT66" i="16"/>
  <c r="BV67" i="16" s="1"/>
  <c r="BP67" i="16"/>
  <c r="BK67" i="16"/>
  <c r="BH67" i="16"/>
  <c r="BF67" i="16"/>
  <c r="CA68" i="9"/>
  <c r="BA67" i="16"/>
  <c r="L68" i="9"/>
  <c r="X67" i="16"/>
  <c r="A67" i="16"/>
  <c r="CI66" i="16"/>
  <c r="BK66" i="16"/>
  <c r="BF66" i="16"/>
  <c r="CA67" i="9"/>
  <c r="BA66" i="16" s="1"/>
  <c r="X66" i="16"/>
  <c r="A66" i="16"/>
  <c r="BK65" i="16"/>
  <c r="BF65" i="16"/>
  <c r="CA66" i="9"/>
  <c r="BA65" i="16" s="1"/>
  <c r="L66" i="9"/>
  <c r="X65" i="16"/>
  <c r="A65" i="16"/>
  <c r="BK64" i="16"/>
  <c r="BF64" i="16"/>
  <c r="CA65" i="9"/>
  <c r="BA64" i="16"/>
  <c r="L65" i="9"/>
  <c r="X64" i="16"/>
  <c r="A64" i="16"/>
  <c r="BT62" i="16"/>
  <c r="BK63" i="16"/>
  <c r="BF63" i="16"/>
  <c r="CA64" i="9"/>
  <c r="BA63" i="16"/>
  <c r="L64" i="9"/>
  <c r="AA63" i="16" s="1"/>
  <c r="X63" i="16"/>
  <c r="A63" i="16"/>
  <c r="CI62" i="16"/>
  <c r="BT61" i="16"/>
  <c r="BV62" i="16" s="1"/>
  <c r="BT59" i="16"/>
  <c r="BP62" i="16"/>
  <c r="BK62" i="16"/>
  <c r="BF62" i="16"/>
  <c r="CA63" i="9"/>
  <c r="BA62" i="16" s="1"/>
  <c r="X62" i="16"/>
  <c r="A62" i="16"/>
  <c r="CI61" i="16"/>
  <c r="DQ62" i="9"/>
  <c r="CH61" i="16" s="1"/>
  <c r="BY61" i="16"/>
  <c r="BX61" i="16"/>
  <c r="BW61" i="16"/>
  <c r="BK61" i="16"/>
  <c r="BH61" i="16"/>
  <c r="BF61" i="16"/>
  <c r="CA62" i="9"/>
  <c r="BA61" i="16" s="1"/>
  <c r="L62" i="9"/>
  <c r="X61" i="16"/>
  <c r="A61" i="16"/>
  <c r="BK60" i="16"/>
  <c r="BF60" i="16"/>
  <c r="CA61" i="9"/>
  <c r="BA60" i="16"/>
  <c r="L61" i="9"/>
  <c r="AA60" i="16" s="1"/>
  <c r="X60" i="16"/>
  <c r="A60" i="16"/>
  <c r="CI59" i="16"/>
  <c r="DQ60" i="9"/>
  <c r="CH59" i="16"/>
  <c r="BY59" i="16"/>
  <c r="BX59" i="16"/>
  <c r="BW59" i="16"/>
  <c r="BK59" i="16"/>
  <c r="BH59" i="16"/>
  <c r="BF59" i="16"/>
  <c r="CA60" i="9"/>
  <c r="BA59" i="16"/>
  <c r="L60" i="9"/>
  <c r="X59" i="16"/>
  <c r="A59" i="16"/>
  <c r="BT57" i="16"/>
  <c r="BK58" i="16"/>
  <c r="BF58" i="16"/>
  <c r="CA59" i="9"/>
  <c r="BA58" i="16" s="1"/>
  <c r="X58" i="16"/>
  <c r="A58" i="16"/>
  <c r="CI57" i="16"/>
  <c r="BK57" i="16"/>
  <c r="BF57" i="16"/>
  <c r="CA58" i="9"/>
  <c r="BA57" i="16" s="1"/>
  <c r="L58" i="9"/>
  <c r="X57" i="16"/>
  <c r="A57" i="16"/>
  <c r="DQ57" i="9"/>
  <c r="CH56" i="16" s="1"/>
  <c r="BW56" i="16"/>
  <c r="BK56" i="16"/>
  <c r="BH56" i="16"/>
  <c r="BF56" i="16"/>
  <c r="CA57" i="9"/>
  <c r="BA56" i="16"/>
  <c r="L57" i="9"/>
  <c r="AA56" i="16" s="1"/>
  <c r="X56" i="16"/>
  <c r="A56" i="16"/>
  <c r="BK55" i="16"/>
  <c r="BF55" i="16"/>
  <c r="CA56" i="9"/>
  <c r="BA55" i="16"/>
  <c r="L56" i="9"/>
  <c r="X55" i="16"/>
  <c r="A55" i="16"/>
  <c r="BT53" i="16"/>
  <c r="BT52" i="16"/>
  <c r="BT51" i="16"/>
  <c r="BV52" i="16" s="1"/>
  <c r="BK54" i="16"/>
  <c r="BF54" i="16"/>
  <c r="CA55" i="9"/>
  <c r="BA54" i="16" s="1"/>
  <c r="X54" i="16"/>
  <c r="A54" i="16"/>
  <c r="CI53" i="16"/>
  <c r="BV53" i="16"/>
  <c r="BP53" i="16"/>
  <c r="BK53" i="16"/>
  <c r="BF53" i="16"/>
  <c r="CA54" i="9"/>
  <c r="BA53" i="16" s="1"/>
  <c r="L54" i="9"/>
  <c r="AA53" i="16" s="1"/>
  <c r="X53" i="16"/>
  <c r="A53" i="16"/>
  <c r="CI52" i="16"/>
  <c r="DQ53" i="9"/>
  <c r="CH52" i="16" s="1"/>
  <c r="BY52" i="16"/>
  <c r="BX52" i="16"/>
  <c r="BW52" i="16"/>
  <c r="BP52" i="16"/>
  <c r="BK52" i="16"/>
  <c r="BH52" i="16"/>
  <c r="BF52" i="16"/>
  <c r="CA53" i="9"/>
  <c r="BA52" i="16"/>
  <c r="L53" i="9"/>
  <c r="X52" i="16"/>
  <c r="A52" i="16"/>
  <c r="CI51" i="16"/>
  <c r="BT50" i="16"/>
  <c r="BP51" i="16"/>
  <c r="BK51" i="16"/>
  <c r="CA52" i="9"/>
  <c r="BA51" i="16"/>
  <c r="L52" i="9"/>
  <c r="X51" i="16"/>
  <c r="A51" i="16"/>
  <c r="CI50" i="16"/>
  <c r="BK50" i="16"/>
  <c r="BF50" i="16"/>
  <c r="CA51" i="9"/>
  <c r="BA50" i="16" s="1"/>
  <c r="X50" i="16"/>
  <c r="A50" i="16"/>
  <c r="BK49" i="16"/>
  <c r="BF49" i="16"/>
  <c r="CA50" i="9"/>
  <c r="BA49" i="16" s="1"/>
  <c r="L50" i="9"/>
  <c r="X49" i="16"/>
  <c r="A49" i="16"/>
  <c r="BK48" i="16"/>
  <c r="BF48" i="16"/>
  <c r="CA49" i="9"/>
  <c r="BA48" i="16"/>
  <c r="L49" i="9"/>
  <c r="X48" i="16"/>
  <c r="A48" i="16"/>
  <c r="BT46" i="16"/>
  <c r="BK47" i="16"/>
  <c r="BF47" i="16"/>
  <c r="CA48" i="9"/>
  <c r="BA47" i="16"/>
  <c r="L48" i="9"/>
  <c r="AA47" i="16"/>
  <c r="X47" i="16"/>
  <c r="J47" i="16"/>
  <c r="A47" i="16"/>
  <c r="CI46" i="16"/>
  <c r="DQ47" i="9"/>
  <c r="CH46" i="16"/>
  <c r="CG46" i="16"/>
  <c r="BY46" i="16"/>
  <c r="BX46" i="16"/>
  <c r="BW46" i="16"/>
  <c r="BT45" i="16"/>
  <c r="BV46" i="16"/>
  <c r="BT44" i="16"/>
  <c r="BT43" i="16"/>
  <c r="BU46" i="16" s="1"/>
  <c r="BP46" i="16"/>
  <c r="BK46" i="16"/>
  <c r="BH46" i="16"/>
  <c r="BF46" i="16"/>
  <c r="CA47" i="9"/>
  <c r="BA46" i="16" s="1"/>
  <c r="AA46" i="16"/>
  <c r="J46" i="16"/>
  <c r="A46" i="16"/>
  <c r="CI45" i="16"/>
  <c r="DQ46" i="9"/>
  <c r="CH45" i="16"/>
  <c r="BY45" i="16"/>
  <c r="BX45" i="16"/>
  <c r="BW45" i="16"/>
  <c r="BV45" i="16"/>
  <c r="BP45" i="16"/>
  <c r="BK45" i="16"/>
  <c r="BH45" i="16"/>
  <c r="BF45" i="16"/>
  <c r="CA46" i="9"/>
  <c r="BA45" i="16" s="1"/>
  <c r="L46" i="9"/>
  <c r="AA45" i="16" s="1"/>
  <c r="J45" i="16"/>
  <c r="A45" i="16"/>
  <c r="CI44" i="16"/>
  <c r="BP44" i="16"/>
  <c r="BK44" i="16"/>
  <c r="CA45" i="9"/>
  <c r="BA44" i="16"/>
  <c r="L45" i="9"/>
  <c r="AA44" i="16"/>
  <c r="X44" i="16"/>
  <c r="J44" i="16"/>
  <c r="G44" i="16"/>
  <c r="A44" i="16"/>
  <c r="CI43" i="16"/>
  <c r="DQ44" i="9"/>
  <c r="CH43" i="16"/>
  <c r="BY43" i="16"/>
  <c r="BW43" i="16"/>
  <c r="BK43" i="16"/>
  <c r="BH43" i="16"/>
  <c r="BF43" i="16"/>
  <c r="CA44" i="9"/>
  <c r="BA43" i="16"/>
  <c r="L44" i="9"/>
  <c r="AA43" i="16"/>
  <c r="Y43" i="16"/>
  <c r="X43" i="16"/>
  <c r="AI44" i="9"/>
  <c r="V43" i="16"/>
  <c r="M43" i="16"/>
  <c r="A43" i="16"/>
  <c r="BK42" i="16"/>
  <c r="BF42" i="16"/>
  <c r="CA43" i="9"/>
  <c r="BA42" i="16" s="1"/>
  <c r="X42" i="16"/>
  <c r="A42" i="16"/>
  <c r="BK41" i="16"/>
  <c r="BF41" i="16"/>
  <c r="CA42" i="9"/>
  <c r="BA41" i="16" s="1"/>
  <c r="L42" i="9"/>
  <c r="AA41" i="16" s="1"/>
  <c r="J41" i="16"/>
  <c r="A41" i="16"/>
  <c r="BF40" i="16"/>
  <c r="CA41" i="9"/>
  <c r="BA40" i="16" s="1"/>
  <c r="L41" i="9"/>
  <c r="AA40" i="16" s="1"/>
  <c r="J40" i="16"/>
  <c r="A40" i="16"/>
  <c r="DQ40" i="9"/>
  <c r="CH39" i="16" s="1"/>
  <c r="BT38" i="16"/>
  <c r="BH39" i="16"/>
  <c r="BF39" i="16"/>
  <c r="CA40" i="9"/>
  <c r="BA39" i="16" s="1"/>
  <c r="L40" i="9"/>
  <c r="AA39" i="16" s="1"/>
  <c r="A39" i="16"/>
  <c r="CI38" i="16"/>
  <c r="BT37" i="16"/>
  <c r="BV38" i="16" s="1"/>
  <c r="BT36" i="16"/>
  <c r="BX36" i="16" s="1"/>
  <c r="BP38" i="16"/>
  <c r="CA39" i="9"/>
  <c r="BA38" i="16" s="1"/>
  <c r="A38" i="16"/>
  <c r="CI37" i="16"/>
  <c r="DQ38" i="9"/>
  <c r="CH37" i="16"/>
  <c r="CG37" i="16"/>
  <c r="BY37" i="16"/>
  <c r="BV37" i="16"/>
  <c r="BP37" i="16"/>
  <c r="BH37" i="16"/>
  <c r="BF37" i="16"/>
  <c r="CA38" i="9"/>
  <c r="BA37" i="16" s="1"/>
  <c r="A37" i="16"/>
  <c r="CI36" i="16"/>
  <c r="DQ37" i="9"/>
  <c r="CH36" i="16"/>
  <c r="BY36" i="16"/>
  <c r="BH36" i="16"/>
  <c r="BF36" i="16"/>
  <c r="CA37" i="9"/>
  <c r="BA36" i="16" s="1"/>
  <c r="A36" i="16"/>
  <c r="CA36" i="9"/>
  <c r="BA35" i="16"/>
  <c r="J35" i="16"/>
  <c r="A35" i="16"/>
  <c r="BT33" i="16"/>
  <c r="BF34" i="16"/>
  <c r="CA35" i="9"/>
  <c r="BA34" i="16"/>
  <c r="M34" i="16"/>
  <c r="J34" i="16"/>
  <c r="F34" i="16"/>
  <c r="A34" i="16"/>
  <c r="CI33" i="16"/>
  <c r="BF33" i="16"/>
  <c r="CA34" i="9"/>
  <c r="BA33" i="16"/>
  <c r="J33" i="16"/>
  <c r="A33" i="16"/>
  <c r="CA33" i="9"/>
  <c r="BA32" i="16"/>
  <c r="U32" i="16"/>
  <c r="M32" i="16"/>
  <c r="J32" i="16"/>
  <c r="F32" i="16"/>
  <c r="C32" i="16"/>
  <c r="A32" i="16"/>
  <c r="BT30" i="16"/>
  <c r="BV30" i="16" s="1"/>
  <c r="BF31" i="16"/>
  <c r="CA32" i="9"/>
  <c r="BA31" i="16" s="1"/>
  <c r="Y31" i="16"/>
  <c r="M31" i="16"/>
  <c r="J31" i="16"/>
  <c r="F31" i="16"/>
  <c r="A31" i="16"/>
  <c r="CI30" i="16"/>
  <c r="DQ31" i="9"/>
  <c r="CH30" i="16"/>
  <c r="BY30" i="16"/>
  <c r="BX30" i="16"/>
  <c r="BT29" i="16"/>
  <c r="BT28" i="16"/>
  <c r="BX28" i="16" s="1"/>
  <c r="BP30" i="16"/>
  <c r="BH30" i="16"/>
  <c r="BF30" i="16"/>
  <c r="CA31" i="9"/>
  <c r="BA30" i="16" s="1"/>
  <c r="X30" i="16"/>
  <c r="J30" i="16"/>
  <c r="A30" i="16"/>
  <c r="CI29" i="16"/>
  <c r="BP29" i="16"/>
  <c r="BF29" i="16"/>
  <c r="CA30" i="9"/>
  <c r="BA29" i="16" s="1"/>
  <c r="X29" i="16"/>
  <c r="J29" i="16"/>
  <c r="A29" i="16"/>
  <c r="CI28" i="16"/>
  <c r="DQ29" i="9"/>
  <c r="CH28" i="16"/>
  <c r="BY28" i="16"/>
  <c r="BH28" i="16"/>
  <c r="BF28" i="16"/>
  <c r="CA29" i="9"/>
  <c r="BA28" i="16" s="1"/>
  <c r="X28" i="16"/>
  <c r="J28" i="16"/>
  <c r="A28" i="16"/>
  <c r="BT26" i="16"/>
  <c r="CA28" i="9"/>
  <c r="BA27" i="16"/>
  <c r="X27" i="16"/>
  <c r="A27" i="16"/>
  <c r="A28" i="20" s="1"/>
  <c r="CI26" i="16"/>
  <c r="BF26" i="16"/>
  <c r="CA27" i="9"/>
  <c r="BA26" i="16"/>
  <c r="X26" i="16"/>
  <c r="A26" i="16"/>
  <c r="BF25" i="16"/>
  <c r="CA26" i="9"/>
  <c r="BA25" i="16"/>
  <c r="X25" i="16"/>
  <c r="J25" i="16"/>
  <c r="A25" i="16"/>
  <c r="A26" i="20" s="1"/>
  <c r="BF24" i="16"/>
  <c r="CA25" i="9"/>
  <c r="BA24" i="16"/>
  <c r="X24" i="16"/>
  <c r="J24" i="16"/>
  <c r="A24" i="16"/>
  <c r="BF23" i="16"/>
  <c r="CA24" i="9"/>
  <c r="BA23" i="16" s="1"/>
  <c r="A23" i="16"/>
  <c r="BT21" i="16"/>
  <c r="BT19" i="16"/>
  <c r="BF22" i="16"/>
  <c r="CA23" i="9"/>
  <c r="BA22" i="16" s="1"/>
  <c r="AQ22" i="16"/>
  <c r="A22" i="16"/>
  <c r="CI21" i="16"/>
  <c r="DQ22" i="9"/>
  <c r="CH21" i="16" s="1"/>
  <c r="BY21" i="16"/>
  <c r="BX21" i="16"/>
  <c r="BH21" i="16"/>
  <c r="BF21" i="16"/>
  <c r="CA22" i="9"/>
  <c r="BA21" i="16"/>
  <c r="AQ20" i="16"/>
  <c r="X21" i="16"/>
  <c r="A21" i="16"/>
  <c r="BF20" i="16"/>
  <c r="CA21" i="9"/>
  <c r="BA20" i="16"/>
  <c r="AQ19" i="16"/>
  <c r="AR20" i="16"/>
  <c r="X20" i="16"/>
  <c r="A20" i="16"/>
  <c r="CI19" i="16"/>
  <c r="BF19" i="16"/>
  <c r="CA20" i="9"/>
  <c r="BA19" i="16" s="1"/>
  <c r="AQ18" i="16"/>
  <c r="AR19" i="16" s="1"/>
  <c r="AQ15" i="4"/>
  <c r="AQ17" i="4" s="1"/>
  <c r="AQ16" i="4"/>
  <c r="AD17" i="9" s="1"/>
  <c r="AJ17" i="9" s="1"/>
  <c r="W16" i="16" s="1"/>
  <c r="A19" i="16"/>
  <c r="DI15" i="9"/>
  <c r="DO15" i="9"/>
  <c r="DP15" i="9" s="1"/>
  <c r="DI14" i="9"/>
  <c r="DO14" i="9"/>
  <c r="DP14" i="9" s="1"/>
  <c r="DI13" i="9"/>
  <c r="DO13" i="9"/>
  <c r="DP13" i="9" s="1"/>
  <c r="CC12" i="16" s="1"/>
  <c r="O8" i="7"/>
  <c r="M8" i="7"/>
  <c r="DI12" i="9" s="1"/>
  <c r="BT15" i="16"/>
  <c r="BO12" i="16"/>
  <c r="BY12" i="16" s="1"/>
  <c r="BF18" i="16"/>
  <c r="CA19" i="9"/>
  <c r="BA18" i="16"/>
  <c r="A18" i="16"/>
  <c r="BF17" i="16"/>
  <c r="CA18" i="9"/>
  <c r="BA17" i="16"/>
  <c r="AQ16" i="16"/>
  <c r="A17" i="16"/>
  <c r="A18" i="20" s="1"/>
  <c r="BF16" i="16"/>
  <c r="CA17" i="9"/>
  <c r="BA16" i="16"/>
  <c r="AQ15" i="16"/>
  <c r="AR16" i="16"/>
  <c r="AD16" i="9"/>
  <c r="AJ16" i="9"/>
  <c r="W15" i="16" s="1"/>
  <c r="A16" i="16"/>
  <c r="CI15" i="16"/>
  <c r="BF15" i="16"/>
  <c r="CA16" i="9"/>
  <c r="BA15" i="16" s="1"/>
  <c r="AQ14" i="16"/>
  <c r="AR15" i="16" s="1"/>
  <c r="A15" i="16"/>
  <c r="CB15" i="9"/>
  <c r="CP15" i="9"/>
  <c r="CS15" i="9"/>
  <c r="DI11" i="9"/>
  <c r="DO11" i="9" s="1"/>
  <c r="DI10" i="9"/>
  <c r="DO10" i="9" s="1"/>
  <c r="DI9" i="9"/>
  <c r="DO9" i="9" s="1"/>
  <c r="M4" i="7"/>
  <c r="DI8" i="9" s="1"/>
  <c r="DO8" i="9" s="1"/>
  <c r="CA15" i="9"/>
  <c r="BA14" i="16"/>
  <c r="AQ13" i="16"/>
  <c r="A14" i="16"/>
  <c r="CB14" i="9"/>
  <c r="CP14" i="9"/>
  <c r="CS14" i="9"/>
  <c r="CA14" i="9"/>
  <c r="BA13" i="16" s="1"/>
  <c r="W17" i="2"/>
  <c r="BD13" i="9" s="1"/>
  <c r="BU13" i="9" s="1"/>
  <c r="BH13" i="9"/>
  <c r="BE13" i="9"/>
  <c r="BV13" i="9" s="1"/>
  <c r="Y17" i="2"/>
  <c r="BF13" i="9" s="1"/>
  <c r="BW13" i="9" s="1"/>
  <c r="AM12" i="16" s="1"/>
  <c r="AS13" i="16"/>
  <c r="AV14" i="9"/>
  <c r="BO14" i="9" s="1"/>
  <c r="AG13" i="16"/>
  <c r="A13" i="16"/>
  <c r="CA13" i="9"/>
  <c r="BA12" i="16" s="1"/>
  <c r="O17" i="2"/>
  <c r="AV13" i="9"/>
  <c r="BO13" i="9" s="1"/>
  <c r="A12" i="16"/>
  <c r="CA12" i="9"/>
  <c r="BA11" i="16" s="1"/>
  <c r="A11" i="16"/>
  <c r="A12" i="20" s="1"/>
  <c r="CA11" i="9"/>
  <c r="BA10" i="16" s="1"/>
  <c r="A10" i="16"/>
  <c r="CA10" i="9"/>
  <c r="BA9" i="16" s="1"/>
  <c r="A9" i="16"/>
  <c r="CA9" i="9"/>
  <c r="BA8" i="16" s="1"/>
  <c r="A8" i="16"/>
  <c r="DI7" i="9"/>
  <c r="DO7" i="9"/>
  <c r="DP7" i="9" s="1"/>
  <c r="CC6" i="16" s="1"/>
  <c r="BO6" i="16"/>
  <c r="BT6" i="16" s="1"/>
  <c r="BX6" i="16" s="1"/>
  <c r="CA8" i="9"/>
  <c r="BA7" i="16" s="1"/>
  <c r="A7" i="16"/>
  <c r="CA7" i="9"/>
  <c r="BA6" i="16"/>
  <c r="A6" i="16"/>
  <c r="BA5" i="16"/>
  <c r="A5" i="16"/>
  <c r="BA4" i="16"/>
  <c r="A4" i="16"/>
  <c r="BA3" i="16"/>
  <c r="A3" i="16"/>
  <c r="CH2" i="16"/>
  <c r="CC2" i="16"/>
  <c r="BO2" i="16"/>
  <c r="BB2" i="16"/>
  <c r="AX2" i="16"/>
  <c r="AT2" i="16"/>
  <c r="BF3" i="9"/>
  <c r="BW3" i="9" s="1"/>
  <c r="AM2" i="16" s="1"/>
  <c r="BE3" i="9"/>
  <c r="BV3" i="9"/>
  <c r="AI2" i="16" s="1"/>
  <c r="BD3" i="9"/>
  <c r="BU3" i="9" s="1"/>
  <c r="AE2" i="16" s="1"/>
  <c r="V2" i="16"/>
  <c r="O2" i="16"/>
  <c r="O78" i="17"/>
  <c r="N78" i="17"/>
  <c r="B78" i="17"/>
  <c r="A77" i="17"/>
  <c r="N77" i="17" s="1"/>
  <c r="AA77" i="17" s="1"/>
  <c r="O77" i="17"/>
  <c r="B77" i="17"/>
  <c r="AB76" i="17"/>
  <c r="A76" i="17"/>
  <c r="N76" i="17" s="1"/>
  <c r="AA76" i="17" s="1"/>
  <c r="O76" i="17"/>
  <c r="AB75" i="17"/>
  <c r="A75" i="17"/>
  <c r="N75" i="17" s="1"/>
  <c r="AA75" i="17" s="1"/>
  <c r="O75" i="17"/>
  <c r="B75" i="17"/>
  <c r="AB74" i="17"/>
  <c r="A74" i="17"/>
  <c r="N74" i="17" s="1"/>
  <c r="AA74" i="17" s="1"/>
  <c r="O74" i="17"/>
  <c r="A73" i="17"/>
  <c r="N73" i="17" s="1"/>
  <c r="AA73" i="17" s="1"/>
  <c r="O73" i="17"/>
  <c r="B73" i="17"/>
  <c r="AB72" i="17"/>
  <c r="A72" i="17"/>
  <c r="N72" i="17" s="1"/>
  <c r="AA72" i="17" s="1"/>
  <c r="O72" i="17"/>
  <c r="B72" i="17"/>
  <c r="A71" i="17"/>
  <c r="N71" i="17" s="1"/>
  <c r="AA71" i="17" s="1"/>
  <c r="O71" i="17"/>
  <c r="B71" i="17"/>
  <c r="AB70" i="17"/>
  <c r="A70" i="17"/>
  <c r="N70" i="17" s="1"/>
  <c r="AA70" i="17" s="1"/>
  <c r="O70" i="17"/>
  <c r="A69" i="17"/>
  <c r="N69" i="17" s="1"/>
  <c r="AA69" i="17" s="1"/>
  <c r="O69" i="17"/>
  <c r="B69" i="17"/>
  <c r="AB68" i="17"/>
  <c r="A68" i="17"/>
  <c r="N68" i="17" s="1"/>
  <c r="AA68" i="17" s="1"/>
  <c r="O68" i="17"/>
  <c r="AB67" i="17"/>
  <c r="A67" i="17"/>
  <c r="N67" i="17" s="1"/>
  <c r="AA67" i="17" s="1"/>
  <c r="O67" i="17"/>
  <c r="B67" i="17"/>
  <c r="AB66" i="17"/>
  <c r="A66" i="17"/>
  <c r="N66" i="17" s="1"/>
  <c r="AA66" i="17" s="1"/>
  <c r="O66" i="17"/>
  <c r="A65" i="17"/>
  <c r="N65" i="17" s="1"/>
  <c r="AA65" i="17" s="1"/>
  <c r="O65" i="17"/>
  <c r="B65" i="17"/>
  <c r="AB64" i="17"/>
  <c r="A64" i="17"/>
  <c r="N64" i="17" s="1"/>
  <c r="AA64" i="17" s="1"/>
  <c r="O64" i="17"/>
  <c r="B64" i="17"/>
  <c r="AB63" i="17"/>
  <c r="A63" i="17"/>
  <c r="N63" i="17" s="1"/>
  <c r="AA63" i="17" s="1"/>
  <c r="O63" i="17"/>
  <c r="B63" i="17"/>
  <c r="AB62" i="17"/>
  <c r="A62" i="17"/>
  <c r="N62" i="17" s="1"/>
  <c r="AA62" i="17" s="1"/>
  <c r="O62" i="17"/>
  <c r="AB61" i="17"/>
  <c r="A61" i="17"/>
  <c r="N61" i="17" s="1"/>
  <c r="AA61" i="17" s="1"/>
  <c r="O61" i="17"/>
  <c r="B61" i="17"/>
  <c r="A60" i="17"/>
  <c r="N60" i="17" s="1"/>
  <c r="AA60" i="17" s="1"/>
  <c r="O60" i="17"/>
  <c r="AB59" i="17"/>
  <c r="A59" i="17"/>
  <c r="N59" i="17" s="1"/>
  <c r="AA59" i="17" s="1"/>
  <c r="O59" i="17"/>
  <c r="B59" i="17"/>
  <c r="AB58" i="17"/>
  <c r="A58" i="17"/>
  <c r="N58" i="17" s="1"/>
  <c r="AA58" i="17" s="1"/>
  <c r="O58" i="17"/>
  <c r="AB57" i="17"/>
  <c r="A57" i="17"/>
  <c r="N57" i="17" s="1"/>
  <c r="AA57" i="17" s="1"/>
  <c r="O57" i="17"/>
  <c r="B57" i="17"/>
  <c r="A56" i="17"/>
  <c r="N56" i="17" s="1"/>
  <c r="AA56" i="17" s="1"/>
  <c r="O56" i="17"/>
  <c r="B56" i="17"/>
  <c r="AB55" i="17"/>
  <c r="A55" i="17"/>
  <c r="N55" i="17" s="1"/>
  <c r="AA55" i="17" s="1"/>
  <c r="O55" i="17"/>
  <c r="B55" i="17"/>
  <c r="A54" i="17"/>
  <c r="N54" i="17" s="1"/>
  <c r="AA54" i="17" s="1"/>
  <c r="O54" i="17"/>
  <c r="B54" i="17"/>
  <c r="AB53" i="17"/>
  <c r="A53" i="17"/>
  <c r="N53" i="17" s="1"/>
  <c r="AA53" i="17" s="1"/>
  <c r="O53" i="17"/>
  <c r="B53" i="17"/>
  <c r="AB52" i="17"/>
  <c r="A52" i="17"/>
  <c r="N52" i="17" s="1"/>
  <c r="AA52" i="17" s="1"/>
  <c r="O52" i="17"/>
  <c r="B52" i="17"/>
  <c r="AB51" i="17"/>
  <c r="A51" i="17"/>
  <c r="N51" i="17" s="1"/>
  <c r="AA51" i="17" s="1"/>
  <c r="O51" i="17"/>
  <c r="B51" i="17"/>
  <c r="AB50" i="17"/>
  <c r="A50" i="17"/>
  <c r="N50" i="17" s="1"/>
  <c r="AA50" i="17" s="1"/>
  <c r="O50" i="17"/>
  <c r="AB49" i="17"/>
  <c r="A49" i="17"/>
  <c r="N49" i="17" s="1"/>
  <c r="AA49" i="17" s="1"/>
  <c r="O49" i="17"/>
  <c r="AB48" i="17"/>
  <c r="A48" i="17"/>
  <c r="N48" i="17" s="1"/>
  <c r="AA48" i="17" s="1"/>
  <c r="O48" i="17"/>
  <c r="AB47" i="17"/>
  <c r="A47" i="17"/>
  <c r="N47" i="17" s="1"/>
  <c r="AA47" i="17" s="1"/>
  <c r="O47" i="17"/>
  <c r="AB46" i="17"/>
  <c r="A46" i="17"/>
  <c r="N46" i="17" s="1"/>
  <c r="AA46" i="17" s="1"/>
  <c r="O46" i="17"/>
  <c r="AB45" i="17"/>
  <c r="A45" i="17"/>
  <c r="N45" i="17" s="1"/>
  <c r="AA45" i="17" s="1"/>
  <c r="O45" i="17"/>
  <c r="AB44" i="17"/>
  <c r="A44" i="17"/>
  <c r="N44" i="17" s="1"/>
  <c r="AA44" i="17" s="1"/>
  <c r="O44" i="17"/>
  <c r="AB43" i="17"/>
  <c r="A43" i="17"/>
  <c r="N43" i="17" s="1"/>
  <c r="AA43" i="17" s="1"/>
  <c r="O43" i="17"/>
  <c r="AB42" i="17"/>
  <c r="A42" i="17"/>
  <c r="N42" i="17" s="1"/>
  <c r="AA42" i="17" s="1"/>
  <c r="O42" i="17"/>
  <c r="AB41" i="17"/>
  <c r="A41" i="17"/>
  <c r="N41" i="17" s="1"/>
  <c r="AA41" i="17" s="1"/>
  <c r="O41" i="17"/>
  <c r="A40" i="17"/>
  <c r="N40" i="17" s="1"/>
  <c r="AA40" i="17" s="1"/>
  <c r="O40" i="17"/>
  <c r="A39" i="17"/>
  <c r="N39" i="17" s="1"/>
  <c r="AA39" i="17" s="1"/>
  <c r="O39" i="17"/>
  <c r="AB38" i="17"/>
  <c r="A38" i="17"/>
  <c r="N38" i="17" s="1"/>
  <c r="AA38" i="17" s="1"/>
  <c r="O38" i="17"/>
  <c r="B38" i="17"/>
  <c r="A37" i="17"/>
  <c r="N37" i="17" s="1"/>
  <c r="AA37" i="17" s="1"/>
  <c r="O37" i="17"/>
  <c r="B37" i="17"/>
  <c r="A36" i="17"/>
  <c r="N36" i="17" s="1"/>
  <c r="AA36" i="17" s="1"/>
  <c r="O36" i="17"/>
  <c r="B36" i="17"/>
  <c r="AB35" i="17"/>
  <c r="A35" i="17"/>
  <c r="N35" i="17" s="1"/>
  <c r="AA35" i="17" s="1"/>
  <c r="O35" i="17"/>
  <c r="B35" i="17"/>
  <c r="A34" i="17"/>
  <c r="N34" i="17" s="1"/>
  <c r="AA34" i="17" s="1"/>
  <c r="O34" i="17"/>
  <c r="B34" i="17"/>
  <c r="AB33" i="17"/>
  <c r="A33" i="17"/>
  <c r="N33" i="17" s="1"/>
  <c r="AA33" i="17" s="1"/>
  <c r="O33" i="17"/>
  <c r="B33" i="17"/>
  <c r="A32" i="17"/>
  <c r="N32" i="17" s="1"/>
  <c r="AA32" i="17" s="1"/>
  <c r="O32" i="17"/>
  <c r="B32" i="17"/>
  <c r="A31" i="17"/>
  <c r="N31" i="17" s="1"/>
  <c r="AA31" i="17" s="1"/>
  <c r="O31" i="17"/>
  <c r="B31" i="17"/>
  <c r="AB30" i="17"/>
  <c r="A30" i="17"/>
  <c r="N30" i="17" s="1"/>
  <c r="AA30" i="17" s="1"/>
  <c r="O30" i="17"/>
  <c r="B30" i="17"/>
  <c r="A29" i="17"/>
  <c r="N29" i="17" s="1"/>
  <c r="AA29" i="17" s="1"/>
  <c r="O29" i="17"/>
  <c r="B29" i="17"/>
  <c r="A28" i="17"/>
  <c r="N28" i="17" s="1"/>
  <c r="AA28" i="17" s="1"/>
  <c r="O28" i="17"/>
  <c r="B28" i="17"/>
  <c r="AB27" i="17"/>
  <c r="A27" i="17"/>
  <c r="N27" i="17" s="1"/>
  <c r="AA27" i="17" s="1"/>
  <c r="O27" i="17"/>
  <c r="AB26" i="17"/>
  <c r="A26" i="17"/>
  <c r="N26" i="17" s="1"/>
  <c r="AA26" i="17" s="1"/>
  <c r="O26" i="17"/>
  <c r="B26" i="17"/>
  <c r="AB25" i="17"/>
  <c r="A25" i="17"/>
  <c r="N25" i="17" s="1"/>
  <c r="AA25" i="17" s="1"/>
  <c r="O25" i="17"/>
  <c r="B25" i="17"/>
  <c r="A24" i="17"/>
  <c r="N24" i="17" s="1"/>
  <c r="AA24" i="17" s="1"/>
  <c r="O24" i="17"/>
  <c r="B24" i="17"/>
  <c r="AB23" i="17"/>
  <c r="A23" i="17"/>
  <c r="N23" i="17" s="1"/>
  <c r="AA23" i="17" s="1"/>
  <c r="O23" i="17"/>
  <c r="B23" i="17"/>
  <c r="AH8" i="17"/>
  <c r="AH9" i="17"/>
  <c r="AH10" i="17"/>
  <c r="AH12" i="17"/>
  <c r="AH13" i="17"/>
  <c r="AH14" i="17"/>
  <c r="AH15" i="17"/>
  <c r="AH16" i="17"/>
  <c r="AH17" i="17"/>
  <c r="AH18" i="17"/>
  <c r="AH19" i="17"/>
  <c r="AH20" i="17"/>
  <c r="AH21" i="17"/>
  <c r="AF13" i="17"/>
  <c r="AF14" i="17"/>
  <c r="AB22" i="17"/>
  <c r="A22" i="17"/>
  <c r="N22" i="17"/>
  <c r="AA22" i="17" s="1"/>
  <c r="P9" i="17"/>
  <c r="P13" i="17"/>
  <c r="P14" i="17"/>
  <c r="S6" i="17"/>
  <c r="S7" i="17"/>
  <c r="AS7" i="17" s="1"/>
  <c r="S8" i="17"/>
  <c r="S9" i="17"/>
  <c r="AS9" i="17" s="1"/>
  <c r="S10" i="17"/>
  <c r="S11" i="17"/>
  <c r="S12" i="17"/>
  <c r="S13" i="17"/>
  <c r="W7" i="17" s="1"/>
  <c r="S14" i="17"/>
  <c r="S15" i="17"/>
  <c r="S16" i="17"/>
  <c r="S17" i="17"/>
  <c r="S18" i="17"/>
  <c r="S19" i="17"/>
  <c r="S20" i="17"/>
  <c r="S21" i="17"/>
  <c r="R22" i="17"/>
  <c r="O22" i="17"/>
  <c r="D3" i="4"/>
  <c r="E3" i="4" s="1"/>
  <c r="D4" i="21" s="1"/>
  <c r="E4" i="21" s="1"/>
  <c r="D3" i="17" s="1"/>
  <c r="D4" i="4"/>
  <c r="E4" i="4"/>
  <c r="D5" i="21" s="1"/>
  <c r="E5" i="21" s="1"/>
  <c r="D4" i="17" s="1"/>
  <c r="D5" i="4"/>
  <c r="E5" i="4" s="1"/>
  <c r="D6" i="21" s="1"/>
  <c r="E6" i="21" s="1"/>
  <c r="D5" i="17" s="1"/>
  <c r="D6" i="4"/>
  <c r="E6" i="4"/>
  <c r="D7" i="21" s="1"/>
  <c r="E7" i="21" s="1"/>
  <c r="D6" i="17" s="1"/>
  <c r="D7" i="17"/>
  <c r="D8" i="17"/>
  <c r="H4" i="17" s="1"/>
  <c r="D9" i="17"/>
  <c r="D10" i="17"/>
  <c r="D11" i="17"/>
  <c r="D12" i="17"/>
  <c r="D13" i="17"/>
  <c r="H5" i="17" s="1"/>
  <c r="D14" i="17"/>
  <c r="H7" i="17"/>
  <c r="H8" i="17"/>
  <c r="H9" i="17"/>
  <c r="H10" i="17"/>
  <c r="H11" i="17"/>
  <c r="H15" i="17"/>
  <c r="H21" i="17"/>
  <c r="O3" i="4"/>
  <c r="P3" i="4" s="1"/>
  <c r="O4" i="4"/>
  <c r="P4" i="4"/>
  <c r="S5" i="9" s="1"/>
  <c r="C5" i="21" s="1"/>
  <c r="C4" i="17" s="1"/>
  <c r="B4" i="17" s="1"/>
  <c r="O5" i="4"/>
  <c r="P5" i="4" s="1"/>
  <c r="O6" i="4"/>
  <c r="P6" i="4"/>
  <c r="S7" i="9" s="1"/>
  <c r="C7" i="21" s="1"/>
  <c r="C6" i="17" s="1"/>
  <c r="B6" i="17" s="1"/>
  <c r="C7" i="17"/>
  <c r="C8" i="17"/>
  <c r="G4" i="17" s="1"/>
  <c r="AN4" i="17" s="1"/>
  <c r="C9" i="17"/>
  <c r="C10" i="17"/>
  <c r="C11" i="17"/>
  <c r="B11" i="17" s="1"/>
  <c r="C12" i="17"/>
  <c r="C13" i="17"/>
  <c r="G5" i="17" s="1"/>
  <c r="AN5" i="17" s="1"/>
  <c r="C14" i="17"/>
  <c r="Q10" i="4"/>
  <c r="S4" i="4" s="1"/>
  <c r="H6" i="21" s="1"/>
  <c r="I6" i="21" s="1"/>
  <c r="F4" i="17" s="1"/>
  <c r="AR4" i="17" s="1"/>
  <c r="Q14" i="4"/>
  <c r="S5" i="4" s="1"/>
  <c r="H7" i="21" s="1"/>
  <c r="I7" i="21" s="1"/>
  <c r="F5" i="17" s="1"/>
  <c r="AR5" i="17" s="1"/>
  <c r="B22" i="17"/>
  <c r="AS21" i="17"/>
  <c r="AO21" i="17"/>
  <c r="AM21" i="17"/>
  <c r="A21" i="17"/>
  <c r="N21" i="17" s="1"/>
  <c r="AA21" i="17" s="1"/>
  <c r="U21" i="17"/>
  <c r="O21" i="17"/>
  <c r="B21" i="17"/>
  <c r="AS20" i="17"/>
  <c r="AO20" i="17"/>
  <c r="Y20" i="17"/>
  <c r="E20" i="17"/>
  <c r="AM20" i="17" s="1"/>
  <c r="AE20" i="17"/>
  <c r="AB20" i="17"/>
  <c r="A20" i="17"/>
  <c r="N20" i="17" s="1"/>
  <c r="AA20" i="17" s="1"/>
  <c r="U20" i="17"/>
  <c r="R20" i="17"/>
  <c r="O20" i="17"/>
  <c r="B20" i="17"/>
  <c r="AS19" i="17"/>
  <c r="AO19" i="17"/>
  <c r="Y19" i="17"/>
  <c r="E19" i="17" s="1"/>
  <c r="A19" i="17"/>
  <c r="N19" i="17"/>
  <c r="AA19" i="17" s="1"/>
  <c r="U19" i="17"/>
  <c r="O19" i="17"/>
  <c r="AS18" i="17"/>
  <c r="AO18" i="17"/>
  <c r="Y18" i="17"/>
  <c r="E18" i="17"/>
  <c r="AM18" i="17" s="1"/>
  <c r="AE18" i="17"/>
  <c r="AB18" i="17"/>
  <c r="A18" i="17"/>
  <c r="N18" i="17" s="1"/>
  <c r="AA18" i="17" s="1"/>
  <c r="U18" i="17"/>
  <c r="R18" i="17"/>
  <c r="O18" i="17"/>
  <c r="B18" i="17"/>
  <c r="AS17" i="17"/>
  <c r="AO17" i="17"/>
  <c r="Y17" i="17"/>
  <c r="AE17" i="17" s="1"/>
  <c r="A17" i="17"/>
  <c r="N17" i="17"/>
  <c r="AA17" i="17" s="1"/>
  <c r="U17" i="17"/>
  <c r="O17" i="17"/>
  <c r="B17" i="17"/>
  <c r="AS16" i="17"/>
  <c r="AO16" i="17"/>
  <c r="Y16" i="17"/>
  <c r="E16" i="17"/>
  <c r="AM16" i="17" s="1"/>
  <c r="AE16" i="17"/>
  <c r="AB16" i="17"/>
  <c r="A16" i="17"/>
  <c r="N16" i="17" s="1"/>
  <c r="AA16" i="17" s="1"/>
  <c r="U16" i="17"/>
  <c r="R16" i="17"/>
  <c r="O16" i="17"/>
  <c r="B16" i="17"/>
  <c r="AS15" i="17"/>
  <c r="F15" i="17"/>
  <c r="AR15" i="17"/>
  <c r="AO15" i="17"/>
  <c r="AN15" i="17"/>
  <c r="Y15" i="17"/>
  <c r="E15" i="17" s="1"/>
  <c r="AB15" i="17"/>
  <c r="A15" i="17"/>
  <c r="N15" i="17"/>
  <c r="AA15" i="17" s="1"/>
  <c r="U15" i="17"/>
  <c r="O15" i="17"/>
  <c r="B15" i="17"/>
  <c r="AT14" i="17"/>
  <c r="AS14" i="17"/>
  <c r="AP14" i="17"/>
  <c r="AO14" i="17"/>
  <c r="Y14" i="17"/>
  <c r="E14" i="17"/>
  <c r="AM14" i="17" s="1"/>
  <c r="AE14" i="17"/>
  <c r="AD14" i="17"/>
  <c r="AC14" i="17"/>
  <c r="AB14" i="17" s="1"/>
  <c r="A14" i="17"/>
  <c r="N14" i="17" s="1"/>
  <c r="AA14" i="17" s="1"/>
  <c r="U14" i="17"/>
  <c r="Q14" i="17"/>
  <c r="O14" i="17"/>
  <c r="B14" i="17"/>
  <c r="AT13" i="17"/>
  <c r="AP13" i="17"/>
  <c r="AO13" i="17"/>
  <c r="Y13" i="17"/>
  <c r="E13" i="17"/>
  <c r="R13" i="17" s="1"/>
  <c r="AE13" i="17"/>
  <c r="A13" i="17"/>
  <c r="N13" i="17"/>
  <c r="AA13" i="17" s="1"/>
  <c r="U13" i="17"/>
  <c r="Q13" i="17"/>
  <c r="U5" i="17" s="1"/>
  <c r="O13" i="17"/>
  <c r="B13" i="17"/>
  <c r="AS12" i="17"/>
  <c r="AO12" i="17"/>
  <c r="Y12" i="17"/>
  <c r="E12" i="17" s="1"/>
  <c r="AE12" i="17"/>
  <c r="A12" i="17"/>
  <c r="N12" i="17"/>
  <c r="AA12" i="17" s="1"/>
  <c r="V12" i="17"/>
  <c r="U12" i="17"/>
  <c r="Q12" i="17"/>
  <c r="B12" i="17"/>
  <c r="AS11" i="17"/>
  <c r="F11" i="17"/>
  <c r="AR11" i="17"/>
  <c r="AO11" i="17"/>
  <c r="AN11" i="17"/>
  <c r="Y11" i="17"/>
  <c r="AE11" i="17" s="1"/>
  <c r="A11" i="17"/>
  <c r="N11" i="17" s="1"/>
  <c r="AA11" i="17" s="1"/>
  <c r="U11" i="17"/>
  <c r="Q11" i="17"/>
  <c r="AS10" i="17"/>
  <c r="F10" i="17"/>
  <c r="AR10" i="17" s="1"/>
  <c r="AO10" i="17"/>
  <c r="AN10" i="17"/>
  <c r="Y10" i="17"/>
  <c r="E10" i="17"/>
  <c r="R10" i="17" s="1"/>
  <c r="AE10" i="17"/>
  <c r="A10" i="17"/>
  <c r="N10" i="17"/>
  <c r="AA10" i="17" s="1"/>
  <c r="U10" i="17"/>
  <c r="Q10" i="17"/>
  <c r="U4" i="17" s="1"/>
  <c r="B10" i="17"/>
  <c r="F9" i="17"/>
  <c r="AR9" i="17"/>
  <c r="AO9" i="17"/>
  <c r="Y9" i="17"/>
  <c r="E9" i="17" s="1"/>
  <c r="AE9" i="17"/>
  <c r="A9" i="17"/>
  <c r="N9" i="17"/>
  <c r="AA9" i="17" s="1"/>
  <c r="W9" i="17"/>
  <c r="U9" i="17"/>
  <c r="Q9" i="17"/>
  <c r="O9" i="17"/>
  <c r="F6" i="17"/>
  <c r="F7" i="17"/>
  <c r="F8" i="17"/>
  <c r="J9" i="17"/>
  <c r="B9" i="17"/>
  <c r="AS8" i="17"/>
  <c r="AR8" i="17"/>
  <c r="AO8" i="17"/>
  <c r="AN8" i="17"/>
  <c r="Y8" i="17"/>
  <c r="E8" i="17" s="1"/>
  <c r="A8" i="17"/>
  <c r="N8" i="17" s="1"/>
  <c r="AA8" i="17" s="1"/>
  <c r="U8" i="17"/>
  <c r="Q8" i="17"/>
  <c r="AR7" i="17"/>
  <c r="AO7" i="17"/>
  <c r="Y7" i="17"/>
  <c r="E7" i="17" s="1"/>
  <c r="AE7" i="17"/>
  <c r="A7" i="17"/>
  <c r="N7" i="17"/>
  <c r="AA7" i="17" s="1"/>
  <c r="U7" i="17"/>
  <c r="Q7" i="17"/>
  <c r="B7" i="17"/>
  <c r="AS6" i="17"/>
  <c r="AR6" i="17"/>
  <c r="AO6" i="17"/>
  <c r="AN6" i="17"/>
  <c r="Y6" i="17"/>
  <c r="E6" i="17"/>
  <c r="AM6" i="17" s="1"/>
  <c r="AE6" i="17"/>
  <c r="A6" i="17"/>
  <c r="N6" i="17"/>
  <c r="AA6" i="17" s="1"/>
  <c r="U6" i="17"/>
  <c r="AT5" i="17"/>
  <c r="AP5" i="17"/>
  <c r="Y5" i="17"/>
  <c r="E5" i="17" s="1"/>
  <c r="AE5" i="17"/>
  <c r="A5" i="17"/>
  <c r="N5" i="17"/>
  <c r="AA5" i="17" s="1"/>
  <c r="W5" i="17"/>
  <c r="AT4" i="17"/>
  <c r="AP4" i="17"/>
  <c r="Y4" i="17"/>
  <c r="E4" i="17" s="1"/>
  <c r="A4" i="17"/>
  <c r="N4" i="17" s="1"/>
  <c r="AA4" i="17" s="1"/>
  <c r="AT3" i="17"/>
  <c r="AS3" i="17"/>
  <c r="AP3" i="17"/>
  <c r="AO3" i="17"/>
  <c r="Y3" i="17"/>
  <c r="E3" i="17"/>
  <c r="AM3" i="17" s="1"/>
  <c r="AE3" i="17"/>
  <c r="A3" i="17"/>
  <c r="N3" i="17" s="1"/>
  <c r="AA3" i="17" s="1"/>
  <c r="R3" i="17"/>
  <c r="AM2" i="17"/>
  <c r="N2" i="17"/>
  <c r="AA2" i="17" s="1"/>
  <c r="T2" i="17"/>
  <c r="R2" i="17"/>
  <c r="G79" i="20"/>
  <c r="C79" i="20"/>
  <c r="B79" i="20"/>
  <c r="A79" i="20"/>
  <c r="G78" i="20"/>
  <c r="C78" i="20"/>
  <c r="B78" i="20"/>
  <c r="A78" i="20"/>
  <c r="G77" i="20"/>
  <c r="F77" i="20"/>
  <c r="E77" i="20"/>
  <c r="A77" i="20"/>
  <c r="G76" i="20"/>
  <c r="F76" i="20"/>
  <c r="E76" i="20"/>
  <c r="C76" i="20"/>
  <c r="B76" i="20"/>
  <c r="A76" i="20"/>
  <c r="G75" i="20"/>
  <c r="F75" i="20"/>
  <c r="E75" i="20"/>
  <c r="A75" i="20"/>
  <c r="G74" i="20"/>
  <c r="C74" i="20"/>
  <c r="B74" i="20"/>
  <c r="A74" i="20"/>
  <c r="G73" i="20"/>
  <c r="F73" i="20"/>
  <c r="E73" i="20"/>
  <c r="C73" i="20"/>
  <c r="B73" i="20"/>
  <c r="A73" i="20"/>
  <c r="G72" i="20"/>
  <c r="C72" i="20"/>
  <c r="B72" i="20"/>
  <c r="A72" i="20"/>
  <c r="G71" i="20"/>
  <c r="F71" i="20"/>
  <c r="E71" i="20"/>
  <c r="A71" i="20"/>
  <c r="G70" i="20"/>
  <c r="C70" i="20"/>
  <c r="B70" i="20"/>
  <c r="A70" i="20"/>
  <c r="G69" i="20"/>
  <c r="F69" i="20"/>
  <c r="E69" i="20"/>
  <c r="D69" i="20"/>
  <c r="A69" i="20"/>
  <c r="G68" i="20"/>
  <c r="F68" i="20"/>
  <c r="E68" i="20"/>
  <c r="C68" i="20"/>
  <c r="B68" i="20"/>
  <c r="A68" i="20"/>
  <c r="G67" i="20"/>
  <c r="F67" i="20"/>
  <c r="E67" i="20"/>
  <c r="A67" i="20"/>
  <c r="G66" i="20"/>
  <c r="C66" i="20"/>
  <c r="B66" i="20"/>
  <c r="A66" i="20"/>
  <c r="G65" i="20"/>
  <c r="F65" i="20"/>
  <c r="E65" i="20"/>
  <c r="C65" i="20"/>
  <c r="B65" i="20"/>
  <c r="A65" i="20"/>
  <c r="G64" i="20"/>
  <c r="F64" i="20"/>
  <c r="E64" i="20"/>
  <c r="C64" i="20"/>
  <c r="B64" i="20"/>
  <c r="A64" i="20"/>
  <c r="G63" i="20"/>
  <c r="F63" i="20"/>
  <c r="E63" i="20"/>
  <c r="A63" i="20"/>
  <c r="G62" i="20"/>
  <c r="F62" i="20"/>
  <c r="E62" i="20"/>
  <c r="C62" i="20"/>
  <c r="B62" i="20"/>
  <c r="A62" i="20"/>
  <c r="G61" i="20"/>
  <c r="A61" i="20"/>
  <c r="G60" i="20"/>
  <c r="F60" i="20"/>
  <c r="E60" i="20"/>
  <c r="C60" i="20"/>
  <c r="B60" i="20"/>
  <c r="A60" i="20"/>
  <c r="G59" i="20"/>
  <c r="F59" i="20"/>
  <c r="E59" i="20"/>
  <c r="A59" i="20"/>
  <c r="G58" i="20"/>
  <c r="F58" i="20"/>
  <c r="E58" i="20"/>
  <c r="C58" i="20"/>
  <c r="B58" i="20"/>
  <c r="A58" i="20"/>
  <c r="G57" i="20"/>
  <c r="C57" i="20"/>
  <c r="B57" i="20"/>
  <c r="A57" i="20"/>
  <c r="G56" i="20"/>
  <c r="F56" i="20"/>
  <c r="E56" i="20"/>
  <c r="C56" i="20"/>
  <c r="B56" i="20"/>
  <c r="A56" i="20"/>
  <c r="G55" i="20"/>
  <c r="C55" i="20"/>
  <c r="B55" i="20"/>
  <c r="A55" i="20"/>
  <c r="G54" i="20"/>
  <c r="F54" i="20"/>
  <c r="E54" i="20"/>
  <c r="C54" i="20"/>
  <c r="B54" i="20"/>
  <c r="A54" i="20"/>
  <c r="G53" i="20"/>
  <c r="F53" i="20"/>
  <c r="E53" i="20"/>
  <c r="C53" i="20"/>
  <c r="B53" i="20"/>
  <c r="A53" i="20"/>
  <c r="F52" i="20"/>
  <c r="E52" i="20"/>
  <c r="C52" i="20"/>
  <c r="B52" i="20"/>
  <c r="A52" i="20"/>
  <c r="G51" i="20"/>
  <c r="F51" i="20"/>
  <c r="E51" i="20"/>
  <c r="A51" i="20"/>
  <c r="G50" i="20"/>
  <c r="F50" i="20"/>
  <c r="E50" i="20"/>
  <c r="A50" i="20"/>
  <c r="G49" i="20"/>
  <c r="F49" i="20"/>
  <c r="E49" i="20"/>
  <c r="A49" i="20"/>
  <c r="G48" i="20"/>
  <c r="F48" i="20"/>
  <c r="E48" i="20"/>
  <c r="A48" i="20"/>
  <c r="G47" i="20"/>
  <c r="F47" i="20"/>
  <c r="E47" i="20"/>
  <c r="A47" i="20"/>
  <c r="G46" i="20"/>
  <c r="F46" i="20"/>
  <c r="E46" i="20"/>
  <c r="A46" i="20"/>
  <c r="F45" i="20"/>
  <c r="E45" i="20"/>
  <c r="D45" i="20"/>
  <c r="A45" i="20"/>
  <c r="G44" i="20"/>
  <c r="F44" i="20"/>
  <c r="E44" i="20"/>
  <c r="A44" i="20"/>
  <c r="G43" i="20"/>
  <c r="F43" i="20"/>
  <c r="E43" i="20"/>
  <c r="A43" i="20"/>
  <c r="G42" i="20"/>
  <c r="F42" i="20"/>
  <c r="E42" i="20"/>
  <c r="A42" i="20"/>
  <c r="G41" i="20"/>
  <c r="A41" i="20"/>
  <c r="G40" i="20"/>
  <c r="A40" i="20"/>
  <c r="F39" i="20"/>
  <c r="E39" i="20"/>
  <c r="C39" i="20"/>
  <c r="B39" i="20"/>
  <c r="A39" i="20"/>
  <c r="G38" i="20"/>
  <c r="C38" i="20"/>
  <c r="B38" i="20"/>
  <c r="A38" i="20"/>
  <c r="G37" i="20"/>
  <c r="C37" i="20"/>
  <c r="B37" i="20"/>
  <c r="A37" i="20"/>
  <c r="F36" i="20"/>
  <c r="E36" i="20"/>
  <c r="C36" i="20"/>
  <c r="B36" i="20"/>
  <c r="A36" i="20"/>
  <c r="G35" i="20"/>
  <c r="C35" i="20"/>
  <c r="B35" i="20"/>
  <c r="A35" i="20"/>
  <c r="G34" i="20"/>
  <c r="E34" i="20"/>
  <c r="C34" i="20"/>
  <c r="B34" i="20"/>
  <c r="A34" i="20"/>
  <c r="C33" i="20"/>
  <c r="B33" i="20"/>
  <c r="A33" i="20"/>
  <c r="G32" i="20"/>
  <c r="B32" i="20"/>
  <c r="A32" i="20"/>
  <c r="G31" i="20"/>
  <c r="E31" i="20"/>
  <c r="C31" i="20"/>
  <c r="B31" i="20"/>
  <c r="A31" i="20"/>
  <c r="G30" i="20"/>
  <c r="C30" i="20"/>
  <c r="B30" i="20"/>
  <c r="A30" i="20"/>
  <c r="G29" i="20"/>
  <c r="C29" i="20"/>
  <c r="B29" i="20"/>
  <c r="A29" i="20"/>
  <c r="E28" i="20"/>
  <c r="B28" i="20"/>
  <c r="G27" i="20"/>
  <c r="E27" i="20"/>
  <c r="C27" i="20"/>
  <c r="B27" i="20"/>
  <c r="A27" i="20"/>
  <c r="G26" i="20"/>
  <c r="E26" i="20"/>
  <c r="C26" i="20"/>
  <c r="B26" i="20"/>
  <c r="G25" i="20"/>
  <c r="C25" i="20"/>
  <c r="B25" i="20"/>
  <c r="A25" i="20"/>
  <c r="G24" i="20"/>
  <c r="E24" i="20"/>
  <c r="C24" i="20"/>
  <c r="B24" i="20"/>
  <c r="A24" i="20"/>
  <c r="G23" i="20"/>
  <c r="E23" i="20"/>
  <c r="C23" i="20"/>
  <c r="B23" i="20"/>
  <c r="A23" i="20"/>
  <c r="H22" i="20"/>
  <c r="G22" i="20"/>
  <c r="C22" i="20"/>
  <c r="B22" i="20"/>
  <c r="A22" i="20"/>
  <c r="H21" i="20"/>
  <c r="G21" i="20"/>
  <c r="E21" i="20"/>
  <c r="C21" i="20"/>
  <c r="B21" i="20"/>
  <c r="A21" i="20"/>
  <c r="H20" i="20"/>
  <c r="G20" i="20"/>
  <c r="B20" i="20"/>
  <c r="A20" i="20"/>
  <c r="H19" i="20"/>
  <c r="G19" i="20"/>
  <c r="E19" i="20"/>
  <c r="C19" i="20"/>
  <c r="B19" i="20"/>
  <c r="A19" i="20"/>
  <c r="K18" i="20"/>
  <c r="H18" i="20"/>
  <c r="G18" i="20"/>
  <c r="C18" i="20"/>
  <c r="B18" i="20"/>
  <c r="H17" i="20"/>
  <c r="G17" i="20"/>
  <c r="E17" i="20"/>
  <c r="C17" i="20"/>
  <c r="B17" i="20"/>
  <c r="A17" i="20"/>
  <c r="H16" i="20"/>
  <c r="G16" i="20"/>
  <c r="E16" i="20"/>
  <c r="A16" i="20"/>
  <c r="H15" i="20"/>
  <c r="G15" i="20"/>
  <c r="E15" i="20"/>
  <c r="A15" i="20"/>
  <c r="K14" i="20"/>
  <c r="H14" i="20"/>
  <c r="G14" i="20"/>
  <c r="E14" i="20"/>
  <c r="A14" i="20"/>
  <c r="K13" i="20"/>
  <c r="I13" i="20"/>
  <c r="H13" i="20"/>
  <c r="A13" i="20"/>
  <c r="I12" i="20"/>
  <c r="H12" i="20"/>
  <c r="I11" i="20"/>
  <c r="H11" i="20"/>
  <c r="A11" i="20"/>
  <c r="H10" i="20"/>
  <c r="A10" i="20"/>
  <c r="H9" i="20"/>
  <c r="A9" i="20"/>
  <c r="H8" i="20"/>
  <c r="A8" i="20"/>
  <c r="H7" i="20"/>
  <c r="A7" i="20"/>
  <c r="H6" i="20"/>
  <c r="A6" i="20"/>
  <c r="H5" i="20"/>
  <c r="A5" i="20"/>
  <c r="H4" i="20"/>
  <c r="A4" i="20"/>
  <c r="A3" i="20"/>
  <c r="G79" i="3"/>
  <c r="G78" i="3"/>
  <c r="K77" i="3"/>
  <c r="G77" i="3"/>
  <c r="G75" i="3"/>
  <c r="G74" i="3"/>
  <c r="G73" i="3"/>
  <c r="K72" i="3"/>
  <c r="G71" i="3"/>
  <c r="G70" i="3"/>
  <c r="G69" i="3"/>
  <c r="K68" i="3"/>
  <c r="G67" i="3"/>
  <c r="G66" i="3"/>
  <c r="G65" i="3"/>
  <c r="K64" i="3"/>
  <c r="G63" i="3"/>
  <c r="G62" i="3"/>
  <c r="G61" i="3"/>
  <c r="K60" i="3"/>
  <c r="G59" i="3"/>
  <c r="G58" i="3"/>
  <c r="G57" i="3"/>
  <c r="K56" i="3"/>
  <c r="G55" i="3"/>
  <c r="G54" i="3"/>
  <c r="G53" i="3"/>
  <c r="K52" i="3"/>
  <c r="G51" i="3"/>
  <c r="G50" i="3"/>
  <c r="G49" i="3"/>
  <c r="K48" i="3"/>
  <c r="G47" i="3"/>
  <c r="G46" i="3"/>
  <c r="G45" i="3"/>
  <c r="K44" i="3"/>
  <c r="G43" i="3"/>
  <c r="G42" i="3"/>
  <c r="G41" i="3"/>
  <c r="K40" i="3"/>
  <c r="G39" i="3"/>
  <c r="G38" i="3"/>
  <c r="G37" i="3"/>
  <c r="K36" i="3"/>
  <c r="G35" i="3"/>
  <c r="G34" i="3"/>
  <c r="G33" i="3"/>
  <c r="K32" i="3"/>
  <c r="G31" i="3"/>
  <c r="G30" i="3"/>
  <c r="G29" i="3"/>
  <c r="K28" i="3"/>
  <c r="G27" i="3"/>
  <c r="G26" i="3"/>
  <c r="G25" i="3"/>
  <c r="K24" i="3"/>
  <c r="G23" i="3"/>
  <c r="G22" i="3"/>
  <c r="G21" i="3"/>
  <c r="K20" i="3"/>
  <c r="G19" i="3"/>
  <c r="G18" i="3"/>
  <c r="G17" i="3"/>
  <c r="K16" i="3"/>
  <c r="G15" i="3"/>
  <c r="G14" i="3"/>
  <c r="G13" i="3"/>
  <c r="K12" i="3"/>
  <c r="G11" i="3"/>
  <c r="G10" i="3"/>
  <c r="G9" i="3"/>
  <c r="M81"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O39" i="4"/>
  <c r="P39" i="4"/>
  <c r="B40" i="21" s="1"/>
  <c r="O40" i="4"/>
  <c r="P40" i="4" s="1"/>
  <c r="B41" i="21" s="1"/>
  <c r="O41" i="4"/>
  <c r="P41" i="4"/>
  <c r="B42" i="21" s="1"/>
  <c r="O42" i="4"/>
  <c r="P42" i="4" s="1"/>
  <c r="B43" i="21" s="1"/>
  <c r="O43" i="4"/>
  <c r="P43" i="4"/>
  <c r="B44" i="21" s="1"/>
  <c r="O44" i="4"/>
  <c r="P44" i="4" s="1"/>
  <c r="O45" i="4"/>
  <c r="P45" i="4"/>
  <c r="B46" i="21" s="1"/>
  <c r="O46" i="4"/>
  <c r="P46" i="4" s="1"/>
  <c r="B47" i="21" s="1"/>
  <c r="O47" i="4"/>
  <c r="P47" i="4"/>
  <c r="B48" i="21" s="1"/>
  <c r="O48" i="4"/>
  <c r="P48" i="4" s="1"/>
  <c r="O49" i="4"/>
  <c r="P49" i="4"/>
  <c r="B50" i="21" s="1"/>
  <c r="O50" i="4"/>
  <c r="P50" i="4" s="1"/>
  <c r="B51" i="21" s="1"/>
  <c r="O51" i="4"/>
  <c r="P51" i="4"/>
  <c r="B52" i="21" s="1"/>
  <c r="O52" i="4"/>
  <c r="P52" i="4" s="1"/>
  <c r="O53" i="4"/>
  <c r="P53" i="4"/>
  <c r="B54" i="21" s="1"/>
  <c r="O54" i="4"/>
  <c r="P54" i="4" s="1"/>
  <c r="B55" i="21" s="1"/>
  <c r="O55" i="4"/>
  <c r="P55" i="4"/>
  <c r="B56" i="21" s="1"/>
  <c r="O56" i="4"/>
  <c r="P56" i="4" s="1"/>
  <c r="B57" i="21" s="1"/>
  <c r="O57" i="4"/>
  <c r="P57" i="4"/>
  <c r="B58" i="21" s="1"/>
  <c r="O58" i="4"/>
  <c r="P58" i="4" s="1"/>
  <c r="B59" i="21" s="1"/>
  <c r="O59" i="4"/>
  <c r="P59" i="4"/>
  <c r="B60" i="21" s="1"/>
  <c r="O60" i="4"/>
  <c r="P60" i="4" s="1"/>
  <c r="O61" i="4"/>
  <c r="P61" i="4"/>
  <c r="B62" i="21" s="1"/>
  <c r="O62" i="4"/>
  <c r="P62" i="4" s="1"/>
  <c r="B63" i="21" s="1"/>
  <c r="O63" i="4"/>
  <c r="P63" i="4"/>
  <c r="B64" i="21" s="1"/>
  <c r="O64" i="4"/>
  <c r="P64" i="4" s="1"/>
  <c r="O65" i="4"/>
  <c r="P65" i="4"/>
  <c r="B66" i="21" s="1"/>
  <c r="O66" i="4"/>
  <c r="P66" i="4" s="1"/>
  <c r="B67" i="21" s="1"/>
  <c r="O67" i="4"/>
  <c r="P67" i="4"/>
  <c r="B68" i="21" s="1"/>
  <c r="O68" i="4"/>
  <c r="P68" i="4" s="1"/>
  <c r="O69" i="4"/>
  <c r="P69" i="4"/>
  <c r="B70" i="21" s="1"/>
  <c r="O70" i="4"/>
  <c r="P70" i="4" s="1"/>
  <c r="B71" i="21" s="1"/>
  <c r="O71" i="4"/>
  <c r="P71" i="4"/>
  <c r="B72" i="21" s="1"/>
  <c r="O72" i="4"/>
  <c r="P72" i="4" s="1"/>
  <c r="B73" i="21" s="1"/>
  <c r="O73" i="4"/>
  <c r="P73" i="4"/>
  <c r="B74" i="21" s="1"/>
  <c r="O74" i="4"/>
  <c r="P74" i="4" s="1"/>
  <c r="B75" i="21" s="1"/>
  <c r="O75" i="4"/>
  <c r="P75" i="4"/>
  <c r="B76" i="21" s="1"/>
  <c r="O76" i="4"/>
  <c r="P76" i="4" s="1"/>
  <c r="O77" i="4"/>
  <c r="P77" i="4"/>
  <c r="B78" i="21" s="1"/>
  <c r="O78" i="4"/>
  <c r="P78" i="4" s="1"/>
  <c r="B79" i="21" s="1"/>
  <c r="M80" i="21"/>
  <c r="A79" i="21"/>
  <c r="L79" i="21"/>
  <c r="T79" i="21" s="1"/>
  <c r="A78" i="21"/>
  <c r="L78" i="21" s="1"/>
  <c r="T78" i="21" s="1"/>
  <c r="A77" i="21"/>
  <c r="L77" i="21"/>
  <c r="T77" i="21" s="1"/>
  <c r="A76" i="21"/>
  <c r="L76" i="21" s="1"/>
  <c r="T76" i="21" s="1"/>
  <c r="A75" i="21"/>
  <c r="L75" i="21"/>
  <c r="T75" i="21" s="1"/>
  <c r="A74" i="21"/>
  <c r="L74" i="21" s="1"/>
  <c r="T74" i="21" s="1"/>
  <c r="A73" i="21"/>
  <c r="L73" i="21"/>
  <c r="T73" i="21" s="1"/>
  <c r="A72" i="21"/>
  <c r="L72" i="21" s="1"/>
  <c r="T72" i="21" s="1"/>
  <c r="A71" i="21"/>
  <c r="L71" i="21"/>
  <c r="T71" i="21" s="1"/>
  <c r="A70" i="21"/>
  <c r="L70" i="21" s="1"/>
  <c r="T70" i="21" s="1"/>
  <c r="A69" i="21"/>
  <c r="L69" i="21"/>
  <c r="T69" i="21" s="1"/>
  <c r="A68" i="21"/>
  <c r="L68" i="21" s="1"/>
  <c r="T68" i="21" s="1"/>
  <c r="A67" i="21"/>
  <c r="L67" i="21"/>
  <c r="T67" i="21" s="1"/>
  <c r="A66" i="21"/>
  <c r="L66" i="21" s="1"/>
  <c r="T66" i="21"/>
  <c r="A65" i="21"/>
  <c r="L65" i="21"/>
  <c r="T65" i="21" s="1"/>
  <c r="A64" i="21"/>
  <c r="L64" i="21" s="1"/>
  <c r="T64" i="21" s="1"/>
  <c r="A63" i="21"/>
  <c r="L63" i="21"/>
  <c r="T63" i="21" s="1"/>
  <c r="A62" i="21"/>
  <c r="L62" i="21" s="1"/>
  <c r="T62" i="21" s="1"/>
  <c r="A61" i="21"/>
  <c r="L61" i="21"/>
  <c r="T61" i="21" s="1"/>
  <c r="A60" i="21"/>
  <c r="L60" i="21" s="1"/>
  <c r="T60" i="21" s="1"/>
  <c r="A59" i="21"/>
  <c r="L59" i="21"/>
  <c r="T59" i="21" s="1"/>
  <c r="A58" i="21"/>
  <c r="L58" i="21" s="1"/>
  <c r="T58" i="21" s="1"/>
  <c r="A57" i="21"/>
  <c r="L57" i="21"/>
  <c r="T57" i="21" s="1"/>
  <c r="A56" i="21"/>
  <c r="L56" i="21" s="1"/>
  <c r="T56" i="21" s="1"/>
  <c r="A55" i="21"/>
  <c r="L55" i="21"/>
  <c r="T55" i="21" s="1"/>
  <c r="A54" i="21"/>
  <c r="L54" i="21" s="1"/>
  <c r="T54" i="21"/>
  <c r="A53" i="21"/>
  <c r="L53" i="21"/>
  <c r="T53" i="21" s="1"/>
  <c r="A52" i="21"/>
  <c r="L52" i="21" s="1"/>
  <c r="T52" i="21" s="1"/>
  <c r="A51" i="21"/>
  <c r="L51" i="21"/>
  <c r="T51" i="21" s="1"/>
  <c r="A50" i="21"/>
  <c r="L50" i="21" s="1"/>
  <c r="T50" i="21"/>
  <c r="A49" i="21"/>
  <c r="L49" i="21"/>
  <c r="T49" i="21" s="1"/>
  <c r="A48" i="21"/>
  <c r="L48" i="21" s="1"/>
  <c r="T48" i="21" s="1"/>
  <c r="A47" i="21"/>
  <c r="L47" i="21"/>
  <c r="T47" i="21" s="1"/>
  <c r="A46" i="21"/>
  <c r="L46" i="21" s="1"/>
  <c r="T46" i="21" s="1"/>
  <c r="A45" i="21"/>
  <c r="L45" i="21"/>
  <c r="T45" i="21" s="1"/>
  <c r="A44" i="21"/>
  <c r="L44" i="21" s="1"/>
  <c r="T44" i="21" s="1"/>
  <c r="A43" i="21"/>
  <c r="L43" i="21"/>
  <c r="T43" i="21" s="1"/>
  <c r="A42" i="21"/>
  <c r="L42" i="21" s="1"/>
  <c r="T42" i="21" s="1"/>
  <c r="A41" i="21"/>
  <c r="L41" i="21"/>
  <c r="T41" i="21" s="1"/>
  <c r="A40" i="21"/>
  <c r="L40" i="21" s="1"/>
  <c r="T40" i="21" s="1"/>
  <c r="A39" i="21"/>
  <c r="L39" i="21"/>
  <c r="T39" i="21" s="1"/>
  <c r="A38" i="21"/>
  <c r="L38" i="21" s="1"/>
  <c r="T38" i="21"/>
  <c r="A37" i="21"/>
  <c r="L37" i="21"/>
  <c r="T37" i="21" s="1"/>
  <c r="A36" i="21"/>
  <c r="L36" i="21" s="1"/>
  <c r="T36" i="21" s="1"/>
  <c r="A35" i="21"/>
  <c r="L35" i="21"/>
  <c r="T35" i="21" s="1"/>
  <c r="A34" i="21"/>
  <c r="L34" i="21" s="1"/>
  <c r="T34" i="21"/>
  <c r="A33" i="21"/>
  <c r="L33" i="21"/>
  <c r="T33" i="21" s="1"/>
  <c r="A32" i="21"/>
  <c r="L32" i="21" s="1"/>
  <c r="T32" i="21" s="1"/>
  <c r="A31" i="21"/>
  <c r="L31" i="21"/>
  <c r="T31" i="21" s="1"/>
  <c r="A30" i="21"/>
  <c r="L30" i="21" s="1"/>
  <c r="T30" i="21" s="1"/>
  <c r="A29" i="21"/>
  <c r="L29" i="21"/>
  <c r="T29" i="21" s="1"/>
  <c r="A28" i="21"/>
  <c r="L28" i="21" s="1"/>
  <c r="T28" i="21" s="1"/>
  <c r="A27" i="21"/>
  <c r="L27" i="21"/>
  <c r="T27" i="21" s="1"/>
  <c r="A26" i="21"/>
  <c r="L26" i="21" s="1"/>
  <c r="T26" i="21" s="1"/>
  <c r="A25" i="21"/>
  <c r="L25" i="21"/>
  <c r="T25" i="21" s="1"/>
  <c r="CI47" i="9"/>
  <c r="CJ14" i="9"/>
  <c r="AB15" i="21" s="1"/>
  <c r="CI51" i="9"/>
  <c r="CJ15" i="9" s="1"/>
  <c r="AB16" i="21" s="1"/>
  <c r="CY48" i="9"/>
  <c r="DC15" i="9"/>
  <c r="Y16" i="21" s="1"/>
  <c r="CY52" i="9"/>
  <c r="DC16" i="9" s="1"/>
  <c r="Y17" i="21"/>
  <c r="S8" i="7"/>
  <c r="DD8" i="9" s="1"/>
  <c r="X9" i="21" s="1"/>
  <c r="CM8" i="9"/>
  <c r="CM7" i="9"/>
  <c r="CL8" i="9" s="1"/>
  <c r="S9" i="7"/>
  <c r="DD9" i="9" s="1"/>
  <c r="X10" i="21" s="1"/>
  <c r="CM9" i="9"/>
  <c r="CL9" i="9"/>
  <c r="S10" i="7"/>
  <c r="CM10" i="9"/>
  <c r="S11" i="7"/>
  <c r="CM11" i="9"/>
  <c r="S12" i="7"/>
  <c r="CM12" i="9"/>
  <c r="CL12" i="9" s="1"/>
  <c r="DD12" i="9" s="1"/>
  <c r="X13" i="21" s="1"/>
  <c r="S13" i="7"/>
  <c r="CM13" i="9"/>
  <c r="CL13" i="9"/>
  <c r="S14" i="7"/>
  <c r="CM14" i="9"/>
  <c r="S15" i="7"/>
  <c r="CM15" i="9"/>
  <c r="S16" i="7"/>
  <c r="CM16" i="9"/>
  <c r="CL16" i="9" s="1"/>
  <c r="DD16" i="9" s="1"/>
  <c r="X17" i="21" s="1"/>
  <c r="S17" i="7"/>
  <c r="CM17" i="9"/>
  <c r="CL17" i="9"/>
  <c r="S18" i="7"/>
  <c r="CM18" i="9"/>
  <c r="S19" i="7"/>
  <c r="CM19" i="9"/>
  <c r="S20" i="7"/>
  <c r="CM20" i="9"/>
  <c r="CL20" i="9" s="1"/>
  <c r="DD20" i="9"/>
  <c r="X21" i="21" s="1"/>
  <c r="S21" i="7"/>
  <c r="DD21" i="9" s="1"/>
  <c r="X22" i="21" s="1"/>
  <c r="CM21" i="9"/>
  <c r="CL21" i="9"/>
  <c r="S22" i="7"/>
  <c r="CM22" i="9"/>
  <c r="CL22" i="9" s="1"/>
  <c r="DD22" i="9" s="1"/>
  <c r="X23" i="21" s="1"/>
  <c r="A24" i="21"/>
  <c r="L24" i="21"/>
  <c r="T24" i="21" s="1"/>
  <c r="Q42" i="4"/>
  <c r="S12" i="4" s="1"/>
  <c r="H14" i="21" s="1"/>
  <c r="Q58" i="4"/>
  <c r="S16" i="4" s="1"/>
  <c r="H18" i="21" s="1"/>
  <c r="Q74" i="4"/>
  <c r="S20" i="4" s="1"/>
  <c r="H22" i="21" s="1"/>
  <c r="CK22" i="9"/>
  <c r="W23" i="21"/>
  <c r="A23" i="21"/>
  <c r="L23" i="21"/>
  <c r="T23" i="21" s="1"/>
  <c r="F27" i="2"/>
  <c r="R23" i="21" s="1"/>
  <c r="O23" i="21"/>
  <c r="X75" i="4"/>
  <c r="X74" i="4"/>
  <c r="X76" i="4"/>
  <c r="AB76" i="4"/>
  <c r="AC76" i="4" s="1"/>
  <c r="X77" i="4"/>
  <c r="AB77" i="4" s="1"/>
  <c r="AC77" i="4"/>
  <c r="X78" i="4"/>
  <c r="AB78" i="4"/>
  <c r="AC78" i="4" s="1"/>
  <c r="CK21" i="9"/>
  <c r="W22" i="21"/>
  <c r="A22" i="21"/>
  <c r="L22" i="21"/>
  <c r="T22" i="21" s="1"/>
  <c r="F26" i="2"/>
  <c r="R22" i="21" s="1"/>
  <c r="AU22" i="9"/>
  <c r="F22" i="21" s="1"/>
  <c r="O22" i="21" s="1"/>
  <c r="X71" i="4"/>
  <c r="AB71" i="4" s="1"/>
  <c r="X70" i="4"/>
  <c r="AC71" i="4"/>
  <c r="X72" i="4"/>
  <c r="AB72" i="4"/>
  <c r="AC72" i="4" s="1"/>
  <c r="X73" i="4"/>
  <c r="AB73" i="4" s="1"/>
  <c r="AC73" i="4" s="1"/>
  <c r="CK20" i="9"/>
  <c r="W21" i="21" s="1"/>
  <c r="A21" i="21"/>
  <c r="L21" i="21" s="1"/>
  <c r="T21" i="21"/>
  <c r="F25" i="2"/>
  <c r="R21" i="21"/>
  <c r="AU21" i="9"/>
  <c r="F21" i="21"/>
  <c r="O21" i="21" s="1"/>
  <c r="X67" i="4"/>
  <c r="X66" i="4"/>
  <c r="AB67" i="4"/>
  <c r="AC67" i="4" s="1"/>
  <c r="X68" i="4"/>
  <c r="AB68" i="4" s="1"/>
  <c r="AC68" i="4" s="1"/>
  <c r="X69" i="4"/>
  <c r="AB69" i="4"/>
  <c r="AC69" i="4" s="1"/>
  <c r="AB70" i="4"/>
  <c r="AC70" i="4" s="1"/>
  <c r="CK19" i="9"/>
  <c r="W20" i="21"/>
  <c r="A20" i="21"/>
  <c r="L20" i="21"/>
  <c r="T20" i="21" s="1"/>
  <c r="F24" i="2"/>
  <c r="R20" i="21" s="1"/>
  <c r="AU20" i="9"/>
  <c r="F20" i="21" s="1"/>
  <c r="O20" i="21" s="1"/>
  <c r="X63" i="4"/>
  <c r="AB63" i="4" s="1"/>
  <c r="AC63" i="4" s="1"/>
  <c r="X62" i="4"/>
  <c r="AB62" i="4" s="1"/>
  <c r="AC62" i="4" s="1"/>
  <c r="X64" i="4"/>
  <c r="AB64" i="4"/>
  <c r="AC64" i="4" s="1"/>
  <c r="X65" i="4"/>
  <c r="AB66" i="4" s="1"/>
  <c r="AC66" i="4" s="1"/>
  <c r="CK18" i="9"/>
  <c r="W19" i="21" s="1"/>
  <c r="A19" i="21"/>
  <c r="L19" i="21" s="1"/>
  <c r="T19" i="21" s="1"/>
  <c r="F23" i="2"/>
  <c r="R19" i="21"/>
  <c r="AU19" i="9"/>
  <c r="F19" i="21"/>
  <c r="O19" i="21" s="1"/>
  <c r="X59" i="4"/>
  <c r="AB59" i="4" s="1"/>
  <c r="AC59" i="4" s="1"/>
  <c r="X58" i="4"/>
  <c r="X60" i="4"/>
  <c r="X61" i="4"/>
  <c r="AB61" i="4"/>
  <c r="AC61" i="4" s="1"/>
  <c r="CK17" i="9"/>
  <c r="W18" i="21"/>
  <c r="A18" i="21"/>
  <c r="L18" i="21"/>
  <c r="T18" i="21" s="1"/>
  <c r="F22" i="2"/>
  <c r="R18" i="21" s="1"/>
  <c r="AU18" i="9"/>
  <c r="F18" i="21" s="1"/>
  <c r="O18" i="21" s="1"/>
  <c r="X55" i="4"/>
  <c r="AB55" i="4" s="1"/>
  <c r="X54" i="4"/>
  <c r="AC55" i="4"/>
  <c r="X56" i="4"/>
  <c r="AB56" i="4"/>
  <c r="AC56" i="4" s="1"/>
  <c r="X57" i="4"/>
  <c r="CK16" i="9"/>
  <c r="W17" i="21" s="1"/>
  <c r="A17" i="21"/>
  <c r="L17" i="21" s="1"/>
  <c r="T17" i="21"/>
  <c r="F21" i="2"/>
  <c r="R17" i="21"/>
  <c r="AU17" i="9"/>
  <c r="F17" i="21"/>
  <c r="O17" i="21" s="1"/>
  <c r="X51" i="4"/>
  <c r="X50" i="4"/>
  <c r="AB51" i="4"/>
  <c r="AC51" i="4" s="1"/>
  <c r="X52" i="4"/>
  <c r="AB52" i="4" s="1"/>
  <c r="AC52" i="4"/>
  <c r="X53" i="4"/>
  <c r="AB53" i="4"/>
  <c r="AC53" i="4" s="1"/>
  <c r="AB54" i="4"/>
  <c r="AC54" i="4" s="1"/>
  <c r="CK15" i="9"/>
  <c r="W16" i="21"/>
  <c r="A16" i="21"/>
  <c r="L16" i="21"/>
  <c r="T16" i="21" s="1"/>
  <c r="F20" i="2"/>
  <c r="R16" i="21" s="1"/>
  <c r="AU16" i="9"/>
  <c r="F16" i="21" s="1"/>
  <c r="O16" i="21" s="1"/>
  <c r="X47" i="4"/>
  <c r="X46" i="4"/>
  <c r="X48" i="4"/>
  <c r="X49" i="4"/>
  <c r="AB50" i="4" s="1"/>
  <c r="AC50" i="4" s="1"/>
  <c r="CK14" i="9"/>
  <c r="W15" i="21" s="1"/>
  <c r="A15" i="21"/>
  <c r="L15" i="21" s="1"/>
  <c r="T15" i="21" s="1"/>
  <c r="F19" i="2"/>
  <c r="R15" i="21"/>
  <c r="AU15" i="9"/>
  <c r="F15" i="21"/>
  <c r="O15" i="21" s="1"/>
  <c r="X43" i="4"/>
  <c r="X42" i="4"/>
  <c r="X44" i="4"/>
  <c r="X45" i="4"/>
  <c r="CK13" i="9"/>
  <c r="W14" i="21"/>
  <c r="A14" i="21"/>
  <c r="L14" i="21"/>
  <c r="T14" i="21" s="1"/>
  <c r="F18" i="2"/>
  <c r="R14" i="21" s="1"/>
  <c r="AU14" i="9"/>
  <c r="F14" i="21" s="1"/>
  <c r="O14" i="21"/>
  <c r="X39" i="4"/>
  <c r="X40" i="4"/>
  <c r="X41" i="4"/>
  <c r="CK12" i="9"/>
  <c r="W13" i="21"/>
  <c r="A13" i="21"/>
  <c r="L13" i="21"/>
  <c r="T13" i="21" s="1"/>
  <c r="F17" i="2"/>
  <c r="R13" i="21" s="1"/>
  <c r="AU13" i="9"/>
  <c r="F13" i="21" s="1"/>
  <c r="O13" i="21"/>
  <c r="AD38" i="4"/>
  <c r="AD37" i="4"/>
  <c r="AD36" i="4"/>
  <c r="AD35" i="4"/>
  <c r="B13" i="21"/>
  <c r="CK11" i="9"/>
  <c r="W12" i="21"/>
  <c r="A12" i="21"/>
  <c r="L12" i="21"/>
  <c r="T12" i="21" s="1"/>
  <c r="F16" i="2"/>
  <c r="R12" i="21" s="1"/>
  <c r="AU12" i="9"/>
  <c r="F12" i="21" s="1"/>
  <c r="O12" i="21" s="1"/>
  <c r="AD34" i="4"/>
  <c r="AD33" i="4"/>
  <c r="AE34" i="4" s="1"/>
  <c r="AD32" i="4"/>
  <c r="AD31" i="4"/>
  <c r="AH10" i="4"/>
  <c r="G12" i="21" s="1"/>
  <c r="B12" i="21"/>
  <c r="CK10" i="9"/>
  <c r="W11" i="21"/>
  <c r="A11" i="21"/>
  <c r="L11" i="21"/>
  <c r="T11" i="21" s="1"/>
  <c r="F15" i="2"/>
  <c r="R11" i="21" s="1"/>
  <c r="AU11" i="9"/>
  <c r="F11" i="21" s="1"/>
  <c r="O11" i="21"/>
  <c r="AD30" i="4"/>
  <c r="AD29" i="4"/>
  <c r="AD28" i="4"/>
  <c r="AD27" i="4"/>
  <c r="B11" i="21"/>
  <c r="CK9" i="9"/>
  <c r="W10" i="21"/>
  <c r="A10" i="21"/>
  <c r="L10" i="21"/>
  <c r="T10" i="21" s="1"/>
  <c r="F14" i="2"/>
  <c r="R10" i="21" s="1"/>
  <c r="AU10" i="9"/>
  <c r="F10" i="21" s="1"/>
  <c r="O10" i="21" s="1"/>
  <c r="AD26" i="4"/>
  <c r="AD25" i="4"/>
  <c r="AE26" i="4" s="1"/>
  <c r="AH8" i="4" s="1"/>
  <c r="G10" i="21" s="1"/>
  <c r="AD24" i="4"/>
  <c r="AD23" i="4"/>
  <c r="B10" i="21"/>
  <c r="CK8" i="9"/>
  <c r="W9" i="21"/>
  <c r="A9" i="21"/>
  <c r="L9" i="21"/>
  <c r="T9" i="21" s="1"/>
  <c r="F13" i="2"/>
  <c r="R9" i="21" s="1"/>
  <c r="AU9" i="9"/>
  <c r="F9" i="21" s="1"/>
  <c r="O9" i="21"/>
  <c r="AD22" i="4"/>
  <c r="AD21" i="4"/>
  <c r="AD20" i="4"/>
  <c r="AD19" i="4"/>
  <c r="B9" i="21"/>
  <c r="S7" i="7"/>
  <c r="CM6" i="9"/>
  <c r="CK7" i="9"/>
  <c r="W8" i="21" s="1"/>
  <c r="A8" i="21"/>
  <c r="L8" i="21" s="1"/>
  <c r="T8" i="21" s="1"/>
  <c r="F12" i="2"/>
  <c r="R8" i="21"/>
  <c r="AU8" i="9"/>
  <c r="F8" i="21"/>
  <c r="O8" i="21" s="1"/>
  <c r="AD18" i="4"/>
  <c r="AD17" i="4"/>
  <c r="AD16" i="4"/>
  <c r="AD15" i="4"/>
  <c r="AE18" i="4"/>
  <c r="AH6" i="4" s="1"/>
  <c r="G8" i="21" s="1"/>
  <c r="B8" i="21"/>
  <c r="S6" i="7"/>
  <c r="DD6" i="9" s="1"/>
  <c r="X7" i="21" s="1"/>
  <c r="CM5" i="9"/>
  <c r="CL6" i="9"/>
  <c r="CK6" i="9"/>
  <c r="W7" i="21"/>
  <c r="A7" i="21"/>
  <c r="L7" i="21"/>
  <c r="T7" i="21" s="1"/>
  <c r="F11" i="2"/>
  <c r="R7" i="21" s="1"/>
  <c r="AU7" i="9"/>
  <c r="F7" i="21" s="1"/>
  <c r="O7" i="21" s="1"/>
  <c r="N7" i="21"/>
  <c r="AD14" i="4"/>
  <c r="AD13" i="4"/>
  <c r="AD12" i="4"/>
  <c r="AD11" i="4"/>
  <c r="AE14" i="4"/>
  <c r="AH5" i="4" s="1"/>
  <c r="G7" i="21" s="1"/>
  <c r="B7" i="21"/>
  <c r="CK5" i="9"/>
  <c r="W6" i="21" s="1"/>
  <c r="A6" i="21"/>
  <c r="L6" i="21" s="1"/>
  <c r="T6" i="21"/>
  <c r="F10" i="2"/>
  <c r="R6" i="21"/>
  <c r="AU6" i="9"/>
  <c r="F6" i="21"/>
  <c r="O6" i="21" s="1"/>
  <c r="N6" i="21"/>
  <c r="AD10" i="4"/>
  <c r="AD9" i="4"/>
  <c r="AE10" i="4" s="1"/>
  <c r="AD8" i="4"/>
  <c r="AD7" i="4"/>
  <c r="AH4" i="4"/>
  <c r="G6" i="21" s="1"/>
  <c r="CK4" i="9"/>
  <c r="W5" i="21"/>
  <c r="A5" i="21"/>
  <c r="L5" i="21"/>
  <c r="T5" i="21" s="1"/>
  <c r="F9" i="2"/>
  <c r="R5" i="21" s="1"/>
  <c r="Q5" i="21"/>
  <c r="P5" i="21"/>
  <c r="AU5" i="9"/>
  <c r="F5" i="21" s="1"/>
  <c r="O5" i="21" s="1"/>
  <c r="N5" i="21"/>
  <c r="AD6" i="4"/>
  <c r="AD5" i="4"/>
  <c r="AD4" i="4"/>
  <c r="AD3" i="4"/>
  <c r="AE6" i="4"/>
  <c r="AH3" i="4" s="1"/>
  <c r="G5" i="21" s="1"/>
  <c r="B5" i="21"/>
  <c r="A4" i="21"/>
  <c r="L4" i="21" s="1"/>
  <c r="T4" i="21" s="1"/>
  <c r="Q4" i="21"/>
  <c r="P4" i="21"/>
  <c r="AU4" i="9"/>
  <c r="F4" i="21"/>
  <c r="O4" i="21" s="1"/>
  <c r="N4" i="21"/>
  <c r="A3" i="21"/>
  <c r="L3" i="21" s="1"/>
  <c r="T3" i="21" s="1"/>
  <c r="O3" i="21"/>
  <c r="DL79" i="9"/>
  <c r="DJ79" i="9"/>
  <c r="DK79" i="9"/>
  <c r="CC79" i="9"/>
  <c r="CR79" i="9"/>
  <c r="CO79" i="9"/>
  <c r="BL79" i="9"/>
  <c r="BM79" i="9" s="1"/>
  <c r="BN79" i="9" s="1"/>
  <c r="BL78" i="9"/>
  <c r="AN79" i="9"/>
  <c r="AO79" i="9" s="1"/>
  <c r="AB79" i="9"/>
  <c r="AC79" i="9" s="1"/>
  <c r="N79" i="9"/>
  <c r="M79" i="9"/>
  <c r="I79" i="9"/>
  <c r="E79" i="9"/>
  <c r="DL78" i="9"/>
  <c r="DJ78" i="9"/>
  <c r="DK78" i="9"/>
  <c r="CC78" i="9"/>
  <c r="CR78" i="9"/>
  <c r="CO78" i="9"/>
  <c r="BL77" i="9"/>
  <c r="BM78" i="9" s="1"/>
  <c r="BN78" i="9"/>
  <c r="AN78" i="9"/>
  <c r="AO78" i="9"/>
  <c r="AB78" i="9"/>
  <c r="AC78" i="9"/>
  <c r="N78" i="9"/>
  <c r="I78" i="9"/>
  <c r="E78" i="9"/>
  <c r="DL77" i="9"/>
  <c r="DJ77" i="9"/>
  <c r="DK77" i="9"/>
  <c r="CC77" i="9"/>
  <c r="CR77" i="9"/>
  <c r="CO77" i="9"/>
  <c r="BL76" i="9"/>
  <c r="BM76" i="9" s="1"/>
  <c r="AN77" i="9"/>
  <c r="AO77" i="9"/>
  <c r="AB77" i="9"/>
  <c r="AC77" i="9"/>
  <c r="N77" i="9"/>
  <c r="I77" i="9"/>
  <c r="E77" i="9"/>
  <c r="DL76" i="9"/>
  <c r="DJ76" i="9"/>
  <c r="DK76" i="9"/>
  <c r="CC76" i="9"/>
  <c r="CR76" i="9"/>
  <c r="CO76" i="9"/>
  <c r="BL75" i="9"/>
  <c r="BM75" i="9" s="1"/>
  <c r="BN76" i="9"/>
  <c r="AN76" i="9"/>
  <c r="AO76" i="9"/>
  <c r="AB76" i="9"/>
  <c r="AC76" i="9"/>
  <c r="N76" i="9"/>
  <c r="I76" i="9"/>
  <c r="E76" i="9"/>
  <c r="DL75" i="9"/>
  <c r="DJ75" i="9"/>
  <c r="DK75" i="9"/>
  <c r="CC75" i="9"/>
  <c r="CR75" i="9"/>
  <c r="CO75" i="9"/>
  <c r="BL74" i="9"/>
  <c r="BN75" i="9"/>
  <c r="AN75" i="9"/>
  <c r="AO75" i="9"/>
  <c r="N75" i="9"/>
  <c r="M75" i="9"/>
  <c r="E75" i="9"/>
  <c r="DL74" i="9"/>
  <c r="DJ74" i="9"/>
  <c r="DK74" i="9" s="1"/>
  <c r="CC74" i="9"/>
  <c r="CR74" i="9" s="1"/>
  <c r="CO74" i="9"/>
  <c r="BL73" i="9"/>
  <c r="BM74" i="9"/>
  <c r="BN74" i="9" s="1"/>
  <c r="AN74" i="9"/>
  <c r="AO74" i="9" s="1"/>
  <c r="N74" i="9"/>
  <c r="I74" i="9"/>
  <c r="E74" i="9"/>
  <c r="DL73" i="9"/>
  <c r="DJ73" i="9"/>
  <c r="DK73" i="9" s="1"/>
  <c r="CC73" i="9"/>
  <c r="CR73" i="9" s="1"/>
  <c r="CO73" i="9"/>
  <c r="BL72" i="9"/>
  <c r="BM73" i="9"/>
  <c r="BN73" i="9" s="1"/>
  <c r="AN73" i="9"/>
  <c r="AO73" i="9" s="1"/>
  <c r="AB73" i="9"/>
  <c r="AC73" i="9" s="1"/>
  <c r="N73" i="9"/>
  <c r="I73" i="9"/>
  <c r="E73" i="9"/>
  <c r="DL72" i="9"/>
  <c r="DJ72" i="9"/>
  <c r="DK72" i="9" s="1"/>
  <c r="CC72" i="9"/>
  <c r="CR72" i="9" s="1"/>
  <c r="CO72" i="9"/>
  <c r="BL71" i="9"/>
  <c r="BM72" i="9"/>
  <c r="BN72" i="9" s="1"/>
  <c r="AN72" i="9"/>
  <c r="AO72" i="9" s="1"/>
  <c r="N72" i="9"/>
  <c r="I72" i="9"/>
  <c r="E72" i="9"/>
  <c r="DL71" i="9"/>
  <c r="DJ71" i="9"/>
  <c r="DK71" i="9" s="1"/>
  <c r="CC71" i="9"/>
  <c r="CR71" i="9" s="1"/>
  <c r="CO71" i="9"/>
  <c r="BL70" i="9"/>
  <c r="BM71" i="9"/>
  <c r="BN71" i="9" s="1"/>
  <c r="AN71" i="9"/>
  <c r="AO71" i="9" s="1"/>
  <c r="N71" i="9"/>
  <c r="M71" i="9"/>
  <c r="E71" i="9"/>
  <c r="DL70" i="9"/>
  <c r="DJ70" i="9"/>
  <c r="DK70" i="9"/>
  <c r="CC70" i="9"/>
  <c r="CR70" i="9"/>
  <c r="CO70" i="9"/>
  <c r="BL69" i="9"/>
  <c r="AN70" i="9"/>
  <c r="AO70" i="9"/>
  <c r="N70" i="9"/>
  <c r="I70" i="9"/>
  <c r="E70" i="9"/>
  <c r="DL69" i="9"/>
  <c r="DJ69" i="9"/>
  <c r="DK69" i="9"/>
  <c r="CC69" i="9"/>
  <c r="CR69" i="9"/>
  <c r="CO69" i="9"/>
  <c r="BL68" i="9"/>
  <c r="AN69" i="9"/>
  <c r="AO69" i="9"/>
  <c r="AB69" i="9"/>
  <c r="AC69" i="9"/>
  <c r="N69" i="9"/>
  <c r="I69" i="9"/>
  <c r="E69" i="9"/>
  <c r="DL68" i="9"/>
  <c r="DJ68" i="9"/>
  <c r="DK68" i="9"/>
  <c r="CC68" i="9"/>
  <c r="CR68" i="9"/>
  <c r="CO68" i="9"/>
  <c r="BL67" i="9"/>
  <c r="AN68" i="9"/>
  <c r="AO68" i="9"/>
  <c r="N68" i="9"/>
  <c r="I68" i="9"/>
  <c r="E68" i="9"/>
  <c r="DL67" i="9"/>
  <c r="DJ67" i="9"/>
  <c r="DK67" i="9"/>
  <c r="CC67" i="9"/>
  <c r="CR67" i="9"/>
  <c r="CO67" i="9"/>
  <c r="BL66" i="9"/>
  <c r="BM66" i="9" s="1"/>
  <c r="BN66" i="9" s="1"/>
  <c r="AN67" i="9"/>
  <c r="AO67" i="9"/>
  <c r="N67" i="9"/>
  <c r="M67" i="9"/>
  <c r="E67" i="9"/>
  <c r="DL66" i="9"/>
  <c r="DJ66" i="9"/>
  <c r="DK66" i="9" s="1"/>
  <c r="CC66" i="9"/>
  <c r="CR66" i="9" s="1"/>
  <c r="CO66" i="9"/>
  <c r="BL65" i="9"/>
  <c r="AN66" i="9"/>
  <c r="AO66" i="9" s="1"/>
  <c r="N66" i="9"/>
  <c r="I66" i="9"/>
  <c r="E66" i="9"/>
  <c r="DL65" i="9"/>
  <c r="DJ65" i="9"/>
  <c r="DK65" i="9" s="1"/>
  <c r="CC65" i="9"/>
  <c r="CR65" i="9" s="1"/>
  <c r="CO65" i="9"/>
  <c r="BL64" i="9"/>
  <c r="BM65" i="9"/>
  <c r="BN65" i="9" s="1"/>
  <c r="AN65" i="9"/>
  <c r="AO65" i="9" s="1"/>
  <c r="N65" i="9"/>
  <c r="I65" i="9"/>
  <c r="E65" i="9"/>
  <c r="DL64" i="9"/>
  <c r="DJ64" i="9"/>
  <c r="DK64" i="9" s="1"/>
  <c r="CC64" i="9"/>
  <c r="CR64" i="9" s="1"/>
  <c r="CO64" i="9"/>
  <c r="BL63" i="9"/>
  <c r="BM64" i="9"/>
  <c r="BN64" i="9" s="1"/>
  <c r="AN64" i="9"/>
  <c r="AO64" i="9" s="1"/>
  <c r="N64" i="9"/>
  <c r="I64" i="9"/>
  <c r="E64" i="9"/>
  <c r="DL63" i="9"/>
  <c r="DJ63" i="9"/>
  <c r="DK63" i="9" s="1"/>
  <c r="CC63" i="9"/>
  <c r="CR63" i="9" s="1"/>
  <c r="CO63" i="9"/>
  <c r="BL62" i="9"/>
  <c r="BM63" i="9"/>
  <c r="BN63" i="9" s="1"/>
  <c r="AN63" i="9"/>
  <c r="AO63" i="9" s="1"/>
  <c r="N63" i="9"/>
  <c r="M63" i="9"/>
  <c r="E63" i="9"/>
  <c r="DL62" i="9"/>
  <c r="DJ62" i="9"/>
  <c r="DK62" i="9"/>
  <c r="CC62" i="9"/>
  <c r="CR62" i="9"/>
  <c r="CO62" i="9"/>
  <c r="BL61" i="9"/>
  <c r="BM62" i="9" s="1"/>
  <c r="BN62" i="9"/>
  <c r="AN62" i="9"/>
  <c r="AO62" i="9"/>
  <c r="N62" i="9"/>
  <c r="I62" i="9"/>
  <c r="E62" i="9"/>
  <c r="DL61" i="9"/>
  <c r="DJ61" i="9"/>
  <c r="DK61" i="9"/>
  <c r="CC61" i="9"/>
  <c r="CR61" i="9"/>
  <c r="CO61" i="9"/>
  <c r="BL60" i="9"/>
  <c r="BM60" i="9" s="1"/>
  <c r="AN61" i="9"/>
  <c r="AO61" i="9"/>
  <c r="AB61" i="9"/>
  <c r="AC61" i="9"/>
  <c r="N61" i="9"/>
  <c r="E61" i="9"/>
  <c r="DL60" i="9"/>
  <c r="DJ60" i="9"/>
  <c r="DK60" i="9"/>
  <c r="CC60" i="9"/>
  <c r="CR60" i="9"/>
  <c r="CO60" i="9"/>
  <c r="BL59" i="9"/>
  <c r="BM59" i="9" s="1"/>
  <c r="BN59" i="9" s="1"/>
  <c r="BN60" i="9"/>
  <c r="AN60" i="9"/>
  <c r="AO60" i="9"/>
  <c r="N60" i="9"/>
  <c r="I60" i="9"/>
  <c r="E60" i="9"/>
  <c r="DL59" i="9"/>
  <c r="DJ59" i="9"/>
  <c r="DK59" i="9"/>
  <c r="CC59" i="9"/>
  <c r="CR59" i="9"/>
  <c r="CO59" i="9"/>
  <c r="BL58" i="9"/>
  <c r="AN59" i="9"/>
  <c r="AO59" i="9"/>
  <c r="N59" i="9"/>
  <c r="M59" i="9"/>
  <c r="E59" i="9"/>
  <c r="DL58" i="9"/>
  <c r="DJ58" i="9"/>
  <c r="DK58" i="9" s="1"/>
  <c r="CC58" i="9"/>
  <c r="CR58" i="9" s="1"/>
  <c r="CO58" i="9"/>
  <c r="BL57" i="9"/>
  <c r="BM58" i="9"/>
  <c r="BN58" i="9" s="1"/>
  <c r="AN58" i="9"/>
  <c r="AO58" i="9" s="1"/>
  <c r="N58" i="9"/>
  <c r="I58" i="9"/>
  <c r="E58" i="9"/>
  <c r="DL57" i="9"/>
  <c r="DJ57" i="9"/>
  <c r="DK57" i="9" s="1"/>
  <c r="CC57" i="9"/>
  <c r="CR57" i="9" s="1"/>
  <c r="CO57" i="9"/>
  <c r="BL56" i="9"/>
  <c r="BM57" i="9"/>
  <c r="BN57" i="9" s="1"/>
  <c r="AN57" i="9"/>
  <c r="AO57" i="9" s="1"/>
  <c r="AB57" i="9"/>
  <c r="AC57" i="9" s="1"/>
  <c r="N57" i="9"/>
  <c r="I57" i="9"/>
  <c r="E57" i="9"/>
  <c r="DL56" i="9"/>
  <c r="DJ56" i="9"/>
  <c r="DK56" i="9" s="1"/>
  <c r="CC56" i="9"/>
  <c r="CR56" i="9" s="1"/>
  <c r="CO56" i="9"/>
  <c r="BL55" i="9"/>
  <c r="BM56" i="9"/>
  <c r="BN56" i="9" s="1"/>
  <c r="AN56" i="9"/>
  <c r="AO56" i="9" s="1"/>
  <c r="N56" i="9"/>
  <c r="I56" i="9"/>
  <c r="E56" i="9"/>
  <c r="DL55" i="9"/>
  <c r="DJ55" i="9"/>
  <c r="DK55" i="9" s="1"/>
  <c r="CC55" i="9"/>
  <c r="CR55" i="9" s="1"/>
  <c r="CO55" i="9"/>
  <c r="BL54" i="9"/>
  <c r="BM55" i="9"/>
  <c r="BN55" i="9" s="1"/>
  <c r="AN55" i="9"/>
  <c r="AO55" i="9" s="1"/>
  <c r="N55" i="9"/>
  <c r="M55" i="9"/>
  <c r="I55" i="9"/>
  <c r="G53" i="9"/>
  <c r="G54" i="9"/>
  <c r="G55" i="9" s="1"/>
  <c r="E55" i="9"/>
  <c r="DL54" i="9"/>
  <c r="DJ54" i="9"/>
  <c r="DK54" i="9" s="1"/>
  <c r="CC54" i="9"/>
  <c r="CR54" i="9" s="1"/>
  <c r="CO54" i="9"/>
  <c r="BL53" i="9"/>
  <c r="BM54" i="9"/>
  <c r="BN54" i="9" s="1"/>
  <c r="AN54" i="9"/>
  <c r="AO54" i="9" s="1"/>
  <c r="AB54" i="9"/>
  <c r="AC54" i="9" s="1"/>
  <c r="N54" i="9"/>
  <c r="I54" i="9"/>
  <c r="E54" i="9"/>
  <c r="DL53" i="9"/>
  <c r="DJ53" i="9"/>
  <c r="DK53" i="9" s="1"/>
  <c r="CC53" i="9"/>
  <c r="CR53" i="9" s="1"/>
  <c r="CO53" i="9"/>
  <c r="BL52" i="9"/>
  <c r="BM53" i="9"/>
  <c r="BN53" i="9" s="1"/>
  <c r="AN53" i="9"/>
  <c r="AO53" i="9" s="1"/>
  <c r="N53" i="9"/>
  <c r="I53" i="9"/>
  <c r="E53" i="9"/>
  <c r="DL52" i="9"/>
  <c r="DJ52" i="9"/>
  <c r="DK52" i="9" s="1"/>
  <c r="DA52" i="9"/>
  <c r="CZ52" i="9"/>
  <c r="CC52" i="9"/>
  <c r="CR52" i="9" s="1"/>
  <c r="CO52" i="9"/>
  <c r="BL51" i="9"/>
  <c r="BM52" i="9"/>
  <c r="BN52" i="9" s="1"/>
  <c r="AN52" i="9"/>
  <c r="AO52" i="9" s="1"/>
  <c r="N52" i="9"/>
  <c r="I52" i="9"/>
  <c r="E52" i="9"/>
  <c r="DL51" i="9"/>
  <c r="DJ51" i="9"/>
  <c r="DK51" i="9" s="1"/>
  <c r="CC51" i="9"/>
  <c r="CR51" i="9" s="1"/>
  <c r="CO51" i="9"/>
  <c r="BL50" i="9"/>
  <c r="BM51" i="9"/>
  <c r="BN51" i="9" s="1"/>
  <c r="AN51" i="9"/>
  <c r="AO51" i="9" s="1"/>
  <c r="N51" i="9"/>
  <c r="M51" i="9"/>
  <c r="G49" i="9"/>
  <c r="G50" i="9"/>
  <c r="G51" i="9" s="1"/>
  <c r="E51" i="9"/>
  <c r="DL50" i="9"/>
  <c r="DJ50" i="9"/>
  <c r="DK50" i="9" s="1"/>
  <c r="CC50" i="9"/>
  <c r="CR50" i="9" s="1"/>
  <c r="CO50" i="9"/>
  <c r="BL49" i="9"/>
  <c r="BM50" i="9"/>
  <c r="BN50" i="9" s="1"/>
  <c r="AN50" i="9"/>
  <c r="AO50" i="9" s="1"/>
  <c r="N50" i="9"/>
  <c r="E50" i="9"/>
  <c r="DL49" i="9"/>
  <c r="DJ49" i="9"/>
  <c r="DK49" i="9" s="1"/>
  <c r="CC49" i="9"/>
  <c r="CR49" i="9" s="1"/>
  <c r="CO49" i="9"/>
  <c r="BL48" i="9"/>
  <c r="BM49" i="9"/>
  <c r="BN49" i="9" s="1"/>
  <c r="AN49" i="9"/>
  <c r="AO49" i="9" s="1"/>
  <c r="N49" i="9"/>
  <c r="E49" i="9"/>
  <c r="DL48" i="9"/>
  <c r="DJ48" i="9"/>
  <c r="DK48" i="9" s="1"/>
  <c r="CC48" i="9"/>
  <c r="CR48" i="9" s="1"/>
  <c r="CO48" i="9"/>
  <c r="BL47" i="9"/>
  <c r="BM48" i="9"/>
  <c r="BN48" i="9" s="1"/>
  <c r="AN48" i="9"/>
  <c r="AO48" i="9" s="1"/>
  <c r="N48" i="9"/>
  <c r="E48" i="9"/>
  <c r="DL47" i="9"/>
  <c r="DJ47" i="9"/>
  <c r="DK47" i="9" s="1"/>
  <c r="CC47" i="9"/>
  <c r="CR47" i="9" s="1"/>
  <c r="CO47" i="9"/>
  <c r="BL46" i="9"/>
  <c r="BM47" i="9"/>
  <c r="BN47" i="9" s="1"/>
  <c r="AN47" i="9"/>
  <c r="AO47" i="9" s="1"/>
  <c r="AB47" i="9"/>
  <c r="AC47" i="9" s="1"/>
  <c r="N47" i="9"/>
  <c r="M47" i="9"/>
  <c r="G45" i="9"/>
  <c r="G46" i="9"/>
  <c r="G47" i="9" s="1"/>
  <c r="E47" i="9"/>
  <c r="DL46" i="9"/>
  <c r="DJ46" i="9"/>
  <c r="DK46" i="9" s="1"/>
  <c r="CC46" i="9"/>
  <c r="CR46" i="9" s="1"/>
  <c r="CO46" i="9"/>
  <c r="BL45" i="9"/>
  <c r="BM46" i="9"/>
  <c r="BN46" i="9" s="1"/>
  <c r="AN46" i="9"/>
  <c r="AO46" i="9" s="1"/>
  <c r="N46" i="9"/>
  <c r="E46" i="9"/>
  <c r="DL45" i="9"/>
  <c r="DJ45" i="9"/>
  <c r="DK45" i="9" s="1"/>
  <c r="CC45" i="9"/>
  <c r="CR45" i="9" s="1"/>
  <c r="CO45" i="9"/>
  <c r="BL44" i="9"/>
  <c r="BM45" i="9"/>
  <c r="BN45" i="9" s="1"/>
  <c r="AN45" i="9"/>
  <c r="AO45" i="9" s="1"/>
  <c r="AB45" i="9"/>
  <c r="AC45" i="9" s="1"/>
  <c r="N45" i="9"/>
  <c r="E45" i="9"/>
  <c r="DL44" i="9"/>
  <c r="DJ44" i="9"/>
  <c r="DK44" i="9" s="1"/>
  <c r="CC44" i="9"/>
  <c r="CR44" i="9" s="1"/>
  <c r="CO44" i="9"/>
  <c r="BL43" i="9"/>
  <c r="BM44" i="9"/>
  <c r="BN44" i="9" s="1"/>
  <c r="AN44" i="9"/>
  <c r="AO44" i="9" s="1"/>
  <c r="AB44" i="9"/>
  <c r="AC44" i="9" s="1"/>
  <c r="N44" i="9"/>
  <c r="E44" i="9"/>
  <c r="DL43" i="9"/>
  <c r="DJ43" i="9"/>
  <c r="DK43" i="9" s="1"/>
  <c r="CC43" i="9"/>
  <c r="CR43" i="9" s="1"/>
  <c r="CO43" i="9"/>
  <c r="BL42" i="9"/>
  <c r="BM43" i="9"/>
  <c r="BN43" i="9" s="1"/>
  <c r="AN43" i="9"/>
  <c r="AO43" i="9" s="1"/>
  <c r="N43" i="9"/>
  <c r="M43" i="9"/>
  <c r="G41" i="9"/>
  <c r="G42" i="9"/>
  <c r="G43" i="9" s="1"/>
  <c r="E43" i="9"/>
  <c r="DL42" i="9"/>
  <c r="DJ42" i="9"/>
  <c r="DK42" i="9" s="1"/>
  <c r="CC42" i="9"/>
  <c r="CR42" i="9" s="1"/>
  <c r="CO42" i="9"/>
  <c r="BL41" i="9"/>
  <c r="BM42" i="9"/>
  <c r="BN42" i="9" s="1"/>
  <c r="AN42" i="9"/>
  <c r="AO42" i="9" s="1"/>
  <c r="N42" i="9"/>
  <c r="E42" i="9"/>
  <c r="DL41" i="9"/>
  <c r="DJ41" i="9"/>
  <c r="DK41" i="9" s="1"/>
  <c r="CC41" i="9"/>
  <c r="CR41" i="9" s="1"/>
  <c r="CO41" i="9"/>
  <c r="BL40" i="9"/>
  <c r="BM41" i="9"/>
  <c r="BN41" i="9" s="1"/>
  <c r="AN41" i="9"/>
  <c r="AO41" i="9" s="1"/>
  <c r="AB41" i="9"/>
  <c r="AC41" i="9" s="1"/>
  <c r="N41" i="9"/>
  <c r="E41" i="9"/>
  <c r="DN40" i="9"/>
  <c r="DL40" i="9"/>
  <c r="DJ40" i="9"/>
  <c r="DK40" i="9"/>
  <c r="CC40" i="9"/>
  <c r="CR40" i="9"/>
  <c r="CO40" i="9"/>
  <c r="BL39" i="9"/>
  <c r="BM40" i="9" s="1"/>
  <c r="BN40" i="9" s="1"/>
  <c r="AN40" i="9"/>
  <c r="AO40" i="9"/>
  <c r="AB40" i="9"/>
  <c r="AC40" i="9"/>
  <c r="N40" i="9"/>
  <c r="E40" i="9"/>
  <c r="DN39" i="9"/>
  <c r="DL39" i="9"/>
  <c r="DJ39" i="9"/>
  <c r="DK39" i="9" s="1"/>
  <c r="CC39" i="9"/>
  <c r="CR39" i="9" s="1"/>
  <c r="CO39" i="9"/>
  <c r="BL38" i="9"/>
  <c r="BM39" i="9"/>
  <c r="BN39" i="9" s="1"/>
  <c r="AN39" i="9"/>
  <c r="AO39" i="9" s="1"/>
  <c r="O39" i="9"/>
  <c r="Q39" i="9"/>
  <c r="E39" i="9"/>
  <c r="DN38" i="9"/>
  <c r="DL38" i="9"/>
  <c r="DJ38" i="9"/>
  <c r="DK38" i="9" s="1"/>
  <c r="CC38" i="9"/>
  <c r="CR38" i="9" s="1"/>
  <c r="CO38" i="9"/>
  <c r="BL37" i="9"/>
  <c r="BM38" i="9"/>
  <c r="BN38" i="9" s="1"/>
  <c r="AN38" i="9"/>
  <c r="AO38" i="9" s="1"/>
  <c r="DN37" i="9"/>
  <c r="DL37" i="9"/>
  <c r="DJ37" i="9"/>
  <c r="DK37" i="9"/>
  <c r="CC37" i="9"/>
  <c r="CR37" i="9"/>
  <c r="CO37" i="9"/>
  <c r="BL36" i="9"/>
  <c r="BM37" i="9" s="1"/>
  <c r="BN37" i="9" s="1"/>
  <c r="AN37" i="9"/>
  <c r="AO37" i="9"/>
  <c r="DN36" i="9"/>
  <c r="DL36" i="9"/>
  <c r="CC36" i="9"/>
  <c r="CR36" i="9" s="1"/>
  <c r="CO36" i="9"/>
  <c r="BL35" i="9"/>
  <c r="BM36" i="9"/>
  <c r="BN36" i="9" s="1"/>
  <c r="AN36" i="9"/>
  <c r="AO36" i="9" s="1"/>
  <c r="AB36" i="9"/>
  <c r="DN35" i="9"/>
  <c r="DL35" i="9"/>
  <c r="DJ35" i="9"/>
  <c r="DK35" i="9"/>
  <c r="CC35" i="9"/>
  <c r="CR35" i="9"/>
  <c r="CO35" i="9"/>
  <c r="BL34" i="9"/>
  <c r="BM35" i="9" s="1"/>
  <c r="BN35" i="9" s="1"/>
  <c r="AN35" i="9"/>
  <c r="AO35" i="9"/>
  <c r="AB35" i="9"/>
  <c r="DN34" i="9"/>
  <c r="DL34" i="9"/>
  <c r="DJ34" i="9"/>
  <c r="DK34" i="9" s="1"/>
  <c r="CC34" i="9"/>
  <c r="CR34" i="9" s="1"/>
  <c r="CO34" i="9"/>
  <c r="BL33" i="9"/>
  <c r="BM34" i="9"/>
  <c r="BN34" i="9" s="1"/>
  <c r="AN34" i="9"/>
  <c r="AO34" i="9" s="1"/>
  <c r="DN33" i="9"/>
  <c r="DL33" i="9"/>
  <c r="CC33" i="9"/>
  <c r="CR33" i="9"/>
  <c r="CO33" i="9"/>
  <c r="BL32" i="9"/>
  <c r="BM33" i="9" s="1"/>
  <c r="BN33" i="9" s="1"/>
  <c r="AN33" i="9"/>
  <c r="AO33" i="9"/>
  <c r="AB33" i="9"/>
  <c r="DN32" i="9"/>
  <c r="DL32" i="9"/>
  <c r="DJ32" i="9"/>
  <c r="DK32" i="9" s="1"/>
  <c r="CC32" i="9"/>
  <c r="CR32" i="9" s="1"/>
  <c r="CO32" i="9"/>
  <c r="BL31" i="9"/>
  <c r="BM32" i="9"/>
  <c r="BN32" i="9" s="1"/>
  <c r="AN32" i="9"/>
  <c r="AO32" i="9" s="1"/>
  <c r="AB32" i="9"/>
  <c r="DN31" i="9"/>
  <c r="DL31" i="9"/>
  <c r="DJ31" i="9"/>
  <c r="DK31" i="9"/>
  <c r="CC31" i="9"/>
  <c r="CR31" i="9"/>
  <c r="CO31" i="9"/>
  <c r="BL30" i="9"/>
  <c r="BM31" i="9" s="1"/>
  <c r="BN31" i="9"/>
  <c r="AN31" i="9"/>
  <c r="AO31" i="9"/>
  <c r="AB31" i="9"/>
  <c r="DN30" i="9"/>
  <c r="DL30" i="9"/>
  <c r="DJ30" i="9"/>
  <c r="DK30" i="9" s="1"/>
  <c r="CC30" i="9"/>
  <c r="CR30" i="9" s="1"/>
  <c r="CO30" i="9"/>
  <c r="BL29" i="9"/>
  <c r="BM30" i="9"/>
  <c r="BN30" i="9" s="1"/>
  <c r="AN30" i="9"/>
  <c r="AO30" i="9" s="1"/>
  <c r="DN29" i="9"/>
  <c r="DL29" i="9"/>
  <c r="DJ29" i="9"/>
  <c r="DK29" i="9"/>
  <c r="CC29" i="9"/>
  <c r="CR29" i="9"/>
  <c r="CO29" i="9"/>
  <c r="BL28" i="9"/>
  <c r="BM29" i="9" s="1"/>
  <c r="BN29" i="9" s="1"/>
  <c r="AN29" i="9"/>
  <c r="AO29" i="9"/>
  <c r="AB29" i="9"/>
  <c r="DN28" i="9"/>
  <c r="DL28" i="9"/>
  <c r="CC28" i="9"/>
  <c r="CR28" i="9" s="1"/>
  <c r="CO28" i="9"/>
  <c r="BL27" i="9"/>
  <c r="AN28" i="9"/>
  <c r="AO28" i="9" s="1"/>
  <c r="AB28" i="9"/>
  <c r="DN27" i="9"/>
  <c r="DL27" i="9"/>
  <c r="DJ27" i="9"/>
  <c r="DK27" i="9"/>
  <c r="CC27" i="9"/>
  <c r="CR27" i="9"/>
  <c r="CO27" i="9"/>
  <c r="BL26" i="9"/>
  <c r="AN27" i="9"/>
  <c r="AO27" i="9"/>
  <c r="DN26" i="9"/>
  <c r="DL26" i="9"/>
  <c r="DJ26" i="9"/>
  <c r="DK26" i="9" s="1"/>
  <c r="CC26" i="9"/>
  <c r="CR26" i="9" s="1"/>
  <c r="CO26" i="9"/>
  <c r="BL25" i="9"/>
  <c r="AN26" i="9"/>
  <c r="AO26" i="9"/>
  <c r="DN25" i="9"/>
  <c r="DL25" i="9"/>
  <c r="CC25" i="9"/>
  <c r="CR25" i="9" s="1"/>
  <c r="CO25" i="9"/>
  <c r="BL24" i="9"/>
  <c r="BM25" i="9"/>
  <c r="BN25" i="9" s="1"/>
  <c r="AN25" i="9"/>
  <c r="AO25" i="9" s="1"/>
  <c r="AB25" i="9"/>
  <c r="DN24" i="9"/>
  <c r="DL24" i="9"/>
  <c r="CC24" i="9"/>
  <c r="CR24" i="9"/>
  <c r="CO24" i="9"/>
  <c r="BL23" i="9"/>
  <c r="AN24" i="9"/>
  <c r="AO24" i="9"/>
  <c r="AB24" i="9"/>
  <c r="DN23" i="9"/>
  <c r="DL23" i="9"/>
  <c r="DJ23" i="9"/>
  <c r="DK23" i="9" s="1"/>
  <c r="CC23" i="9"/>
  <c r="CR23" i="9" s="1"/>
  <c r="CO23" i="9"/>
  <c r="BT23" i="9"/>
  <c r="BR23" i="9"/>
  <c r="AW23" i="9"/>
  <c r="BP23" i="9"/>
  <c r="BQ23" i="9" s="1"/>
  <c r="BL22" i="9"/>
  <c r="AN23" i="9"/>
  <c r="AO23" i="9" s="1"/>
  <c r="DN22" i="9"/>
  <c r="DL22" i="9"/>
  <c r="DJ22" i="9"/>
  <c r="DK22" i="9"/>
  <c r="CC22" i="9"/>
  <c r="CR22" i="9"/>
  <c r="CO22" i="9"/>
  <c r="BT22" i="9"/>
  <c r="BR22" i="9"/>
  <c r="AW22" i="9"/>
  <c r="BP22" i="9" s="1"/>
  <c r="BQ22" i="9" s="1"/>
  <c r="BL21" i="9"/>
  <c r="BM22" i="9"/>
  <c r="BN22" i="9" s="1"/>
  <c r="AZ22" i="9"/>
  <c r="AN22" i="9"/>
  <c r="AO22" i="9"/>
  <c r="DN21" i="9"/>
  <c r="DL21" i="9"/>
  <c r="CC21" i="9"/>
  <c r="CR21" i="9" s="1"/>
  <c r="CO21" i="9"/>
  <c r="BT21" i="9"/>
  <c r="BR21" i="9"/>
  <c r="AW21" i="9"/>
  <c r="BP21" i="9"/>
  <c r="BQ21" i="9" s="1"/>
  <c r="BL20" i="9"/>
  <c r="BM21" i="9" s="1"/>
  <c r="BN21" i="9" s="1"/>
  <c r="AZ21" i="9"/>
  <c r="AN21" i="9"/>
  <c r="AO21" i="9" s="1"/>
  <c r="DN20" i="9"/>
  <c r="DL20" i="9"/>
  <c r="DJ20" i="9"/>
  <c r="DK20" i="9"/>
  <c r="CC20" i="9"/>
  <c r="CR20" i="9"/>
  <c r="CO20" i="9"/>
  <c r="BT20" i="9"/>
  <c r="BR20" i="9"/>
  <c r="AW20" i="9"/>
  <c r="BP20" i="9" s="1"/>
  <c r="BQ20" i="9" s="1"/>
  <c r="BL19" i="9"/>
  <c r="AN20" i="9"/>
  <c r="AO20" i="9"/>
  <c r="DN19" i="9"/>
  <c r="DL19" i="9"/>
  <c r="DJ19" i="9"/>
  <c r="DK19" i="9" s="1"/>
  <c r="CC19" i="9"/>
  <c r="CR19" i="9" s="1"/>
  <c r="CO19" i="9"/>
  <c r="BT19" i="9"/>
  <c r="BR19" i="9"/>
  <c r="AW19" i="9"/>
  <c r="BP19" i="9"/>
  <c r="BQ19" i="9" s="1"/>
  <c r="BL18" i="9"/>
  <c r="BM19" i="9" s="1"/>
  <c r="BN19" i="9" s="1"/>
  <c r="AN19" i="9"/>
  <c r="AO19" i="9" s="1"/>
  <c r="DN18" i="9"/>
  <c r="DL18" i="9"/>
  <c r="DJ18" i="9"/>
  <c r="DK18" i="9"/>
  <c r="CC18" i="9"/>
  <c r="CR18" i="9"/>
  <c r="CO18" i="9"/>
  <c r="BT18" i="9"/>
  <c r="BR18" i="9"/>
  <c r="AW18" i="9"/>
  <c r="BP18" i="9" s="1"/>
  <c r="BQ18" i="9"/>
  <c r="BL17" i="9"/>
  <c r="BM18" i="9"/>
  <c r="BN18" i="9" s="1"/>
  <c r="AN18" i="9"/>
  <c r="AO18" i="9"/>
  <c r="DN17" i="9"/>
  <c r="DL17" i="9"/>
  <c r="DJ17" i="9"/>
  <c r="DK17" i="9" s="1"/>
  <c r="CC17" i="9"/>
  <c r="CR17" i="9" s="1"/>
  <c r="CO17" i="9"/>
  <c r="BT17" i="9"/>
  <c r="BR17" i="9"/>
  <c r="AW17" i="9"/>
  <c r="BP17" i="9"/>
  <c r="BQ17" i="9" s="1"/>
  <c r="BL16" i="9"/>
  <c r="BM17" i="9" s="1"/>
  <c r="BN17" i="9"/>
  <c r="AN17" i="9"/>
  <c r="AO17" i="9" s="1"/>
  <c r="DN16" i="9"/>
  <c r="DL16" i="9"/>
  <c r="DJ16" i="9"/>
  <c r="DK16" i="9"/>
  <c r="CC16" i="9"/>
  <c r="CR16" i="9"/>
  <c r="CO16" i="9"/>
  <c r="BT16" i="9"/>
  <c r="BR16" i="9"/>
  <c r="AW16" i="9"/>
  <c r="BP16" i="9" s="1"/>
  <c r="BQ16" i="9" s="1"/>
  <c r="BL15" i="9"/>
  <c r="BM16" i="9"/>
  <c r="BN16" i="9" s="1"/>
  <c r="AN16" i="9"/>
  <c r="AO16" i="9"/>
  <c r="AB16" i="9"/>
  <c r="DN15" i="9"/>
  <c r="DL15" i="9"/>
  <c r="DJ15" i="9"/>
  <c r="DK15" i="9" s="1"/>
  <c r="CU15" i="9"/>
  <c r="CC15" i="9"/>
  <c r="CR15" i="9"/>
  <c r="CO15" i="9"/>
  <c r="BG15" i="9"/>
  <c r="BY15" i="9" s="1"/>
  <c r="BT15" i="9"/>
  <c r="BR15" i="9"/>
  <c r="AW15" i="9"/>
  <c r="BP15" i="9" s="1"/>
  <c r="BQ15" i="9" s="1"/>
  <c r="BL14" i="9"/>
  <c r="BM15" i="9"/>
  <c r="BN15" i="9" s="1"/>
  <c r="AN15" i="9"/>
  <c r="AO15" i="9"/>
  <c r="DN14" i="9"/>
  <c r="DL14" i="9"/>
  <c r="DJ14" i="9"/>
  <c r="DK14" i="9"/>
  <c r="DE14" i="9"/>
  <c r="CU14" i="9"/>
  <c r="CC14" i="9"/>
  <c r="CR14" i="9"/>
  <c r="CO14" i="9"/>
  <c r="BG14" i="9"/>
  <c r="BY14" i="9" s="1"/>
  <c r="BT14" i="9"/>
  <c r="T17" i="2"/>
  <c r="P17" i="2"/>
  <c r="BI14" i="9"/>
  <c r="AY14" i="9"/>
  <c r="BR14" i="9" s="1"/>
  <c r="AW14" i="9"/>
  <c r="BP14" i="9" s="1"/>
  <c r="BQ14" i="9" s="1"/>
  <c r="BL13" i="9"/>
  <c r="BM14" i="9"/>
  <c r="BN14" i="9" s="1"/>
  <c r="AN14" i="9"/>
  <c r="AO14" i="9" s="1"/>
  <c r="DQ13" i="9"/>
  <c r="DN13" i="9"/>
  <c r="DL13" i="9"/>
  <c r="DJ13" i="9"/>
  <c r="DK13" i="9"/>
  <c r="DE13" i="9"/>
  <c r="CO13" i="9"/>
  <c r="BG13" i="9"/>
  <c r="BY13" i="9"/>
  <c r="BT13" i="9"/>
  <c r="T16" i="2"/>
  <c r="AY12" i="9" s="1"/>
  <c r="BR12" i="9" s="1"/>
  <c r="O16" i="2"/>
  <c r="P16" i="2"/>
  <c r="AW12" i="9" s="1"/>
  <c r="BP12" i="9" s="1"/>
  <c r="BH12" i="9"/>
  <c r="BI13" i="9" s="1"/>
  <c r="AY13" i="9"/>
  <c r="BR13" i="9"/>
  <c r="BL12" i="9"/>
  <c r="BM13" i="9" s="1"/>
  <c r="BN13" i="9" s="1"/>
  <c r="AN13" i="9"/>
  <c r="AO13" i="9"/>
  <c r="DN12" i="9"/>
  <c r="DM12" i="9"/>
  <c r="DL12" i="9"/>
  <c r="DE12" i="9"/>
  <c r="CO12" i="9"/>
  <c r="BD12" i="9"/>
  <c r="BU12" i="9"/>
  <c r="BE12" i="9"/>
  <c r="BV12" i="9"/>
  <c r="BF12" i="9"/>
  <c r="BW12" i="9"/>
  <c r="BT12" i="9"/>
  <c r="O15" i="2"/>
  <c r="P15" i="2"/>
  <c r="Q15" i="2"/>
  <c r="AX11" i="9" s="1"/>
  <c r="BH11" i="9"/>
  <c r="BI12" i="9" s="1"/>
  <c r="AV12" i="9"/>
  <c r="BO12" i="9" s="1"/>
  <c r="BL11" i="9"/>
  <c r="BG12" i="9"/>
  <c r="AN12" i="9"/>
  <c r="AO12" i="9" s="1"/>
  <c r="DN11" i="9"/>
  <c r="DM11" i="9"/>
  <c r="DL11" i="9"/>
  <c r="DJ11" i="9"/>
  <c r="DK11" i="9" s="1"/>
  <c r="DE11" i="9"/>
  <c r="CO11" i="9"/>
  <c r="BD11" i="9"/>
  <c r="BU11" i="9" s="1"/>
  <c r="BX11" i="9" s="1"/>
  <c r="BE11" i="9"/>
  <c r="BV11" i="9" s="1"/>
  <c r="BF11" i="9"/>
  <c r="BW11" i="9" s="1"/>
  <c r="BT11" i="9"/>
  <c r="AY11" i="9"/>
  <c r="BR11" i="9" s="1"/>
  <c r="AV11" i="9"/>
  <c r="BO11" i="9" s="1"/>
  <c r="BQ11" i="9" s="1"/>
  <c r="AW11" i="9"/>
  <c r="BP11" i="9" s="1"/>
  <c r="BL10" i="9"/>
  <c r="BM11" i="9" s="1"/>
  <c r="BN11" i="9" s="1"/>
  <c r="BH10" i="9"/>
  <c r="BI11" i="9" s="1"/>
  <c r="BG11" i="9"/>
  <c r="O14" i="2"/>
  <c r="Q14" i="2"/>
  <c r="AX10" i="9" s="1"/>
  <c r="AN11" i="9"/>
  <c r="AO11" i="9" s="1"/>
  <c r="DN10" i="9"/>
  <c r="DM10" i="9"/>
  <c r="DL10" i="9"/>
  <c r="DJ10" i="9"/>
  <c r="DK10" i="9" s="1"/>
  <c r="DE10" i="9"/>
  <c r="CO10" i="9"/>
  <c r="BD10" i="9"/>
  <c r="BU10" i="9" s="1"/>
  <c r="BE10" i="9"/>
  <c r="BV10" i="9" s="1"/>
  <c r="BF10" i="9"/>
  <c r="BW10" i="9" s="1"/>
  <c r="BT10" i="9"/>
  <c r="AY10" i="9"/>
  <c r="BR10" i="9" s="1"/>
  <c r="AV10" i="9"/>
  <c r="BO10" i="9" s="1"/>
  <c r="BQ10" i="9" s="1"/>
  <c r="AW10" i="9"/>
  <c r="BP10" i="9" s="1"/>
  <c r="BL9" i="9"/>
  <c r="BM9" i="9" s="1"/>
  <c r="BN9" i="9" s="1"/>
  <c r="BH9" i="9"/>
  <c r="BI10" i="9" s="1"/>
  <c r="BG10" i="9"/>
  <c r="AN10" i="9"/>
  <c r="AO10" i="9" s="1"/>
  <c r="DN9" i="9"/>
  <c r="DM9" i="9"/>
  <c r="DL9" i="9"/>
  <c r="DJ9" i="9"/>
  <c r="DK9" i="9" s="1"/>
  <c r="DE9" i="9"/>
  <c r="CO9" i="9"/>
  <c r="BD9" i="9"/>
  <c r="BU9" i="9" s="1"/>
  <c r="BX9" i="9" s="1"/>
  <c r="BE9" i="9"/>
  <c r="BV9" i="9" s="1"/>
  <c r="BF9" i="9"/>
  <c r="BW9" i="9" s="1"/>
  <c r="BT9" i="9"/>
  <c r="AY9" i="9"/>
  <c r="BR9" i="9" s="1"/>
  <c r="AV9" i="9"/>
  <c r="BO9" i="9" s="1"/>
  <c r="BQ9" i="9" s="1"/>
  <c r="AW9" i="9"/>
  <c r="BP9" i="9" s="1"/>
  <c r="BL8" i="9"/>
  <c r="BM8" i="9" s="1"/>
  <c r="BN8" i="9" s="1"/>
  <c r="BH8" i="9"/>
  <c r="BI9" i="9" s="1"/>
  <c r="BG9" i="9"/>
  <c r="Q13" i="2"/>
  <c r="AX9" i="9"/>
  <c r="AN9" i="9"/>
  <c r="AO9" i="9"/>
  <c r="DN8" i="9"/>
  <c r="DM8" i="9"/>
  <c r="DL8" i="9"/>
  <c r="DJ8" i="9"/>
  <c r="DK8" i="9"/>
  <c r="DE8" i="9"/>
  <c r="CO8" i="9"/>
  <c r="BD8" i="9"/>
  <c r="BU8" i="9"/>
  <c r="BE8" i="9"/>
  <c r="BV8" i="9"/>
  <c r="BX8" i="9" s="1"/>
  <c r="BF8" i="9"/>
  <c r="BW8" i="9"/>
  <c r="BT8" i="9"/>
  <c r="AY8" i="9"/>
  <c r="BR8" i="9"/>
  <c r="AV8" i="9"/>
  <c r="BO8" i="9"/>
  <c r="BQ8" i="9" s="1"/>
  <c r="AW8" i="9"/>
  <c r="BP8" i="9"/>
  <c r="BL7" i="9"/>
  <c r="BH7" i="9"/>
  <c r="BI8" i="9"/>
  <c r="BG8" i="9"/>
  <c r="Q12" i="2"/>
  <c r="AX8" i="9" s="1"/>
  <c r="AN8" i="9"/>
  <c r="AO8" i="9" s="1"/>
  <c r="DN7" i="9"/>
  <c r="DM7" i="9"/>
  <c r="DL7" i="9"/>
  <c r="DJ7" i="9"/>
  <c r="CO7" i="9"/>
  <c r="BD7" i="9"/>
  <c r="BU7" i="9"/>
  <c r="BX7" i="9" s="1"/>
  <c r="BE7" i="9"/>
  <c r="BV7" i="9"/>
  <c r="BF7" i="9"/>
  <c r="BW7" i="9"/>
  <c r="BT7" i="9"/>
  <c r="AY7" i="9"/>
  <c r="BR7" i="9"/>
  <c r="AV7" i="9"/>
  <c r="BO7" i="9"/>
  <c r="BQ7" i="9" s="1"/>
  <c r="AW7" i="9"/>
  <c r="BP7" i="9"/>
  <c r="BH6" i="9"/>
  <c r="BI7" i="9" s="1"/>
  <c r="BG7" i="9"/>
  <c r="Q11" i="2"/>
  <c r="AX7" i="9"/>
  <c r="AP7" i="9"/>
  <c r="AQ7" i="9"/>
  <c r="AN7" i="9"/>
  <c r="AO7" i="9"/>
  <c r="DQ6" i="9"/>
  <c r="DP6" i="9"/>
  <c r="DO6" i="9"/>
  <c r="DN6" i="9"/>
  <c r="DM6" i="9"/>
  <c r="DL6" i="9"/>
  <c r="CO6" i="9"/>
  <c r="BD6" i="9"/>
  <c r="BU6" i="9" s="1"/>
  <c r="BX6" i="9" s="1"/>
  <c r="BE6" i="9"/>
  <c r="BV6" i="9" s="1"/>
  <c r="BF6" i="9"/>
  <c r="BW6" i="9" s="1"/>
  <c r="BT6" i="9"/>
  <c r="AY6" i="9"/>
  <c r="BR6" i="9" s="1"/>
  <c r="AV6" i="9"/>
  <c r="BO6" i="9" s="1"/>
  <c r="AW6" i="9"/>
  <c r="BP6" i="9" s="1"/>
  <c r="BH5" i="9"/>
  <c r="BI6" i="9"/>
  <c r="BG6" i="9"/>
  <c r="Q10" i="2"/>
  <c r="AX6" i="9" s="1"/>
  <c r="AP6" i="9"/>
  <c r="AQ6" i="9" s="1"/>
  <c r="AN6" i="9"/>
  <c r="AO6" i="9" s="1"/>
  <c r="DQ5" i="9"/>
  <c r="DP5" i="9"/>
  <c r="DO5" i="9"/>
  <c r="DN5" i="9"/>
  <c r="DM5" i="9"/>
  <c r="DL5" i="9"/>
  <c r="CO5" i="9"/>
  <c r="BD5" i="9"/>
  <c r="BU5" i="9"/>
  <c r="BX5" i="9" s="1"/>
  <c r="BE5" i="9"/>
  <c r="BV5" i="9"/>
  <c r="BF5" i="9"/>
  <c r="BW5" i="9"/>
  <c r="BT5" i="9"/>
  <c r="AY5" i="9"/>
  <c r="BR5" i="9"/>
  <c r="AV5" i="9"/>
  <c r="BO5" i="9"/>
  <c r="BQ5" i="9" s="1"/>
  <c r="AW5" i="9"/>
  <c r="BP5" i="9"/>
  <c r="BG5" i="9"/>
  <c r="Q9" i="2"/>
  <c r="AX5" i="9"/>
  <c r="AP5" i="9"/>
  <c r="AQ5" i="9"/>
  <c r="AN5" i="9"/>
  <c r="AO5" i="9"/>
  <c r="DQ4" i="9"/>
  <c r="DP4" i="9"/>
  <c r="DO4" i="9"/>
  <c r="DN4" i="9"/>
  <c r="DM4" i="9"/>
  <c r="DL4" i="9"/>
  <c r="CO4" i="9"/>
  <c r="BX4" i="9"/>
  <c r="BT4" i="9"/>
  <c r="BQ4" i="9"/>
  <c r="BG4" i="9"/>
  <c r="BF4" i="9"/>
  <c r="BE4" i="9"/>
  <c r="BD4" i="9"/>
  <c r="AY4" i="9"/>
  <c r="Q8" i="2"/>
  <c r="AX4" i="9" s="1"/>
  <c r="AW4" i="9"/>
  <c r="AV4" i="9"/>
  <c r="AP4" i="9"/>
  <c r="AQ4" i="9" s="1"/>
  <c r="DL3" i="9"/>
  <c r="CO3" i="9"/>
  <c r="BT3" i="9"/>
  <c r="AX3" i="9"/>
  <c r="AW3" i="9"/>
  <c r="AV3" i="9"/>
  <c r="AU3" i="9"/>
  <c r="H76" i="7"/>
  <c r="F75" i="7"/>
  <c r="F74" i="7"/>
  <c r="F73" i="7"/>
  <c r="F72" i="7"/>
  <c r="F71" i="7"/>
  <c r="F70" i="7"/>
  <c r="O69" i="7"/>
  <c r="F69" i="7"/>
  <c r="F68" i="7"/>
  <c r="F67" i="7"/>
  <c r="F66" i="7"/>
  <c r="O65" i="7"/>
  <c r="F65" i="7"/>
  <c r="F64" i="7"/>
  <c r="F63" i="7"/>
  <c r="F62" i="7"/>
  <c r="O61" i="7"/>
  <c r="F61" i="7"/>
  <c r="F60" i="7"/>
  <c r="F59" i="7"/>
  <c r="F58" i="7"/>
  <c r="O57" i="7"/>
  <c r="F57" i="7"/>
  <c r="F56" i="7"/>
  <c r="F55" i="7"/>
  <c r="F54" i="7"/>
  <c r="O53" i="7"/>
  <c r="F53" i="7"/>
  <c r="F52" i="7"/>
  <c r="F51" i="7"/>
  <c r="F50" i="7"/>
  <c r="O49" i="7"/>
  <c r="F49" i="7"/>
  <c r="F48" i="7"/>
  <c r="F47" i="7"/>
  <c r="F46" i="7"/>
  <c r="O45" i="7"/>
  <c r="F45" i="7"/>
  <c r="F44" i="7"/>
  <c r="F43" i="7"/>
  <c r="F42" i="7"/>
  <c r="O41" i="7"/>
  <c r="F41" i="7"/>
  <c r="F40" i="7"/>
  <c r="F39" i="7"/>
  <c r="F38" i="7"/>
  <c r="O37" i="7"/>
  <c r="F37" i="7"/>
  <c r="F36" i="7"/>
  <c r="F35" i="7"/>
  <c r="F34" i="7"/>
  <c r="O33" i="7"/>
  <c r="F33" i="7"/>
  <c r="F32" i="7"/>
  <c r="F31" i="7"/>
  <c r="F30" i="7"/>
  <c r="O29" i="7"/>
  <c r="F29" i="7"/>
  <c r="F28" i="7"/>
  <c r="F27" i="7"/>
  <c r="F26" i="7"/>
  <c r="O25" i="7"/>
  <c r="F25" i="7"/>
  <c r="F24" i="7"/>
  <c r="F23" i="7"/>
  <c r="F22" i="7"/>
  <c r="O21" i="7"/>
  <c r="F21" i="7"/>
  <c r="F20" i="7"/>
  <c r="F19" i="7"/>
  <c r="F18" i="7"/>
  <c r="O17" i="7"/>
  <c r="F17" i="7"/>
  <c r="F16" i="7"/>
  <c r="F15" i="7"/>
  <c r="F14" i="7"/>
  <c r="O13" i="7"/>
  <c r="F13" i="7"/>
  <c r="F12" i="7"/>
  <c r="F11" i="7"/>
  <c r="F10" i="7"/>
  <c r="O9" i="7"/>
  <c r="O5" i="7"/>
  <c r="I79" i="2"/>
  <c r="J79" i="2"/>
  <c r="K79" i="2" s="1"/>
  <c r="C79" i="2"/>
  <c r="I78" i="2"/>
  <c r="J78" i="2"/>
  <c r="K78" i="2" s="1"/>
  <c r="C78" i="2"/>
  <c r="I77" i="2"/>
  <c r="J77" i="2"/>
  <c r="K77" i="2" s="1"/>
  <c r="C77" i="2"/>
  <c r="I76" i="2"/>
  <c r="J76" i="2"/>
  <c r="K76" i="2" s="1"/>
  <c r="C76" i="2"/>
  <c r="I75" i="2"/>
  <c r="J75" i="2"/>
  <c r="K75" i="2" s="1"/>
  <c r="C75" i="2"/>
  <c r="I74" i="2"/>
  <c r="J74" i="2"/>
  <c r="K74" i="2" s="1"/>
  <c r="C74" i="2"/>
  <c r="I73" i="2"/>
  <c r="J73" i="2"/>
  <c r="K73" i="2" s="1"/>
  <c r="C73" i="2"/>
  <c r="I72" i="2"/>
  <c r="J72" i="2"/>
  <c r="K72" i="2" s="1"/>
  <c r="C72" i="2"/>
  <c r="I71" i="2"/>
  <c r="J71" i="2"/>
  <c r="K71" i="2" s="1"/>
  <c r="C71" i="2"/>
  <c r="I70" i="2"/>
  <c r="J70" i="2"/>
  <c r="K70" i="2" s="1"/>
  <c r="C70" i="2"/>
  <c r="I69" i="2"/>
  <c r="J69" i="2"/>
  <c r="K69" i="2" s="1"/>
  <c r="C69" i="2"/>
  <c r="I68" i="2"/>
  <c r="J68" i="2"/>
  <c r="K68" i="2" s="1"/>
  <c r="C68" i="2"/>
  <c r="I67" i="2"/>
  <c r="J67" i="2"/>
  <c r="K67" i="2" s="1"/>
  <c r="C67" i="2"/>
  <c r="I66" i="2"/>
  <c r="J66" i="2"/>
  <c r="K66" i="2" s="1"/>
  <c r="C66" i="2"/>
  <c r="I65" i="2"/>
  <c r="J65" i="2"/>
  <c r="K65" i="2" s="1"/>
  <c r="C65" i="2"/>
  <c r="I64" i="2"/>
  <c r="J64" i="2"/>
  <c r="K64" i="2" s="1"/>
  <c r="C64" i="2"/>
  <c r="I63" i="2"/>
  <c r="J63" i="2"/>
  <c r="K63" i="2" s="1"/>
  <c r="C63" i="2"/>
  <c r="I62" i="2"/>
  <c r="J62" i="2"/>
  <c r="K62" i="2" s="1"/>
  <c r="C62" i="2"/>
  <c r="I61" i="2"/>
  <c r="J61" i="2"/>
  <c r="K61" i="2" s="1"/>
  <c r="C61" i="2"/>
  <c r="I60" i="2"/>
  <c r="J60" i="2"/>
  <c r="K60" i="2" s="1"/>
  <c r="C60" i="2"/>
  <c r="I59" i="2"/>
  <c r="J59" i="2"/>
  <c r="K59" i="2" s="1"/>
  <c r="C59" i="2"/>
  <c r="I58" i="2"/>
  <c r="J58" i="2"/>
  <c r="K58" i="2" s="1"/>
  <c r="C58" i="2"/>
  <c r="I57" i="2"/>
  <c r="J57" i="2"/>
  <c r="K57" i="2" s="1"/>
  <c r="C57" i="2"/>
  <c r="I56" i="2"/>
  <c r="J56" i="2"/>
  <c r="K56" i="2" s="1"/>
  <c r="C56" i="2"/>
  <c r="I55" i="2"/>
  <c r="J55" i="2"/>
  <c r="K55" i="2" s="1"/>
  <c r="C55" i="2"/>
  <c r="I54" i="2"/>
  <c r="J54" i="2"/>
  <c r="K54" i="2" s="1"/>
  <c r="C54" i="2"/>
  <c r="I53" i="2"/>
  <c r="J53" i="2"/>
  <c r="K53" i="2" s="1"/>
  <c r="C53" i="2"/>
  <c r="I52" i="2"/>
  <c r="J52" i="2"/>
  <c r="K52" i="2" s="1"/>
  <c r="C52" i="2"/>
  <c r="I51" i="2"/>
  <c r="J51" i="2"/>
  <c r="K51" i="2" s="1"/>
  <c r="C51" i="2"/>
  <c r="I50" i="2"/>
  <c r="J50" i="2"/>
  <c r="K50" i="2" s="1"/>
  <c r="C50" i="2"/>
  <c r="I49" i="2"/>
  <c r="J49" i="2"/>
  <c r="K49" i="2" s="1"/>
  <c r="C49" i="2"/>
  <c r="I48" i="2"/>
  <c r="J48" i="2"/>
  <c r="K48" i="2" s="1"/>
  <c r="C48" i="2"/>
  <c r="I47" i="2"/>
  <c r="J47" i="2"/>
  <c r="K47" i="2" s="1"/>
  <c r="C47" i="2"/>
  <c r="I46" i="2"/>
  <c r="J46" i="2"/>
  <c r="K46" i="2" s="1"/>
  <c r="C46" i="2"/>
  <c r="I45" i="2"/>
  <c r="J45" i="2"/>
  <c r="K45" i="2" s="1"/>
  <c r="C45" i="2"/>
  <c r="I44" i="2"/>
  <c r="J44" i="2"/>
  <c r="K44" i="2" s="1"/>
  <c r="C44" i="2"/>
  <c r="I43" i="2"/>
  <c r="J43" i="2"/>
  <c r="K43" i="2" s="1"/>
  <c r="C43" i="2"/>
  <c r="I42" i="2"/>
  <c r="J42" i="2"/>
  <c r="K42" i="2" s="1"/>
  <c r="C42" i="2"/>
  <c r="I41" i="2"/>
  <c r="J41" i="2"/>
  <c r="K41" i="2" s="1"/>
  <c r="C41" i="2"/>
  <c r="I40" i="2"/>
  <c r="J40" i="2"/>
  <c r="K40" i="2" s="1"/>
  <c r="C40" i="2"/>
  <c r="I39" i="2"/>
  <c r="J39" i="2"/>
  <c r="K39" i="2" s="1"/>
  <c r="C39" i="2"/>
  <c r="I38" i="2"/>
  <c r="J38" i="2"/>
  <c r="K38" i="2" s="1"/>
  <c r="C38" i="2"/>
  <c r="I37" i="2"/>
  <c r="J37" i="2"/>
  <c r="K37" i="2" s="1"/>
  <c r="C37" i="2"/>
  <c r="I36" i="2"/>
  <c r="J36" i="2"/>
  <c r="K36" i="2" s="1"/>
  <c r="C36" i="2"/>
  <c r="I35" i="2"/>
  <c r="J35" i="2"/>
  <c r="K35" i="2" s="1"/>
  <c r="C35" i="2"/>
  <c r="I34" i="2"/>
  <c r="J34" i="2"/>
  <c r="K34" i="2" s="1"/>
  <c r="C34" i="2"/>
  <c r="I33" i="2"/>
  <c r="J33" i="2"/>
  <c r="K33" i="2" s="1"/>
  <c r="C33" i="2"/>
  <c r="I32" i="2"/>
  <c r="J32" i="2"/>
  <c r="K32" i="2" s="1"/>
  <c r="C32" i="2"/>
  <c r="I31" i="2"/>
  <c r="J31" i="2"/>
  <c r="K31" i="2" s="1"/>
  <c r="C31" i="2"/>
  <c r="I30" i="2"/>
  <c r="J30" i="2"/>
  <c r="K30" i="2" s="1"/>
  <c r="C30" i="2"/>
  <c r="I29" i="2"/>
  <c r="J29" i="2"/>
  <c r="K29" i="2" s="1"/>
  <c r="C29" i="2"/>
  <c r="S28" i="2"/>
  <c r="I28" i="2"/>
  <c r="J28" i="2" s="1"/>
  <c r="K28" i="2" s="1"/>
  <c r="C28" i="2"/>
  <c r="Z27" i="2"/>
  <c r="I27" i="2"/>
  <c r="J27" i="2"/>
  <c r="K27" i="2"/>
  <c r="C27" i="2"/>
  <c r="R26" i="2"/>
  <c r="I26" i="2"/>
  <c r="J26" i="2"/>
  <c r="K26" i="2"/>
  <c r="C26" i="2"/>
  <c r="Z25" i="2"/>
  <c r="R25" i="2"/>
  <c r="I25" i="2"/>
  <c r="J25" i="2" s="1"/>
  <c r="K25" i="2" s="1"/>
  <c r="C25" i="2"/>
  <c r="Z24" i="2"/>
  <c r="R24" i="2"/>
  <c r="I24" i="2"/>
  <c r="J24" i="2"/>
  <c r="K24" i="2" s="1"/>
  <c r="M14" i="2" s="1"/>
  <c r="C24" i="2"/>
  <c r="Z23" i="2"/>
  <c r="R23" i="2"/>
  <c r="I23" i="2"/>
  <c r="J23" i="2"/>
  <c r="K23" i="2"/>
  <c r="C23" i="2"/>
  <c r="I22" i="2"/>
  <c r="J22" i="2"/>
  <c r="K22" i="2"/>
  <c r="C22" i="2"/>
  <c r="Z21" i="2"/>
  <c r="R21" i="2"/>
  <c r="I21" i="2"/>
  <c r="J21" i="2" s="1"/>
  <c r="K21" i="2" s="1"/>
  <c r="C21" i="2"/>
  <c r="Z20" i="2"/>
  <c r="R20" i="2"/>
  <c r="I20" i="2"/>
  <c r="J20" i="2"/>
  <c r="K20" i="2" s="1"/>
  <c r="M13" i="2" s="1"/>
  <c r="C20" i="2"/>
  <c r="Z19" i="2"/>
  <c r="I19" i="2"/>
  <c r="J19" i="2"/>
  <c r="K19" i="2"/>
  <c r="C19" i="2"/>
  <c r="Z18" i="2"/>
  <c r="I18" i="2"/>
  <c r="J18" i="2"/>
  <c r="K18" i="2"/>
  <c r="C18" i="2"/>
  <c r="Z17" i="2"/>
  <c r="I17" i="2"/>
  <c r="J17" i="2" s="1"/>
  <c r="K17" i="2" s="1"/>
  <c r="C17" i="2"/>
  <c r="Z16" i="2"/>
  <c r="I16" i="2"/>
  <c r="J16" i="2"/>
  <c r="K16" i="2" s="1"/>
  <c r="C16" i="2"/>
  <c r="Z15" i="2"/>
  <c r="R15" i="2"/>
  <c r="I15" i="2"/>
  <c r="J15" i="2"/>
  <c r="K15" i="2" s="1"/>
  <c r="C15" i="2"/>
  <c r="Z14" i="2"/>
  <c r="R14" i="2"/>
  <c r="I14" i="2"/>
  <c r="J14" i="2"/>
  <c r="K14" i="2"/>
  <c r="C14" i="2"/>
  <c r="Z13" i="2"/>
  <c r="R13" i="2"/>
  <c r="I13" i="2"/>
  <c r="J13" i="2"/>
  <c r="K13" i="2"/>
  <c r="C13" i="2"/>
  <c r="Z12" i="2"/>
  <c r="I12" i="2"/>
  <c r="J12" i="2"/>
  <c r="K12" i="2" s="1"/>
  <c r="M11" i="2" s="1"/>
  <c r="C12" i="2"/>
  <c r="Z11" i="2"/>
  <c r="I11" i="2"/>
  <c r="J11" i="2"/>
  <c r="K11" i="2"/>
  <c r="C11" i="2"/>
  <c r="Z10" i="2"/>
  <c r="I8" i="2"/>
  <c r="J8" i="2"/>
  <c r="K8" i="2"/>
  <c r="I9" i="2"/>
  <c r="J9" i="2"/>
  <c r="K9" i="2"/>
  <c r="I10" i="2"/>
  <c r="J10" i="2" s="1"/>
  <c r="K10" i="2" s="1"/>
  <c r="C10" i="2"/>
  <c r="Z9" i="2"/>
  <c r="C9" i="2"/>
  <c r="Z8" i="2"/>
  <c r="C8" i="2"/>
  <c r="Z7" i="2"/>
  <c r="Q7" i="2"/>
  <c r="I7" i="2"/>
  <c r="J7" i="2"/>
  <c r="K7" i="2" s="1"/>
  <c r="C7" i="2"/>
  <c r="Z6" i="2"/>
  <c r="Q6" i="2"/>
  <c r="I6" i="2"/>
  <c r="J6" i="2"/>
  <c r="K6" i="2"/>
  <c r="C6" i="2"/>
  <c r="Z5" i="2"/>
  <c r="Q5" i="2"/>
  <c r="I5" i="2"/>
  <c r="J5" i="2"/>
  <c r="K5" i="2" s="1"/>
  <c r="C5" i="2"/>
  <c r="Z4" i="2"/>
  <c r="Q4" i="2"/>
  <c r="C4" i="2"/>
  <c r="H227" i="4"/>
  <c r="H226" i="4"/>
  <c r="H225" i="4"/>
  <c r="I77" i="4" s="1"/>
  <c r="J77" i="4" s="1"/>
  <c r="H224" i="4"/>
  <c r="H223" i="4"/>
  <c r="H222" i="4"/>
  <c r="I76" i="4" s="1"/>
  <c r="J76" i="4" s="1"/>
  <c r="H221" i="4"/>
  <c r="H220" i="4"/>
  <c r="H219" i="4"/>
  <c r="H218" i="4"/>
  <c r="H217" i="4"/>
  <c r="H216" i="4"/>
  <c r="H215" i="4"/>
  <c r="H214" i="4"/>
  <c r="H213" i="4"/>
  <c r="I73" i="4" s="1"/>
  <c r="J73" i="4" s="1"/>
  <c r="H212" i="4"/>
  <c r="H211" i="4"/>
  <c r="H210" i="4"/>
  <c r="H209" i="4"/>
  <c r="I71" i="4" s="1"/>
  <c r="J71" i="4" s="1"/>
  <c r="H208" i="4"/>
  <c r="H207" i="4"/>
  <c r="H206" i="4"/>
  <c r="H205" i="4"/>
  <c r="I70" i="4" s="1"/>
  <c r="J70" i="4" s="1"/>
  <c r="H204" i="4"/>
  <c r="H203" i="4"/>
  <c r="H202" i="4"/>
  <c r="H201" i="4"/>
  <c r="H200" i="4"/>
  <c r="H199" i="4"/>
  <c r="H198" i="4"/>
  <c r="H197" i="4"/>
  <c r="H196" i="4"/>
  <c r="H195" i="4"/>
  <c r="H194" i="4"/>
  <c r="H193" i="4"/>
  <c r="H192" i="4"/>
  <c r="H191" i="4"/>
  <c r="H190" i="4"/>
  <c r="H189" i="4"/>
  <c r="I65" i="4" s="1"/>
  <c r="J65" i="4" s="1"/>
  <c r="H188" i="4"/>
  <c r="H187" i="4"/>
  <c r="H186" i="4"/>
  <c r="H185" i="4"/>
  <c r="I63" i="4" s="1"/>
  <c r="J63" i="4" s="1"/>
  <c r="H184" i="4"/>
  <c r="H183" i="4"/>
  <c r="H182" i="4"/>
  <c r="H181" i="4"/>
  <c r="I62" i="4" s="1"/>
  <c r="J62" i="4" s="1"/>
  <c r="H180" i="4"/>
  <c r="H179" i="4"/>
  <c r="H178" i="4"/>
  <c r="H177" i="4"/>
  <c r="H176" i="4"/>
  <c r="H175" i="4"/>
  <c r="H174" i="4"/>
  <c r="H173" i="4"/>
  <c r="H172" i="4"/>
  <c r="H171" i="4"/>
  <c r="H170" i="4"/>
  <c r="H169" i="4"/>
  <c r="H168" i="4"/>
  <c r="H167" i="4"/>
  <c r="H166" i="4"/>
  <c r="H165" i="4"/>
  <c r="I57" i="4" s="1"/>
  <c r="J57" i="4" s="1"/>
  <c r="H164" i="4"/>
  <c r="H163" i="4"/>
  <c r="H162" i="4"/>
  <c r="H161" i="4"/>
  <c r="I55" i="4" s="1"/>
  <c r="J55" i="4" s="1"/>
  <c r="H160" i="4"/>
  <c r="H159" i="4"/>
  <c r="H158" i="4"/>
  <c r="H157" i="4"/>
  <c r="H156" i="4"/>
  <c r="H155" i="4"/>
  <c r="H154" i="4"/>
  <c r="H153" i="4"/>
  <c r="H152" i="4"/>
  <c r="H151" i="4"/>
  <c r="H150" i="4"/>
  <c r="H149" i="4"/>
  <c r="I51" i="4" s="1"/>
  <c r="J51" i="4" s="1"/>
  <c r="H148" i="4"/>
  <c r="H147" i="4"/>
  <c r="H146" i="4"/>
  <c r="H145" i="4"/>
  <c r="I50" i="4" s="1"/>
  <c r="J50" i="4" s="1"/>
  <c r="H144" i="4"/>
  <c r="H143" i="4"/>
  <c r="H142" i="4"/>
  <c r="H141" i="4"/>
  <c r="H140" i="4"/>
  <c r="H139" i="4"/>
  <c r="H138" i="4"/>
  <c r="H137" i="4"/>
  <c r="I47" i="4" s="1"/>
  <c r="J47" i="4" s="1"/>
  <c r="H136" i="4"/>
  <c r="H135" i="4"/>
  <c r="H134" i="4"/>
  <c r="H133" i="4"/>
  <c r="I46" i="4" s="1"/>
  <c r="J46" i="4" s="1"/>
  <c r="H132" i="4"/>
  <c r="H131" i="4"/>
  <c r="H130" i="4"/>
  <c r="H129" i="4"/>
  <c r="I45" i="4" s="1"/>
  <c r="J45" i="4" s="1"/>
  <c r="H128" i="4"/>
  <c r="H127" i="4"/>
  <c r="H126" i="4"/>
  <c r="H125" i="4"/>
  <c r="H124" i="4"/>
  <c r="H123" i="4"/>
  <c r="H122" i="4"/>
  <c r="H121" i="4"/>
  <c r="H120" i="4"/>
  <c r="H119" i="4"/>
  <c r="H118" i="4"/>
  <c r="H117" i="4"/>
  <c r="I41" i="4" s="1"/>
  <c r="J41" i="4" s="1"/>
  <c r="H116" i="4"/>
  <c r="H115" i="4"/>
  <c r="H114" i="4"/>
  <c r="H113" i="4"/>
  <c r="H112" i="4"/>
  <c r="H111" i="4"/>
  <c r="H110" i="4"/>
  <c r="H109" i="4"/>
  <c r="H108" i="4"/>
  <c r="H107" i="4"/>
  <c r="H106" i="4"/>
  <c r="H105" i="4"/>
  <c r="H104" i="4"/>
  <c r="H103" i="4"/>
  <c r="H102" i="4"/>
  <c r="H101" i="4"/>
  <c r="I35" i="4" s="1"/>
  <c r="J35" i="4" s="1"/>
  <c r="H100" i="4"/>
  <c r="H99" i="4"/>
  <c r="H98" i="4"/>
  <c r="H97" i="4"/>
  <c r="H96" i="4"/>
  <c r="H95" i="4"/>
  <c r="H94" i="4"/>
  <c r="H93" i="4"/>
  <c r="H92" i="4"/>
  <c r="H91" i="4"/>
  <c r="H90" i="4"/>
  <c r="H89" i="4"/>
  <c r="I31" i="4" s="1"/>
  <c r="J31" i="4" s="1"/>
  <c r="H88" i="4"/>
  <c r="H87" i="4"/>
  <c r="H86" i="4"/>
  <c r="H85" i="4"/>
  <c r="H84" i="4"/>
  <c r="H83" i="4"/>
  <c r="H82" i="4"/>
  <c r="H81" i="4"/>
  <c r="H80" i="4"/>
  <c r="AT26" i="4"/>
  <c r="AT30" i="4"/>
  <c r="AV30" i="4" s="1"/>
  <c r="AU30" i="4"/>
  <c r="AU34" i="4"/>
  <c r="AT42" i="4"/>
  <c r="AT46" i="4"/>
  <c r="AV46" i="4" s="1"/>
  <c r="AU46" i="4"/>
  <c r="AT50" i="4"/>
  <c r="AT54" i="4"/>
  <c r="AT58" i="4"/>
  <c r="AT62" i="4"/>
  <c r="AT66" i="4"/>
  <c r="AU66" i="4"/>
  <c r="AV66" i="4"/>
  <c r="AT70" i="4"/>
  <c r="AT74" i="4"/>
  <c r="AT78" i="4"/>
  <c r="AV78" i="4" s="1"/>
  <c r="AU78" i="4"/>
  <c r="AS15" i="4"/>
  <c r="AS16" i="4"/>
  <c r="AS19" i="4"/>
  <c r="AS23" i="4"/>
  <c r="AS24" i="4"/>
  <c r="AS25" i="4"/>
  <c r="AS27" i="4"/>
  <c r="AS28" i="4"/>
  <c r="AS29" i="4"/>
  <c r="AS30" i="4"/>
  <c r="AS31" i="4"/>
  <c r="AS32" i="4"/>
  <c r="AS35" i="4"/>
  <c r="AS36" i="4"/>
  <c r="AS39" i="4"/>
  <c r="AS40" i="4"/>
  <c r="AS41" i="4"/>
  <c r="AS43" i="4"/>
  <c r="AS44" i="4"/>
  <c r="AS45" i="4"/>
  <c r="AS46" i="4"/>
  <c r="AS47" i="4"/>
  <c r="AS51" i="4"/>
  <c r="AS53" i="4"/>
  <c r="AS55" i="4"/>
  <c r="AS56" i="4"/>
  <c r="AS57" i="4"/>
  <c r="AS59" i="4"/>
  <c r="AS60" i="4"/>
  <c r="AS61" i="4"/>
  <c r="AS63" i="4"/>
  <c r="AS64" i="4"/>
  <c r="AS65" i="4"/>
  <c r="AS66" i="4"/>
  <c r="AS67" i="4"/>
  <c r="AS68" i="4"/>
  <c r="AS69" i="4"/>
  <c r="AS71" i="4"/>
  <c r="AS72" i="4"/>
  <c r="AS73" i="4"/>
  <c r="AS75" i="4"/>
  <c r="AS76" i="4"/>
  <c r="AS77" i="4"/>
  <c r="AS78" i="4"/>
  <c r="P79" i="4"/>
  <c r="O79" i="4"/>
  <c r="H79" i="4"/>
  <c r="AR78" i="4"/>
  <c r="AN78" i="4"/>
  <c r="AO78" i="4"/>
  <c r="AD78" i="4"/>
  <c r="AD77" i="4"/>
  <c r="AE78" i="4" s="1"/>
  <c r="AH21" i="4" s="1"/>
  <c r="AD76" i="4"/>
  <c r="AD75" i="4"/>
  <c r="Y78" i="4"/>
  <c r="H78" i="4"/>
  <c r="AR77" i="4"/>
  <c r="AN77" i="4"/>
  <c r="AO77" i="4"/>
  <c r="Y77" i="4"/>
  <c r="H77" i="4"/>
  <c r="I27" i="4" s="1"/>
  <c r="J27" i="4" s="1"/>
  <c r="AR76" i="4"/>
  <c r="AN76" i="4"/>
  <c r="AO76" i="4" s="1"/>
  <c r="Y76" i="4"/>
  <c r="H76" i="4"/>
  <c r="AR75" i="4"/>
  <c r="AN75" i="4"/>
  <c r="AO75" i="4"/>
  <c r="Y75" i="4"/>
  <c r="I75" i="4"/>
  <c r="J75" i="4" s="1"/>
  <c r="H75" i="4"/>
  <c r="AR74" i="4"/>
  <c r="AD74" i="4"/>
  <c r="AD73" i="4"/>
  <c r="AD72" i="4"/>
  <c r="AE74" i="4" s="1"/>
  <c r="AH20" i="4" s="1"/>
  <c r="AD71" i="4"/>
  <c r="Y74" i="4"/>
  <c r="I74" i="4"/>
  <c r="J74" i="4" s="1"/>
  <c r="H74" i="4"/>
  <c r="AR73" i="4"/>
  <c r="Y73" i="4"/>
  <c r="H73" i="4"/>
  <c r="AR72" i="4"/>
  <c r="Y72" i="4"/>
  <c r="I72" i="4"/>
  <c r="J72" i="4" s="1"/>
  <c r="H72" i="4"/>
  <c r="AR71" i="4"/>
  <c r="Y71" i="4"/>
  <c r="H71" i="4"/>
  <c r="AR70" i="4"/>
  <c r="AD70" i="4"/>
  <c r="AD69" i="4"/>
  <c r="AD68" i="4"/>
  <c r="AD67" i="4"/>
  <c r="AE70" i="4"/>
  <c r="Y70" i="4"/>
  <c r="H70" i="4"/>
  <c r="I25" i="4" s="1"/>
  <c r="J25" i="4" s="1"/>
  <c r="AR69" i="4"/>
  <c r="Y69" i="4"/>
  <c r="I69" i="4"/>
  <c r="J69" i="4" s="1"/>
  <c r="H69" i="4"/>
  <c r="AR68" i="4"/>
  <c r="AO68" i="4"/>
  <c r="Y68" i="4"/>
  <c r="I68" i="4"/>
  <c r="J68" i="4" s="1"/>
  <c r="H68" i="4"/>
  <c r="I24" i="4" s="1"/>
  <c r="J24" i="4" s="1"/>
  <c r="AR67" i="4"/>
  <c r="Y67" i="4"/>
  <c r="I67" i="4"/>
  <c r="J67" i="4" s="1"/>
  <c r="H67" i="4"/>
  <c r="AR66" i="4"/>
  <c r="AD66" i="4"/>
  <c r="AD65" i="4"/>
  <c r="AD64" i="4"/>
  <c r="AE66" i="4" s="1"/>
  <c r="AH18" i="4" s="1"/>
  <c r="AD63" i="4"/>
  <c r="Y66" i="4"/>
  <c r="I66" i="4"/>
  <c r="J66" i="4" s="1"/>
  <c r="H66" i="4"/>
  <c r="AR65" i="4"/>
  <c r="Y65" i="4"/>
  <c r="H65" i="4"/>
  <c r="AR64" i="4"/>
  <c r="Y64" i="4"/>
  <c r="I64" i="4"/>
  <c r="J64" i="4" s="1"/>
  <c r="H64" i="4"/>
  <c r="AR63" i="4"/>
  <c r="AO63" i="4"/>
  <c r="Y63" i="4"/>
  <c r="H63" i="4"/>
  <c r="I23" i="4" s="1"/>
  <c r="J23" i="4" s="1"/>
  <c r="AR62" i="4"/>
  <c r="AD62" i="4"/>
  <c r="AD61" i="4"/>
  <c r="AD60" i="4"/>
  <c r="AD59" i="4"/>
  <c r="AE62" i="4"/>
  <c r="AH17" i="4" s="1"/>
  <c r="Y62" i="4"/>
  <c r="H62" i="4"/>
  <c r="AR61" i="4"/>
  <c r="Y61" i="4"/>
  <c r="I61" i="4"/>
  <c r="J61" i="4" s="1"/>
  <c r="H61" i="4"/>
  <c r="AR60" i="4"/>
  <c r="AO60" i="4"/>
  <c r="Y60" i="4"/>
  <c r="I60" i="4"/>
  <c r="J60" i="4" s="1"/>
  <c r="H60" i="4"/>
  <c r="AR59" i="4"/>
  <c r="Y59" i="4"/>
  <c r="I59" i="4"/>
  <c r="J59" i="4" s="1"/>
  <c r="H59" i="4"/>
  <c r="AR58" i="4"/>
  <c r="AD58" i="4"/>
  <c r="AD57" i="4"/>
  <c r="AE58" i="4" s="1"/>
  <c r="AH16" i="4" s="1"/>
  <c r="AD56" i="4"/>
  <c r="AD55" i="4"/>
  <c r="Y58" i="4"/>
  <c r="I58" i="4"/>
  <c r="J58" i="4" s="1"/>
  <c r="H58" i="4"/>
  <c r="AR57" i="4"/>
  <c r="Y57" i="4"/>
  <c r="H57" i="4"/>
  <c r="I21" i="4" s="1"/>
  <c r="J21" i="4" s="1"/>
  <c r="AR56" i="4"/>
  <c r="Y56" i="4"/>
  <c r="I56" i="4"/>
  <c r="J56" i="4" s="1"/>
  <c r="H56" i="4"/>
  <c r="AR55" i="4"/>
  <c r="Y55" i="4"/>
  <c r="H55" i="4"/>
  <c r="AR54" i="4"/>
  <c r="AD54" i="4"/>
  <c r="AD53" i="4"/>
  <c r="AD52" i="4"/>
  <c r="AD51" i="4"/>
  <c r="AE54" i="4"/>
  <c r="AA52" i="4"/>
  <c r="AA53" i="4" s="1"/>
  <c r="AA54" i="4" s="1"/>
  <c r="Y54" i="4"/>
  <c r="I54" i="4"/>
  <c r="J54" i="4" s="1"/>
  <c r="H54" i="4"/>
  <c r="AR53" i="4"/>
  <c r="AN53" i="4"/>
  <c r="AO53" i="4" s="1"/>
  <c r="Y53" i="4"/>
  <c r="I53" i="4"/>
  <c r="J53" i="4" s="1"/>
  <c r="H53" i="4"/>
  <c r="AR52" i="4"/>
  <c r="Y52" i="4"/>
  <c r="I52" i="4"/>
  <c r="J52" i="4"/>
  <c r="H52" i="4"/>
  <c r="AR51" i="4"/>
  <c r="Y51" i="4"/>
  <c r="H51" i="4"/>
  <c r="I19" i="4" s="1"/>
  <c r="J19" i="4" s="1"/>
  <c r="AR50" i="4"/>
  <c r="AD50" i="4"/>
  <c r="AD49" i="4"/>
  <c r="AD48" i="4"/>
  <c r="AD47" i="4"/>
  <c r="AE50" i="4"/>
  <c r="Y50" i="4"/>
  <c r="H50" i="4"/>
  <c r="AR49" i="4"/>
  <c r="Y49" i="4"/>
  <c r="I49" i="4"/>
  <c r="J49" i="4" s="1"/>
  <c r="H49" i="4"/>
  <c r="AR48" i="4"/>
  <c r="Y48" i="4"/>
  <c r="I48" i="4"/>
  <c r="J48" i="4" s="1"/>
  <c r="H48" i="4"/>
  <c r="AR47" i="4"/>
  <c r="AN47" i="4"/>
  <c r="AO47" i="4" s="1"/>
  <c r="Y47" i="4"/>
  <c r="H47" i="4"/>
  <c r="AR46" i="4"/>
  <c r="AN46" i="4"/>
  <c r="AO46" i="4"/>
  <c r="AD46" i="4"/>
  <c r="AD45" i="4"/>
  <c r="AD44" i="4"/>
  <c r="AD43" i="4"/>
  <c r="AE46" i="4" s="1"/>
  <c r="AH13" i="4" s="1"/>
  <c r="Y46" i="4"/>
  <c r="H46" i="4"/>
  <c r="AR45" i="4"/>
  <c r="AN45" i="4"/>
  <c r="AO45" i="4"/>
  <c r="Y45" i="4"/>
  <c r="H45" i="4"/>
  <c r="I17" i="4" s="1"/>
  <c r="J17" i="4" s="1"/>
  <c r="AR44" i="4"/>
  <c r="AN44" i="4"/>
  <c r="AO44" i="4"/>
  <c r="Y44" i="4"/>
  <c r="I44" i="4"/>
  <c r="J44" i="4" s="1"/>
  <c r="H44" i="4"/>
  <c r="AR43" i="4"/>
  <c r="AN43" i="4"/>
  <c r="AO43" i="4" s="1"/>
  <c r="Y43" i="4"/>
  <c r="I43" i="4"/>
  <c r="J43" i="4" s="1"/>
  <c r="H43" i="4"/>
  <c r="AR42" i="4"/>
  <c r="AD42" i="4"/>
  <c r="AD41" i="4"/>
  <c r="AE42" i="4" s="1"/>
  <c r="AH12" i="4" s="1"/>
  <c r="AD40" i="4"/>
  <c r="AD39" i="4"/>
  <c r="Y42" i="4"/>
  <c r="I42" i="4"/>
  <c r="J42" i="4" s="1"/>
  <c r="H42" i="4"/>
  <c r="AR41" i="4"/>
  <c r="AN41" i="4"/>
  <c r="AO41" i="4" s="1"/>
  <c r="Y41" i="4"/>
  <c r="H41" i="4"/>
  <c r="AR40" i="4"/>
  <c r="AN40" i="4"/>
  <c r="AO40" i="4"/>
  <c r="Y40" i="4"/>
  <c r="I40" i="4"/>
  <c r="J40" i="4"/>
  <c r="H40" i="4"/>
  <c r="I15" i="4" s="1"/>
  <c r="J15" i="4" s="1"/>
  <c r="AN39" i="4"/>
  <c r="AO39" i="4" s="1"/>
  <c r="Y39" i="4"/>
  <c r="I39" i="4"/>
  <c r="J39" i="4" s="1"/>
  <c r="H39" i="4"/>
  <c r="Y38" i="4"/>
  <c r="I38" i="4"/>
  <c r="J38" i="4" s="1"/>
  <c r="H38" i="4"/>
  <c r="AR37" i="4"/>
  <c r="I37" i="4"/>
  <c r="J37" i="4" s="1"/>
  <c r="H37" i="4"/>
  <c r="AR36" i="4"/>
  <c r="I36" i="4"/>
  <c r="J36" i="4"/>
  <c r="H36" i="4"/>
  <c r="I14" i="4" s="1"/>
  <c r="J14" i="4" s="1"/>
  <c r="AN35" i="4"/>
  <c r="H35" i="4"/>
  <c r="AN34" i="4"/>
  <c r="I34" i="4"/>
  <c r="J34" i="4" s="1"/>
  <c r="H34" i="4"/>
  <c r="AN33" i="4"/>
  <c r="I33" i="4"/>
  <c r="J33" i="4" s="1"/>
  <c r="H33" i="4"/>
  <c r="AR32" i="4"/>
  <c r="AN32" i="4"/>
  <c r="I32" i="4"/>
  <c r="J32" i="4" s="1"/>
  <c r="H32" i="4"/>
  <c r="I12" i="4" s="1"/>
  <c r="J12" i="4" s="1"/>
  <c r="AR31" i="4"/>
  <c r="AN31" i="4"/>
  <c r="H31" i="4"/>
  <c r="AR30" i="4"/>
  <c r="AN30" i="4"/>
  <c r="I30" i="4"/>
  <c r="J30" i="4" s="1"/>
  <c r="H30" i="4"/>
  <c r="AR29" i="4"/>
  <c r="AN29" i="4"/>
  <c r="I29" i="4"/>
  <c r="J29" i="4" s="1"/>
  <c r="H29" i="4"/>
  <c r="AR28" i="4"/>
  <c r="AN28" i="4"/>
  <c r="I28" i="4"/>
  <c r="J28" i="4" s="1"/>
  <c r="H28" i="4"/>
  <c r="AR27" i="4"/>
  <c r="AN27" i="4"/>
  <c r="H27" i="4"/>
  <c r="AR26" i="4"/>
  <c r="I26" i="4"/>
  <c r="J26" i="4" s="1"/>
  <c r="H26" i="4"/>
  <c r="AR25" i="4"/>
  <c r="AN25" i="4"/>
  <c r="H25" i="4"/>
  <c r="AR24" i="4"/>
  <c r="AN24" i="4"/>
  <c r="H24" i="4"/>
  <c r="I10" i="4" s="1"/>
  <c r="J10" i="4" s="1"/>
  <c r="AN23" i="4"/>
  <c r="H23" i="4"/>
  <c r="I22" i="4"/>
  <c r="J22" i="4" s="1"/>
  <c r="H22" i="4"/>
  <c r="AR21" i="4"/>
  <c r="H21" i="4"/>
  <c r="I9" i="4" s="1"/>
  <c r="J9" i="4" s="1"/>
  <c r="AR20" i="4"/>
  <c r="I20" i="4"/>
  <c r="J20" i="4" s="1"/>
  <c r="H20" i="4"/>
  <c r="AH19" i="4"/>
  <c r="H19" i="4"/>
  <c r="I8" i="4" s="1"/>
  <c r="J8" i="4" s="1"/>
  <c r="I18" i="4"/>
  <c r="J18" i="4" s="1"/>
  <c r="H18" i="4"/>
  <c r="AR17" i="4"/>
  <c r="H17" i="4"/>
  <c r="AR16" i="4"/>
  <c r="I16" i="4"/>
  <c r="J16" i="4" s="1"/>
  <c r="H16" i="4"/>
  <c r="AN15" i="4"/>
  <c r="AH15" i="4"/>
  <c r="H15" i="4"/>
  <c r="AH14" i="4"/>
  <c r="H14" i="4"/>
  <c r="I13" i="4"/>
  <c r="J13" i="4" s="1"/>
  <c r="H13" i="4"/>
  <c r="H12" i="4"/>
  <c r="I11" i="4"/>
  <c r="J11" i="4" s="1"/>
  <c r="H11" i="4"/>
  <c r="H10" i="4"/>
  <c r="H9" i="4"/>
  <c r="I5" i="4" s="1"/>
  <c r="J5" i="4" s="1"/>
  <c r="H8" i="4"/>
  <c r="I7" i="4"/>
  <c r="J7" i="4" s="1"/>
  <c r="H7" i="4"/>
  <c r="I6" i="4"/>
  <c r="J6" i="4"/>
  <c r="H6" i="4"/>
  <c r="H5" i="4"/>
  <c r="I4" i="4"/>
  <c r="J4" i="4" s="1"/>
  <c r="H4" i="4"/>
  <c r="H3" i="4"/>
  <c r="I3" i="4" s="1"/>
  <c r="J3" i="4" s="1"/>
  <c r="C6" i="1"/>
  <c r="C5" i="1"/>
  <c r="C4" i="1"/>
  <c r="C3" i="1"/>
  <c r="X5" i="17"/>
  <c r="D31" i="24" s="1"/>
  <c r="X7" i="17"/>
  <c r="D32" i="24" s="1"/>
  <c r="X3" i="17"/>
  <c r="D30" i="24" s="1"/>
  <c r="M10" i="2" l="1"/>
  <c r="BX10" i="9"/>
  <c r="M12" i="2"/>
  <c r="BQ6" i="9"/>
  <c r="BQ12" i="9"/>
  <c r="M15" i="2"/>
  <c r="M16" i="2"/>
  <c r="M17" i="2"/>
  <c r="M18" i="2"/>
  <c r="M19" i="2"/>
  <c r="M20" i="2"/>
  <c r="M21" i="2"/>
  <c r="M22" i="2"/>
  <c r="M23" i="2"/>
  <c r="M24" i="2"/>
  <c r="M25" i="2"/>
  <c r="M26" i="2"/>
  <c r="M27" i="2"/>
  <c r="BM10" i="9"/>
  <c r="BN10" i="9" s="1"/>
  <c r="AE22" i="4"/>
  <c r="AH7" i="4" s="1"/>
  <c r="G9" i="21" s="1"/>
  <c r="AE30" i="4"/>
  <c r="AH9" i="4" s="1"/>
  <c r="G11" i="21" s="1"/>
  <c r="AE38" i="4"/>
  <c r="AH11" i="4" s="1"/>
  <c r="G13" i="21" s="1"/>
  <c r="AF54" i="4"/>
  <c r="AJ15" i="4" s="1"/>
  <c r="G17" i="21" s="1"/>
  <c r="CL18" i="9"/>
  <c r="DD18" i="9" s="1"/>
  <c r="X19" i="21" s="1"/>
  <c r="CL19" i="9"/>
  <c r="DD17" i="9"/>
  <c r="X18" i="21" s="1"/>
  <c r="AM4" i="17"/>
  <c r="R4" i="17"/>
  <c r="AM8" i="17"/>
  <c r="R8" i="17"/>
  <c r="R15" i="17"/>
  <c r="AM15" i="17"/>
  <c r="R19" i="17"/>
  <c r="AM19" i="17"/>
  <c r="AQ12" i="16"/>
  <c r="AP12" i="16"/>
  <c r="DP8" i="9"/>
  <c r="BO7" i="16"/>
  <c r="X16" i="16"/>
  <c r="U15" i="2"/>
  <c r="Q17" i="2"/>
  <c r="AW13" i="9"/>
  <c r="BP13" i="9" s="1"/>
  <c r="BM20" i="9"/>
  <c r="BN20" i="9" s="1"/>
  <c r="BM24" i="9"/>
  <c r="BN24" i="9" s="1"/>
  <c r="BM23" i="9"/>
  <c r="BN23" i="9" s="1"/>
  <c r="BM27" i="9"/>
  <c r="BN27" i="9" s="1"/>
  <c r="BM26" i="9"/>
  <c r="BN26" i="9" s="1"/>
  <c r="BM67" i="9"/>
  <c r="BN67" i="9" s="1"/>
  <c r="B77" i="21"/>
  <c r="Q78" i="4"/>
  <c r="S21" i="4" s="1"/>
  <c r="H23" i="21" s="1"/>
  <c r="Q70" i="4"/>
  <c r="S19" i="4" s="1"/>
  <c r="H21" i="21" s="1"/>
  <c r="B69" i="21"/>
  <c r="B61" i="21"/>
  <c r="Q62" i="4"/>
  <c r="S17" i="4" s="1"/>
  <c r="H19" i="21" s="1"/>
  <c r="Q54" i="4"/>
  <c r="S15" i="4" s="1"/>
  <c r="H17" i="21" s="1"/>
  <c r="B53" i="21"/>
  <c r="B45" i="21"/>
  <c r="Q46" i="4"/>
  <c r="S13" i="4" s="1"/>
  <c r="H15" i="21" s="1"/>
  <c r="AM9" i="17"/>
  <c r="R9" i="17"/>
  <c r="AM12" i="17"/>
  <c r="R12" i="17"/>
  <c r="B4" i="21"/>
  <c r="S4" i="9"/>
  <c r="C4" i="21" s="1"/>
  <c r="C3" i="17" s="1"/>
  <c r="Q6" i="4"/>
  <c r="S3" i="4" s="1"/>
  <c r="H5" i="21" s="1"/>
  <c r="BQ13" i="9"/>
  <c r="AR13" i="16"/>
  <c r="DP9" i="9"/>
  <c r="BO8" i="16"/>
  <c r="BH12" i="16"/>
  <c r="CC14" i="16"/>
  <c r="DQ15" i="9"/>
  <c r="CH14" i="16" s="1"/>
  <c r="AD18" i="9"/>
  <c r="AJ18" i="9" s="1"/>
  <c r="W17" i="16" s="1"/>
  <c r="AQ18" i="4"/>
  <c r="BX12" i="9"/>
  <c r="AB74" i="4"/>
  <c r="AC74" i="4" s="1"/>
  <c r="AF74" i="4" s="1"/>
  <c r="AJ20" i="4" s="1"/>
  <c r="G22" i="21" s="1"/>
  <c r="CL10" i="9"/>
  <c r="DD10" i="9" s="1"/>
  <c r="X11" i="21" s="1"/>
  <c r="CL11" i="9"/>
  <c r="DD11" i="9" s="1"/>
  <c r="X12" i="21" s="1"/>
  <c r="B81" i="21"/>
  <c r="AM7" i="17"/>
  <c r="R7" i="17"/>
  <c r="B6" i="21"/>
  <c r="S6" i="9"/>
  <c r="C6" i="21" s="1"/>
  <c r="C5" i="17" s="1"/>
  <c r="B5" i="17" s="1"/>
  <c r="H3" i="17"/>
  <c r="AP13" i="16"/>
  <c r="AH13" i="16"/>
  <c r="BO9" i="16"/>
  <c r="DP10" i="9"/>
  <c r="BM12" i="9"/>
  <c r="BN12" i="9" s="1"/>
  <c r="Q16" i="2"/>
  <c r="BM28" i="9"/>
  <c r="BN28" i="9" s="1"/>
  <c r="BM68" i="9"/>
  <c r="BN68" i="9" s="1"/>
  <c r="BM70" i="9"/>
  <c r="BN70" i="9" s="1"/>
  <c r="BM69" i="9"/>
  <c r="BN69" i="9" s="1"/>
  <c r="AB57" i="4"/>
  <c r="AC57" i="4" s="1"/>
  <c r="AF58" i="4" s="1"/>
  <c r="AJ16" i="4" s="1"/>
  <c r="G18" i="21" s="1"/>
  <c r="AB58" i="4"/>
  <c r="AC58" i="4" s="1"/>
  <c r="AB60" i="4"/>
  <c r="AC60" i="4" s="1"/>
  <c r="AF62" i="4" s="1"/>
  <c r="AJ17" i="4" s="1"/>
  <c r="G19" i="21" s="1"/>
  <c r="AF70" i="4"/>
  <c r="AJ19" i="4" s="1"/>
  <c r="G21" i="21" s="1"/>
  <c r="AB75" i="4"/>
  <c r="AC75" i="4" s="1"/>
  <c r="AF78" i="4" s="1"/>
  <c r="AJ21" i="4" s="1"/>
  <c r="G23" i="21" s="1"/>
  <c r="DD19" i="9"/>
  <c r="X20" i="21" s="1"/>
  <c r="CL14" i="9"/>
  <c r="DD14" i="9" s="1"/>
  <c r="X15" i="21" s="1"/>
  <c r="CL15" i="9"/>
  <c r="DD15" i="9" s="1"/>
  <c r="X16" i="21" s="1"/>
  <c r="DD13" i="9"/>
  <c r="X14" i="21" s="1"/>
  <c r="B65" i="21"/>
  <c r="Q66" i="4"/>
  <c r="S18" i="4" s="1"/>
  <c r="H20" i="21" s="1"/>
  <c r="B49" i="21"/>
  <c r="Q50" i="4"/>
  <c r="S14" i="4" s="1"/>
  <c r="H16" i="21" s="1"/>
  <c r="AM5" i="17"/>
  <c r="R5" i="17"/>
  <c r="BX13" i="9"/>
  <c r="AT12" i="16" s="1"/>
  <c r="AU13" i="16" s="1"/>
  <c r="AE12" i="16"/>
  <c r="BO10" i="16"/>
  <c r="DP11" i="9"/>
  <c r="DJ12" i="9"/>
  <c r="DK12" i="9" s="1"/>
  <c r="DO12" i="9"/>
  <c r="DQ14" i="9"/>
  <c r="CH13" i="16" s="1"/>
  <c r="CC13" i="16"/>
  <c r="BC14" i="16"/>
  <c r="BC15" i="16"/>
  <c r="Z40" i="16"/>
  <c r="X78" i="16"/>
  <c r="X70" i="16"/>
  <c r="Z68" i="16"/>
  <c r="X68" i="16"/>
  <c r="BM61" i="9"/>
  <c r="BN61" i="9" s="1"/>
  <c r="BM77" i="9"/>
  <c r="BN77" i="9" s="1"/>
  <c r="CL7" i="9"/>
  <c r="DD7" i="9" s="1"/>
  <c r="X8" i="21" s="1"/>
  <c r="AB65" i="4"/>
  <c r="AC65" i="4" s="1"/>
  <c r="AF66" i="4" s="1"/>
  <c r="AJ18" i="4" s="1"/>
  <c r="G20" i="21" s="1"/>
  <c r="AE4" i="17"/>
  <c r="R6" i="17"/>
  <c r="B8" i="17"/>
  <c r="AE8" i="17"/>
  <c r="AM10" i="17"/>
  <c r="E11" i="17"/>
  <c r="AM13" i="17"/>
  <c r="AS13" i="17"/>
  <c r="AE15" i="17"/>
  <c r="E17" i="17"/>
  <c r="AE19" i="17"/>
  <c r="BY6" i="16"/>
  <c r="AR14" i="16"/>
  <c r="BO13" i="16"/>
  <c r="BX37" i="16"/>
  <c r="X40" i="16"/>
  <c r="BX43" i="16"/>
  <c r="X75" i="16"/>
  <c r="X76" i="16"/>
  <c r="X72" i="16"/>
  <c r="B80" i="21"/>
  <c r="R14" i="17"/>
  <c r="BF14" i="16"/>
  <c r="BT12" i="16"/>
  <c r="BO14" i="16"/>
  <c r="BV29" i="16"/>
  <c r="BV44" i="16"/>
  <c r="X46" i="16"/>
  <c r="BV51" i="16"/>
  <c r="D81" i="21"/>
  <c r="C8" i="24" s="1"/>
  <c r="D80" i="21"/>
  <c r="L8" i="24" s="1"/>
  <c r="X77" i="16"/>
  <c r="X74" i="16"/>
  <c r="X71" i="16"/>
  <c r="X69" i="16"/>
  <c r="W3" i="17"/>
  <c r="BF13" i="16"/>
  <c r="BH14" i="16"/>
  <c r="X31" i="16"/>
  <c r="X41" i="16"/>
  <c r="X45" i="16"/>
  <c r="X15" i="24"/>
  <c r="Z23" i="16"/>
  <c r="X73" i="16"/>
  <c r="AQ38" i="4"/>
  <c r="AC43" i="24"/>
  <c r="BC14" i="24"/>
  <c r="BC19" i="24"/>
  <c r="AC48" i="24"/>
  <c r="BO22" i="16"/>
  <c r="DP23" i="9"/>
  <c r="BM19" i="24"/>
  <c r="AP20" i="16"/>
  <c r="AS44" i="24" s="1"/>
  <c r="BO16" i="24"/>
  <c r="AD33" i="9"/>
  <c r="AJ33" i="9" s="1"/>
  <c r="W32" i="16" s="1"/>
  <c r="AQ33" i="4"/>
  <c r="AQ34" i="4" s="1"/>
  <c r="AC49" i="24"/>
  <c r="BC20" i="24"/>
  <c r="AD37" i="9"/>
  <c r="AJ37" i="9" s="1"/>
  <c r="W36" i="16" s="1"/>
  <c r="AQ22" i="4"/>
  <c r="AC40" i="24"/>
  <c r="BC11" i="24"/>
  <c r="AC46" i="24"/>
  <c r="BC17" i="24"/>
  <c r="BN17" i="24"/>
  <c r="AH18" i="16"/>
  <c r="AC51" i="24"/>
  <c r="BC22" i="24"/>
  <c r="BJ31" i="24"/>
  <c r="CQ23" i="9"/>
  <c r="BD22" i="16"/>
  <c r="DP35" i="9"/>
  <c r="BO34" i="16"/>
  <c r="BO35" i="16"/>
  <c r="Z74" i="9"/>
  <c r="AF74" i="9" s="1"/>
  <c r="AM73" i="4"/>
  <c r="AL52" i="4"/>
  <c r="Z52" i="9"/>
  <c r="AF52" i="9" s="1"/>
  <c r="AM51" i="4"/>
  <c r="AE15" i="16"/>
  <c r="BX16" i="9"/>
  <c r="AT15" i="16" s="1"/>
  <c r="BO19" i="24"/>
  <c r="BO24" i="24" s="1"/>
  <c r="AL20" i="16"/>
  <c r="BO54" i="16"/>
  <c r="DP55" i="9"/>
  <c r="BQ20" i="24"/>
  <c r="BG70" i="16"/>
  <c r="AW44" i="24" s="1"/>
  <c r="BD66" i="16"/>
  <c r="BN78" i="16"/>
  <c r="AX46" i="24" s="1"/>
  <c r="BR21" i="24"/>
  <c r="AH6" i="19"/>
  <c r="M8" i="13"/>
  <c r="N8" i="13" s="1"/>
  <c r="AD9" i="13" s="1"/>
  <c r="J7" i="19"/>
  <c r="K7" i="19" s="1"/>
  <c r="S14" i="13"/>
  <c r="AD17" i="17"/>
  <c r="AH6" i="17" s="1"/>
  <c r="AA13" i="19"/>
  <c r="AB13" i="19" s="1"/>
  <c r="S8" i="24"/>
  <c r="S23" i="13"/>
  <c r="T23" i="13" s="1"/>
  <c r="AA22" i="19"/>
  <c r="AB22" i="19" s="1"/>
  <c r="AC22" i="19" s="1"/>
  <c r="C73" i="13"/>
  <c r="C74" i="13"/>
  <c r="AF36" i="28"/>
  <c r="BV32" i="28"/>
  <c r="J23" i="19"/>
  <c r="K23" i="19" s="1"/>
  <c r="L26" i="19" s="1"/>
  <c r="F27" i="22"/>
  <c r="C28" i="20" s="1"/>
  <c r="C27" i="17"/>
  <c r="M24" i="13"/>
  <c r="N24" i="13" s="1"/>
  <c r="AD25" i="13" s="1"/>
  <c r="J15" i="19"/>
  <c r="K15" i="19" s="1"/>
  <c r="L18" i="19" s="1"/>
  <c r="M16" i="13"/>
  <c r="N16" i="13" s="1"/>
  <c r="AD17" i="13" s="1"/>
  <c r="C19" i="17"/>
  <c r="F19" i="22"/>
  <c r="C20" i="20" s="1"/>
  <c r="P65" i="19"/>
  <c r="Q65" i="19" s="1"/>
  <c r="G69" i="22"/>
  <c r="R31" i="24"/>
  <c r="R30" i="24"/>
  <c r="B75" i="24"/>
  <c r="B80" i="24" s="1"/>
  <c r="B67" i="24"/>
  <c r="AH25" i="9"/>
  <c r="O24" i="16" s="1"/>
  <c r="BG49" i="24"/>
  <c r="CQ75" i="9"/>
  <c r="BJ43" i="24"/>
  <c r="CQ71" i="9"/>
  <c r="BJ35" i="24"/>
  <c r="CQ39" i="9"/>
  <c r="DP17" i="9"/>
  <c r="BO16" i="16"/>
  <c r="BG18" i="16"/>
  <c r="DP18" i="9"/>
  <c r="BO17" i="16"/>
  <c r="B23" i="16"/>
  <c r="AH24" i="9"/>
  <c r="O23" i="16" s="1"/>
  <c r="AL26" i="4"/>
  <c r="Z26" i="9"/>
  <c r="AH29" i="9"/>
  <c r="O28" i="16" s="1"/>
  <c r="B28" i="16"/>
  <c r="Z28" i="16" s="1"/>
  <c r="M24" i="7"/>
  <c r="DI28" i="9" s="1"/>
  <c r="DI25" i="9"/>
  <c r="BO32" i="16"/>
  <c r="DP41" i="9"/>
  <c r="BO40" i="16"/>
  <c r="AN71" i="4"/>
  <c r="AO71" i="4" s="1"/>
  <c r="AA72" i="9"/>
  <c r="B76" i="16"/>
  <c r="AH77" i="9"/>
  <c r="B78" i="16"/>
  <c r="AH79" i="9"/>
  <c r="B46" i="16"/>
  <c r="AH47" i="9"/>
  <c r="BM21" i="24"/>
  <c r="BM13" i="24"/>
  <c r="AP14" i="16"/>
  <c r="BD18" i="9"/>
  <c r="BU18" i="9" s="1"/>
  <c r="Y22" i="2"/>
  <c r="BO74" i="16"/>
  <c r="DP75" i="9"/>
  <c r="BO64" i="16"/>
  <c r="DP65" i="9"/>
  <c r="BO60" i="16"/>
  <c r="DP61" i="9"/>
  <c r="BO47" i="16"/>
  <c r="DP48" i="9"/>
  <c r="DP50" i="9"/>
  <c r="BO49" i="16"/>
  <c r="BD58" i="16"/>
  <c r="BG58" i="16"/>
  <c r="AW41" i="24" s="1"/>
  <c r="BN62" i="16"/>
  <c r="BR17" i="24"/>
  <c r="BL54" i="16"/>
  <c r="V12" i="19"/>
  <c r="O13" i="13"/>
  <c r="P13" i="13" s="1"/>
  <c r="D16" i="17"/>
  <c r="BG22" i="16"/>
  <c r="AW32" i="24" s="1"/>
  <c r="AP15" i="16"/>
  <c r="AS39" i="24" s="1"/>
  <c r="BG66" i="16"/>
  <c r="AW43" i="24" s="1"/>
  <c r="AO15" i="16"/>
  <c r="AF44" i="24" s="1"/>
  <c r="AC47" i="24"/>
  <c r="I18" i="17"/>
  <c r="L5" i="24" s="1"/>
  <c r="Q15" i="24" s="1"/>
  <c r="CQ27" i="9"/>
  <c r="BJ50" i="24" s="1"/>
  <c r="DP63" i="9"/>
  <c r="DP54" i="9"/>
  <c r="DP30" i="9"/>
  <c r="DP20" i="9"/>
  <c r="AL20" i="4"/>
  <c r="Z20" i="9"/>
  <c r="AF20" i="9" s="1"/>
  <c r="AM19" i="4"/>
  <c r="AH36" i="9"/>
  <c r="O35" i="16" s="1"/>
  <c r="B35" i="16"/>
  <c r="BB38" i="16"/>
  <c r="DP39" i="9"/>
  <c r="B40" i="16"/>
  <c r="AH41" i="9"/>
  <c r="BO39" i="16"/>
  <c r="BO41" i="16"/>
  <c r="DP42" i="9"/>
  <c r="BD42" i="16"/>
  <c r="AN64" i="4"/>
  <c r="AA65" i="9"/>
  <c r="K46" i="16"/>
  <c r="B66" i="16"/>
  <c r="Z58" i="9"/>
  <c r="AF58" i="9" s="1"/>
  <c r="AM57" i="4"/>
  <c r="AE20" i="16"/>
  <c r="BX21" i="9"/>
  <c r="AT20" i="16" s="1"/>
  <c r="AE16" i="16"/>
  <c r="BX17" i="9"/>
  <c r="AT16" i="16" s="1"/>
  <c r="BO70" i="16"/>
  <c r="DP71" i="9"/>
  <c r="BD50" i="16"/>
  <c r="BB44" i="16"/>
  <c r="BD46" i="16" s="1"/>
  <c r="DP45" i="9"/>
  <c r="AK40" i="13"/>
  <c r="R39" i="13"/>
  <c r="AI40" i="13" s="1"/>
  <c r="AC45" i="24"/>
  <c r="V14" i="17"/>
  <c r="M7" i="24" s="1"/>
  <c r="R17" i="24" s="1"/>
  <c r="V16" i="17"/>
  <c r="M6" i="24" s="1"/>
  <c r="R16" i="24" s="1"/>
  <c r="V7" i="17"/>
  <c r="D6" i="24" s="1"/>
  <c r="D65" i="24" s="1"/>
  <c r="D9" i="24"/>
  <c r="M4" i="24"/>
  <c r="R18" i="24" s="1"/>
  <c r="V18" i="17"/>
  <c r="M5" i="24" s="1"/>
  <c r="R15" i="24" s="1"/>
  <c r="V9" i="17"/>
  <c r="D5" i="24" s="1"/>
  <c r="D64" i="24" s="1"/>
  <c r="BD49" i="24"/>
  <c r="BD47" i="24"/>
  <c r="BJ39" i="24"/>
  <c r="CQ55" i="9"/>
  <c r="B15" i="16"/>
  <c r="AH16" i="9"/>
  <c r="O15" i="16" s="1"/>
  <c r="M15" i="16" s="1"/>
  <c r="BO18" i="16"/>
  <c r="DP19" i="9"/>
  <c r="BD26" i="16"/>
  <c r="AL37" i="4"/>
  <c r="Z37" i="9"/>
  <c r="AF37" i="9" s="1"/>
  <c r="AM36" i="4"/>
  <c r="DG33" i="9"/>
  <c r="K32" i="7"/>
  <c r="DG36" i="9" s="1"/>
  <c r="BL42" i="16"/>
  <c r="AN55" i="4"/>
  <c r="AO55" i="4" s="1"/>
  <c r="AA56" i="9"/>
  <c r="B69" i="16"/>
  <c r="B64" i="16"/>
  <c r="Z64" i="16" s="1"/>
  <c r="AH61" i="9"/>
  <c r="B60" i="16"/>
  <c r="Z60" i="9"/>
  <c r="AF60" i="9" s="1"/>
  <c r="AM59" i="4"/>
  <c r="AL62" i="4"/>
  <c r="B53" i="16"/>
  <c r="AH54" i="9"/>
  <c r="BX23" i="9"/>
  <c r="AT22" i="16" s="1"/>
  <c r="AE22" i="16"/>
  <c r="BX19" i="9"/>
  <c r="AT18" i="16" s="1"/>
  <c r="BO20" i="24"/>
  <c r="AL21" i="16"/>
  <c r="AU45" i="24" s="1"/>
  <c r="BO76" i="16"/>
  <c r="BQ78" i="16" s="1"/>
  <c r="DP77" i="9"/>
  <c r="BB51" i="16"/>
  <c r="DP52" i="9"/>
  <c r="BL74" i="16"/>
  <c r="AC18" i="19"/>
  <c r="S33" i="13"/>
  <c r="AA32" i="19"/>
  <c r="AB32" i="19" s="1"/>
  <c r="AD36" i="17"/>
  <c r="S6" i="24"/>
  <c r="BL70" i="16"/>
  <c r="AG81" i="19"/>
  <c r="AC54" i="19"/>
  <c r="AB84" i="19"/>
  <c r="S13" i="13"/>
  <c r="T13" i="13" s="1"/>
  <c r="AA12" i="19"/>
  <c r="AB12" i="19" s="1"/>
  <c r="AI13" i="13"/>
  <c r="O14" i="13"/>
  <c r="P14" i="13" s="1"/>
  <c r="V13" i="19"/>
  <c r="D17" i="17"/>
  <c r="S27" i="13"/>
  <c r="T27" i="13" s="1"/>
  <c r="AA26" i="19"/>
  <c r="AB26" i="19" s="1"/>
  <c r="AC26" i="19" s="1"/>
  <c r="W26" i="17"/>
  <c r="D61" i="24" s="1"/>
  <c r="W28" i="17"/>
  <c r="D60" i="24" s="1"/>
  <c r="W24" i="17"/>
  <c r="D62" i="24" s="1"/>
  <c r="W30" i="17"/>
  <c r="D59" i="24" s="1"/>
  <c r="I9" i="17"/>
  <c r="C5" i="24" s="1"/>
  <c r="C64" i="24" s="1"/>
  <c r="CQ79" i="9"/>
  <c r="BJ45" i="24"/>
  <c r="CQ63" i="9"/>
  <c r="BJ41" i="24"/>
  <c r="CQ47" i="9"/>
  <c r="BJ37" i="24"/>
  <c r="AL17" i="4"/>
  <c r="Z17" i="9"/>
  <c r="AF17" i="9" s="1"/>
  <c r="AM16" i="4"/>
  <c r="DP16" i="9"/>
  <c r="BD18" i="16"/>
  <c r="DP27" i="9"/>
  <c r="AH31" i="9"/>
  <c r="O30" i="16" s="1"/>
  <c r="B30" i="16"/>
  <c r="Z30" i="16" s="1"/>
  <c r="BO31" i="16"/>
  <c r="DP32" i="9"/>
  <c r="BQ38" i="16"/>
  <c r="B39" i="16"/>
  <c r="Z39" i="16" s="1"/>
  <c r="AH40" i="9"/>
  <c r="AL42" i="4"/>
  <c r="Z42" i="9"/>
  <c r="AH69" i="9"/>
  <c r="AE19" i="16"/>
  <c r="BX20" i="9"/>
  <c r="AT19" i="16" s="1"/>
  <c r="BX15" i="9"/>
  <c r="AT14" i="16" s="1"/>
  <c r="AS14" i="16" s="1"/>
  <c r="BO63" i="16"/>
  <c r="DP64" i="9"/>
  <c r="DP66" i="9"/>
  <c r="BO65" i="16"/>
  <c r="BO55" i="16"/>
  <c r="DP56" i="9"/>
  <c r="DP58" i="9"/>
  <c r="BQ46" i="16"/>
  <c r="BD78" i="16"/>
  <c r="BL50" i="16"/>
  <c r="BL46" i="16"/>
  <c r="CV31" i="9"/>
  <c r="CA10" i="24" s="1"/>
  <c r="P51" i="9"/>
  <c r="BV15" i="24" s="1"/>
  <c r="CV55" i="9"/>
  <c r="CA16" i="24" s="1"/>
  <c r="CT63" i="9"/>
  <c r="BZ18" i="24" s="1"/>
  <c r="CT71" i="9"/>
  <c r="BZ20" i="24" s="1"/>
  <c r="CT79" i="9"/>
  <c r="BZ22" i="24" s="1"/>
  <c r="K4" i="19"/>
  <c r="O4" i="13"/>
  <c r="P4" i="13" s="1"/>
  <c r="V3" i="19"/>
  <c r="M4" i="13"/>
  <c r="N4" i="13" s="1"/>
  <c r="AD5" i="13" s="1"/>
  <c r="J3" i="19"/>
  <c r="K3" i="19" s="1"/>
  <c r="AA8" i="13"/>
  <c r="O9" i="13"/>
  <c r="P9" i="13" s="1"/>
  <c r="V8" i="19"/>
  <c r="S11" i="13"/>
  <c r="T11" i="13" s="1"/>
  <c r="S5" i="24"/>
  <c r="AA10" i="19"/>
  <c r="AB10" i="19" s="1"/>
  <c r="V17" i="13"/>
  <c r="AN18" i="13" s="1"/>
  <c r="AP18" i="13"/>
  <c r="T19" i="13"/>
  <c r="AJ26" i="17"/>
  <c r="E61" i="24" s="1"/>
  <c r="CQ31" i="9"/>
  <c r="BJ33" i="24"/>
  <c r="M20" i="7"/>
  <c r="DI24" i="9" s="1"/>
  <c r="DI21" i="9"/>
  <c r="BO25" i="16"/>
  <c r="DP26" i="9"/>
  <c r="K30" i="16"/>
  <c r="K24" i="7"/>
  <c r="DG28" i="9" s="1"/>
  <c r="DM28" i="9" s="1"/>
  <c r="BB27" i="16" s="1"/>
  <c r="K34" i="16"/>
  <c r="DP43" i="9"/>
  <c r="BO42" i="16"/>
  <c r="AH76" i="9"/>
  <c r="B75" i="16"/>
  <c r="AH78" i="9"/>
  <c r="B77" i="16"/>
  <c r="B72" i="16"/>
  <c r="AH73" i="9"/>
  <c r="AL74" i="4"/>
  <c r="Z68" i="9"/>
  <c r="AF68" i="9" s="1"/>
  <c r="AL70" i="4"/>
  <c r="AM67" i="4"/>
  <c r="Z66" i="9"/>
  <c r="AF66" i="9" s="1"/>
  <c r="AM65" i="4"/>
  <c r="AN61" i="4"/>
  <c r="AO61" i="4" s="1"/>
  <c r="AA62" i="9"/>
  <c r="B56" i="16"/>
  <c r="AH57" i="9"/>
  <c r="AL58" i="4"/>
  <c r="AH45" i="9"/>
  <c r="BD22" i="9"/>
  <c r="BU22" i="9" s="1"/>
  <c r="Y26" i="2"/>
  <c r="BO71" i="16"/>
  <c r="DP72" i="9"/>
  <c r="DP74" i="9"/>
  <c r="BQ66" i="16"/>
  <c r="BO58" i="16"/>
  <c r="DP59" i="9"/>
  <c r="BO48" i="16"/>
  <c r="DP49" i="9"/>
  <c r="BD70" i="16"/>
  <c r="BL66" i="16"/>
  <c r="CV19" i="9"/>
  <c r="CA7" i="24" s="1"/>
  <c r="CV35" i="9"/>
  <c r="CA11" i="24" s="1"/>
  <c r="CV43" i="9"/>
  <c r="CA13" i="24" s="1"/>
  <c r="P67" i="9"/>
  <c r="BV19" i="24" s="1"/>
  <c r="P75" i="9"/>
  <c r="BV21" i="24" s="1"/>
  <c r="J6" i="19"/>
  <c r="K6" i="19" s="1"/>
  <c r="L6" i="19" s="1"/>
  <c r="AF4" i="19"/>
  <c r="AG4" i="19" s="1"/>
  <c r="O6" i="13"/>
  <c r="P6" i="13" s="1"/>
  <c r="V5" i="19"/>
  <c r="O8" i="13"/>
  <c r="P8" i="13" s="1"/>
  <c r="V7" i="19"/>
  <c r="Q5" i="24"/>
  <c r="M9" i="13"/>
  <c r="N9" i="13" s="1"/>
  <c r="AD10" i="13" s="1"/>
  <c r="J8" i="19"/>
  <c r="K8" i="19" s="1"/>
  <c r="L10" i="19" s="1"/>
  <c r="O11" i="13"/>
  <c r="P11" i="13" s="1"/>
  <c r="V10" i="19"/>
  <c r="V11" i="19"/>
  <c r="O12" i="13"/>
  <c r="P12" i="13" s="1"/>
  <c r="D15" i="17"/>
  <c r="O15" i="13"/>
  <c r="P15" i="13" s="1"/>
  <c r="V14" i="19"/>
  <c r="S16" i="13"/>
  <c r="T16" i="13" s="1"/>
  <c r="AA15" i="19"/>
  <c r="AB15" i="19" s="1"/>
  <c r="AD19" i="17"/>
  <c r="AH7" i="17" s="1"/>
  <c r="W45" i="13"/>
  <c r="X45" i="13" s="1"/>
  <c r="R8" i="24"/>
  <c r="R6" i="24"/>
  <c r="AH28" i="9"/>
  <c r="O27" i="16" s="1"/>
  <c r="DP67" i="9"/>
  <c r="DP51" i="9"/>
  <c r="DP34" i="9"/>
  <c r="Z30" i="9"/>
  <c r="Z34" i="9"/>
  <c r="AN72" i="4"/>
  <c r="AO72" i="4" s="1"/>
  <c r="AM69" i="4"/>
  <c r="AN56" i="4"/>
  <c r="AO56" i="4" s="1"/>
  <c r="Z72" i="9"/>
  <c r="AF72" i="9" s="1"/>
  <c r="Z64" i="9"/>
  <c r="Z62" i="9"/>
  <c r="AF62" i="9" s="1"/>
  <c r="Z56" i="9"/>
  <c r="AF56" i="9" s="1"/>
  <c r="Z48" i="9"/>
  <c r="AL48" i="4"/>
  <c r="B43" i="16"/>
  <c r="Z43" i="16" s="1"/>
  <c r="Z46" i="9"/>
  <c r="BO72" i="16"/>
  <c r="BO56" i="16"/>
  <c r="AG82" i="19"/>
  <c r="AR8" i="9"/>
  <c r="AR11" i="9"/>
  <c r="AR12" i="9"/>
  <c r="AR13" i="9"/>
  <c r="AD13" i="13"/>
  <c r="J14" i="13"/>
  <c r="J13" i="13"/>
  <c r="O21" i="13"/>
  <c r="P21" i="13" s="1"/>
  <c r="V20" i="19"/>
  <c r="W20" i="19" s="1"/>
  <c r="X22" i="19" s="1"/>
  <c r="O24" i="13"/>
  <c r="P24" i="13" s="1"/>
  <c r="V23" i="19"/>
  <c r="W23" i="19" s="1"/>
  <c r="N23" i="13"/>
  <c r="AD24" i="13" s="1"/>
  <c r="AF24" i="13"/>
  <c r="O28" i="13"/>
  <c r="P28" i="13" s="1"/>
  <c r="V27" i="19"/>
  <c r="W27" i="19" s="1"/>
  <c r="O31" i="13"/>
  <c r="P31" i="13" s="1"/>
  <c r="V30" i="19"/>
  <c r="W30" i="19" s="1"/>
  <c r="X30" i="19" s="1"/>
  <c r="S32" i="13"/>
  <c r="T32" i="13" s="1"/>
  <c r="AA31" i="19"/>
  <c r="AB31" i="19" s="1"/>
  <c r="P35" i="13"/>
  <c r="AP33" i="13"/>
  <c r="V32" i="13"/>
  <c r="AG40" i="13"/>
  <c r="AU8" i="13" s="1"/>
  <c r="AU27" i="13"/>
  <c r="S44" i="13"/>
  <c r="T44" i="13" s="1"/>
  <c r="AA43" i="19"/>
  <c r="AB43" i="19" s="1"/>
  <c r="AY28" i="13"/>
  <c r="S50" i="13"/>
  <c r="T50" i="13" s="1"/>
  <c r="AA49" i="19"/>
  <c r="AB49" i="19" s="1"/>
  <c r="R48" i="13"/>
  <c r="AI49" i="13" s="1"/>
  <c r="W53" i="13"/>
  <c r="X53" i="13" s="1"/>
  <c r="AF52" i="19"/>
  <c r="AG52" i="19" s="1"/>
  <c r="AH54" i="19" s="1"/>
  <c r="AK56" i="13"/>
  <c r="R55" i="13"/>
  <c r="AI56" i="13" s="1"/>
  <c r="AL56" i="13"/>
  <c r="K21" i="22"/>
  <c r="J13" i="20" s="1"/>
  <c r="Z13" i="13"/>
  <c r="AH50" i="19"/>
  <c r="AH46" i="19"/>
  <c r="AH42" i="19"/>
  <c r="AH38" i="19"/>
  <c r="AH34" i="19"/>
  <c r="AB85" i="19"/>
  <c r="R4" i="13"/>
  <c r="AI5" i="13" s="1"/>
  <c r="R7" i="13"/>
  <c r="AI8" i="13" s="1"/>
  <c r="J8" i="13"/>
  <c r="R8" i="13"/>
  <c r="AI9" i="13" s="1"/>
  <c r="J10" i="13"/>
  <c r="AA10" i="13" s="1"/>
  <c r="J9" i="13"/>
  <c r="AA9" i="13" s="1"/>
  <c r="R9" i="13"/>
  <c r="AI10" i="13" s="1"/>
  <c r="W12" i="13"/>
  <c r="X12" i="13" s="1"/>
  <c r="AF11" i="19"/>
  <c r="AG11" i="19" s="1"/>
  <c r="AP15" i="13"/>
  <c r="V14" i="13"/>
  <c r="AN15" i="13" s="1"/>
  <c r="O19" i="13"/>
  <c r="V18" i="19"/>
  <c r="O25" i="13"/>
  <c r="V24" i="19"/>
  <c r="W24" i="19" s="1"/>
  <c r="X26" i="19" s="1"/>
  <c r="O29" i="13"/>
  <c r="P29" i="13" s="1"/>
  <c r="V28" i="19"/>
  <c r="W28" i="19" s="1"/>
  <c r="V31" i="13"/>
  <c r="AN32" i="13" s="1"/>
  <c r="AA34" i="19"/>
  <c r="AB34" i="19" s="1"/>
  <c r="S35" i="13"/>
  <c r="T35" i="13" s="1"/>
  <c r="N32" i="13"/>
  <c r="AF34" i="13"/>
  <c r="N33" i="13"/>
  <c r="AD34" i="13" s="1"/>
  <c r="S39" i="13"/>
  <c r="T39" i="13" s="1"/>
  <c r="AA38" i="19"/>
  <c r="AB38" i="19" s="1"/>
  <c r="AC38" i="19" s="1"/>
  <c r="T42" i="13"/>
  <c r="S45" i="13"/>
  <c r="T45" i="13" s="1"/>
  <c r="AA44" i="19"/>
  <c r="AB44" i="19" s="1"/>
  <c r="S49" i="13"/>
  <c r="T49" i="13" s="1"/>
  <c r="AA48" i="19"/>
  <c r="AB48" i="19" s="1"/>
  <c r="AL72" i="13"/>
  <c r="AW16" i="13" s="1"/>
  <c r="AW35" i="13"/>
  <c r="V6" i="19"/>
  <c r="AH22" i="19"/>
  <c r="AH18" i="19"/>
  <c r="X50" i="19"/>
  <c r="X34" i="19"/>
  <c r="X74" i="19"/>
  <c r="AR9" i="9"/>
  <c r="J6" i="13"/>
  <c r="R6" i="13"/>
  <c r="AI7" i="13" s="1"/>
  <c r="W8" i="13"/>
  <c r="X8" i="13" s="1"/>
  <c r="AF7" i="19"/>
  <c r="AG7" i="19" s="1"/>
  <c r="AF8" i="19"/>
  <c r="AG8" i="19" s="1"/>
  <c r="AH10" i="19" s="1"/>
  <c r="W9" i="13"/>
  <c r="X9" i="13" s="1"/>
  <c r="W10" i="13"/>
  <c r="AF9" i="19"/>
  <c r="AG9" i="19" s="1"/>
  <c r="X11" i="13"/>
  <c r="C11" i="13"/>
  <c r="C10" i="13"/>
  <c r="AP11" i="13" s="1"/>
  <c r="W13" i="13"/>
  <c r="X13" i="13" s="1"/>
  <c r="AF12" i="19"/>
  <c r="AG12" i="19" s="1"/>
  <c r="AH14" i="19" s="1"/>
  <c r="V12" i="13"/>
  <c r="E15" i="13"/>
  <c r="R15" i="13" s="1"/>
  <c r="AI16" i="13" s="1"/>
  <c r="E14" i="13"/>
  <c r="O20" i="13"/>
  <c r="P20" i="13" s="1"/>
  <c r="V19" i="19"/>
  <c r="W19" i="19" s="1"/>
  <c r="R20" i="13"/>
  <c r="AI21" i="13" s="1"/>
  <c r="W26" i="13"/>
  <c r="X26" i="13" s="1"/>
  <c r="AF25" i="19"/>
  <c r="AG25" i="19" s="1"/>
  <c r="AH26" i="19" s="1"/>
  <c r="G25" i="13"/>
  <c r="V27" i="13"/>
  <c r="AN28" i="13" s="1"/>
  <c r="AP28" i="13"/>
  <c r="P32" i="13"/>
  <c r="X32" i="13"/>
  <c r="C30" i="13"/>
  <c r="AP31" i="13" s="1"/>
  <c r="AQ32" i="13" s="1"/>
  <c r="C31" i="13"/>
  <c r="AP32" i="13" s="1"/>
  <c r="S38" i="13"/>
  <c r="T38" i="13" s="1"/>
  <c r="AA37" i="19"/>
  <c r="AB37" i="19" s="1"/>
  <c r="S40" i="13"/>
  <c r="AA39" i="19"/>
  <c r="AB39" i="19" s="1"/>
  <c r="AC42" i="19" s="1"/>
  <c r="AW27" i="13"/>
  <c r="AL40" i="13"/>
  <c r="AW8" i="13" s="1"/>
  <c r="S46" i="13"/>
  <c r="T46" i="13" s="1"/>
  <c r="AA45" i="19"/>
  <c r="AB45" i="19" s="1"/>
  <c r="AC46" i="19" s="1"/>
  <c r="X55" i="13"/>
  <c r="V55" i="13"/>
  <c r="AN56" i="13" s="1"/>
  <c r="R65" i="13"/>
  <c r="AI66" i="13" s="1"/>
  <c r="AK66" i="13"/>
  <c r="M14" i="21"/>
  <c r="U10" i="13"/>
  <c r="V10" i="13" s="1"/>
  <c r="AN11" i="13" s="1"/>
  <c r="X15" i="13"/>
  <c r="V15" i="13"/>
  <c r="AN16" i="13" s="1"/>
  <c r="N20" i="13"/>
  <c r="AD21" i="13" s="1"/>
  <c r="E19" i="13"/>
  <c r="R19" i="13" s="1"/>
  <c r="AI20" i="13" s="1"/>
  <c r="V20" i="13"/>
  <c r="AN21" i="13" s="1"/>
  <c r="R22" i="13"/>
  <c r="AI23" i="13" s="1"/>
  <c r="C25" i="13"/>
  <c r="N31" i="13"/>
  <c r="AD32" i="13" s="1"/>
  <c r="E33" i="13"/>
  <c r="AK34" i="13" s="1"/>
  <c r="T43" i="13"/>
  <c r="G40" i="13"/>
  <c r="AF41" i="13" s="1"/>
  <c r="R46" i="13"/>
  <c r="AI47" i="13" s="1"/>
  <c r="AJ48" i="13" s="1"/>
  <c r="AV10" i="13" s="1"/>
  <c r="E43" i="13"/>
  <c r="P50" i="13"/>
  <c r="X50" i="13"/>
  <c r="G47" i="13"/>
  <c r="AF48" i="13" s="1"/>
  <c r="P56" i="13"/>
  <c r="AP52" i="13"/>
  <c r="AQ52" i="13" s="1"/>
  <c r="AY11" i="13" s="1"/>
  <c r="V51" i="13"/>
  <c r="AN52" i="13" s="1"/>
  <c r="G55" i="13"/>
  <c r="AF56" i="13" s="1"/>
  <c r="T68" i="13"/>
  <c r="AL48" i="13"/>
  <c r="AW10" i="13" s="1"/>
  <c r="AW29" i="13"/>
  <c r="T51" i="13"/>
  <c r="AF49" i="13"/>
  <c r="N48" i="13"/>
  <c r="AD49" i="13" s="1"/>
  <c r="AT30" i="13" s="1"/>
  <c r="AK48" i="13"/>
  <c r="R47" i="13"/>
  <c r="AI48" i="13" s="1"/>
  <c r="V48" i="13"/>
  <c r="AN49" i="13" s="1"/>
  <c r="R52" i="13"/>
  <c r="AF57" i="13"/>
  <c r="N56" i="13"/>
  <c r="AD57" i="13" s="1"/>
  <c r="AD15" i="26"/>
  <c r="AD22" i="26"/>
  <c r="H9" i="27"/>
  <c r="H18" i="27"/>
  <c r="AA50" i="19"/>
  <c r="AB50" i="19" s="1"/>
  <c r="AC50" i="19" s="1"/>
  <c r="T15" i="13"/>
  <c r="AF15" i="13"/>
  <c r="N14" i="13"/>
  <c r="X20" i="13"/>
  <c r="G19" i="13"/>
  <c r="X27" i="13"/>
  <c r="V26" i="13"/>
  <c r="AN27" i="13" s="1"/>
  <c r="V28" i="13"/>
  <c r="AN29" i="13" s="1"/>
  <c r="R32" i="13"/>
  <c r="AK33" i="13"/>
  <c r="X40" i="13"/>
  <c r="V38" i="13"/>
  <c r="AN39" i="13" s="1"/>
  <c r="V36" i="13"/>
  <c r="AN37" i="13" s="1"/>
  <c r="V42" i="13"/>
  <c r="AN43" i="13" s="1"/>
  <c r="AO44" i="13" s="1"/>
  <c r="AX9" i="13" s="1"/>
  <c r="C39" i="13"/>
  <c r="AP44" i="13"/>
  <c r="AQ44" i="13" s="1"/>
  <c r="AY9" i="13" s="1"/>
  <c r="V43" i="13"/>
  <c r="AN44" i="13" s="1"/>
  <c r="AX28" i="13" s="1"/>
  <c r="V50" i="13"/>
  <c r="AN51" i="13" s="1"/>
  <c r="I15" i="13"/>
  <c r="C47" i="13"/>
  <c r="AF55" i="13"/>
  <c r="N54" i="13"/>
  <c r="AD55" i="13" s="1"/>
  <c r="E51" i="13"/>
  <c r="AK52" i="13" s="1"/>
  <c r="V54" i="13"/>
  <c r="AN55" i="13" s="1"/>
  <c r="AK64" i="13"/>
  <c r="R63" i="13"/>
  <c r="AI64" i="13" s="1"/>
  <c r="AL64" i="13"/>
  <c r="AW14" i="13" s="1"/>
  <c r="AW33" i="13"/>
  <c r="AX34" i="13"/>
  <c r="AO68" i="13"/>
  <c r="AX15" i="13" s="1"/>
  <c r="AG72" i="13"/>
  <c r="AU16" i="13" s="1"/>
  <c r="BI19" i="9"/>
  <c r="BI18" i="9"/>
  <c r="L14" i="22"/>
  <c r="D51" i="24" s="1"/>
  <c r="L13" i="22"/>
  <c r="D50" i="24" s="1"/>
  <c r="Q13" i="22"/>
  <c r="Q12" i="22"/>
  <c r="L12" i="22"/>
  <c r="D49" i="24" s="1"/>
  <c r="L11" i="22"/>
  <c r="D48" i="24" s="1"/>
  <c r="Q5" i="22"/>
  <c r="L10" i="22"/>
  <c r="D47" i="24" s="1"/>
  <c r="Q10" i="22"/>
  <c r="Q9" i="22"/>
  <c r="L9" i="22"/>
  <c r="D46" i="24" s="1"/>
  <c r="L7" i="22"/>
  <c r="D44" i="24" s="1"/>
  <c r="Q7" i="22"/>
  <c r="L6" i="22"/>
  <c r="D43" i="24" s="1"/>
  <c r="L4" i="22"/>
  <c r="D41" i="24" s="1"/>
  <c r="Q6" i="22"/>
  <c r="Q4" i="22"/>
  <c r="Q3" i="22"/>
  <c r="G35" i="13"/>
  <c r="E40" i="13"/>
  <c r="AK41" i="13" s="1"/>
  <c r="G44" i="13"/>
  <c r="AF45" i="13" s="1"/>
  <c r="C44" i="13"/>
  <c r="AP45" i="13" s="1"/>
  <c r="E48" i="13"/>
  <c r="G52" i="13"/>
  <c r="E54" i="13"/>
  <c r="AK55" i="13" s="1"/>
  <c r="AW31" i="13" s="1"/>
  <c r="C52" i="13"/>
  <c r="AP53" i="13" s="1"/>
  <c r="G58" i="13"/>
  <c r="X64" i="13"/>
  <c r="R60" i="13"/>
  <c r="AI61" i="13" s="1"/>
  <c r="G63" i="13"/>
  <c r="AF64" i="13" s="1"/>
  <c r="AG64" i="13" s="1"/>
  <c r="AU14" i="13" s="1"/>
  <c r="X72" i="13"/>
  <c r="R71" i="13"/>
  <c r="AI72" i="13" s="1"/>
  <c r="C70" i="13"/>
  <c r="AP71" i="13" s="1"/>
  <c r="C71" i="13"/>
  <c r="Q19" i="2"/>
  <c r="U23" i="2"/>
  <c r="M8" i="22"/>
  <c r="E45" i="24" s="1"/>
  <c r="R8" i="22"/>
  <c r="AD12" i="26"/>
  <c r="AD45" i="26"/>
  <c r="AD57" i="26"/>
  <c r="AD63" i="26"/>
  <c r="BV15" i="28"/>
  <c r="AL60" i="13"/>
  <c r="AW13" i="13" s="1"/>
  <c r="T65" i="13"/>
  <c r="AG68" i="13"/>
  <c r="AU15" i="13" s="1"/>
  <c r="G70" i="13"/>
  <c r="AF71" i="13" s="1"/>
  <c r="AU35" i="13" s="1"/>
  <c r="G71" i="13"/>
  <c r="AF72" i="13" s="1"/>
  <c r="T73" i="13"/>
  <c r="AF73" i="13"/>
  <c r="N72" i="13"/>
  <c r="AD73" i="13" s="1"/>
  <c r="V73" i="13"/>
  <c r="AN74" i="13" s="1"/>
  <c r="U20" i="2"/>
  <c r="BI21" i="9"/>
  <c r="BS21" i="9" s="1"/>
  <c r="Q21" i="21" s="1"/>
  <c r="BI22" i="9"/>
  <c r="BS22" i="9"/>
  <c r="Q22" i="21" s="1"/>
  <c r="AD5" i="26"/>
  <c r="AD11" i="26"/>
  <c r="AD23" i="26"/>
  <c r="AD30" i="26"/>
  <c r="AD35" i="26"/>
  <c r="AD44" i="26"/>
  <c r="AF4" i="28"/>
  <c r="C56" i="13"/>
  <c r="AP57" i="13" s="1"/>
  <c r="P62" i="13"/>
  <c r="N62" i="13"/>
  <c r="AD63" i="13" s="1"/>
  <c r="R61" i="13"/>
  <c r="AI62" i="13" s="1"/>
  <c r="V62" i="13"/>
  <c r="AN63" i="13" s="1"/>
  <c r="N64" i="13"/>
  <c r="AD65" i="13" s="1"/>
  <c r="C63" i="13"/>
  <c r="N70" i="13"/>
  <c r="AD71" i="13" s="1"/>
  <c r="R69" i="13"/>
  <c r="AI70" i="13" s="1"/>
  <c r="E67" i="13"/>
  <c r="V70" i="13"/>
  <c r="AN71" i="13" s="1"/>
  <c r="X74" i="13"/>
  <c r="R73" i="13"/>
  <c r="AI74" i="13" s="1"/>
  <c r="E72" i="13"/>
  <c r="T72" i="13" s="1"/>
  <c r="R9" i="22"/>
  <c r="U21" i="2"/>
  <c r="AD4" i="26"/>
  <c r="Q22" i="2"/>
  <c r="U24" i="2"/>
  <c r="U27" i="2"/>
  <c r="Q14" i="22"/>
  <c r="AD20" i="26"/>
  <c r="AD28" i="26"/>
  <c r="AD33" i="26"/>
  <c r="AD41" i="26"/>
  <c r="AD49" i="26"/>
  <c r="AD56" i="26"/>
  <c r="AD66" i="26"/>
  <c r="H36" i="27"/>
  <c r="H49" i="27"/>
  <c r="H62" i="27"/>
  <c r="H65" i="27"/>
  <c r="H68" i="27"/>
  <c r="AF12" i="28"/>
  <c r="BV21" i="28"/>
  <c r="H23" i="27"/>
  <c r="H27" i="27"/>
  <c r="H35" i="27"/>
  <c r="H51" i="27"/>
  <c r="AD5" i="24"/>
  <c r="AD13" i="24" s="1"/>
  <c r="X27" i="24"/>
  <c r="X35" i="24" s="1"/>
  <c r="Q18" i="2"/>
  <c r="G80" i="22"/>
  <c r="AD9" i="26"/>
  <c r="AD18" i="26"/>
  <c r="AD26" i="26"/>
  <c r="AD31" i="26"/>
  <c r="AD38" i="26"/>
  <c r="AD39" i="26"/>
  <c r="AD47" i="26"/>
  <c r="AD53" i="26"/>
  <c r="AD55" i="26"/>
  <c r="AD65" i="26"/>
  <c r="H7" i="27"/>
  <c r="H17" i="27"/>
  <c r="H42" i="27"/>
  <c r="H45" i="27"/>
  <c r="H48" i="27"/>
  <c r="H64" i="27"/>
  <c r="AF20" i="28"/>
  <c r="BV16" i="28"/>
  <c r="H24" i="27"/>
  <c r="BV29" i="28"/>
  <c r="H55" i="27"/>
  <c r="H63" i="27"/>
  <c r="J27" i="19"/>
  <c r="K27" i="19" s="1"/>
  <c r="L30" i="19" s="1"/>
  <c r="F31" i="22"/>
  <c r="C32" i="20" s="1"/>
  <c r="K78" i="19"/>
  <c r="K80" i="19" s="1"/>
  <c r="C77" i="24" s="1"/>
  <c r="K79" i="19"/>
  <c r="AD6" i="26"/>
  <c r="AD7" i="26"/>
  <c r="AD13" i="26"/>
  <c r="AD16" i="26"/>
  <c r="AD24" i="26"/>
  <c r="AD36" i="26"/>
  <c r="AD46" i="26"/>
  <c r="AD51" i="26"/>
  <c r="AD58" i="26"/>
  <c r="AD64" i="26"/>
  <c r="AD67" i="26"/>
  <c r="H3" i="27"/>
  <c r="H13" i="27"/>
  <c r="H19" i="27"/>
  <c r="H38" i="27"/>
  <c r="H41" i="27"/>
  <c r="AF28" i="28"/>
  <c r="BV13" i="28"/>
  <c r="BV37" i="28"/>
  <c r="H43" i="27"/>
  <c r="H47" i="27"/>
  <c r="H67" i="27"/>
  <c r="P73" i="19"/>
  <c r="Q73" i="19" s="1"/>
  <c r="R74" i="19" s="1"/>
  <c r="G77" i="22"/>
  <c r="L5" i="22" s="1"/>
  <c r="D42" i="24" s="1"/>
  <c r="B31" i="27"/>
  <c r="H31" i="27" s="1"/>
  <c r="B39" i="27"/>
  <c r="H39" i="27" s="1"/>
  <c r="BS7" i="28"/>
  <c r="BV7" i="28" s="1"/>
  <c r="BS15" i="28"/>
  <c r="BS23" i="28"/>
  <c r="BV23" i="28" s="1"/>
  <c r="BP24" i="28"/>
  <c r="BV24" i="28" s="1"/>
  <c r="CF78" i="9"/>
  <c r="CG78" i="9" s="1"/>
  <c r="CH78" i="9" s="1"/>
  <c r="CW78" i="9" s="1"/>
  <c r="CX78" i="9" s="1"/>
  <c r="AE5" i="24"/>
  <c r="AG13" i="24" s="1"/>
  <c r="Y27" i="24"/>
  <c r="Y35" i="24" s="1"/>
  <c r="Q81" i="19"/>
  <c r="Q83" i="19" s="1"/>
  <c r="D78" i="24" s="1"/>
  <c r="Q82" i="19"/>
  <c r="Q75" i="19"/>
  <c r="Q78" i="19"/>
  <c r="Q79" i="19"/>
  <c r="Q68" i="19"/>
  <c r="R70" i="19" s="1"/>
  <c r="CF79" i="9"/>
  <c r="CG79" i="9" s="1"/>
  <c r="N68" i="19"/>
  <c r="N58" i="19"/>
  <c r="CF55" i="9"/>
  <c r="CG55" i="9" s="1"/>
  <c r="CF74" i="9"/>
  <c r="CG74" i="9" s="1"/>
  <c r="CF70" i="9"/>
  <c r="CG70" i="9" s="1"/>
  <c r="CF61" i="9"/>
  <c r="CG61" i="9" s="1"/>
  <c r="N48" i="19"/>
  <c r="N44" i="19"/>
  <c r="CF72" i="9"/>
  <c r="CG72" i="9" s="1"/>
  <c r="CH72" i="9" s="1"/>
  <c r="CW72" i="9" s="1"/>
  <c r="CX72" i="9" s="1"/>
  <c r="N62" i="19"/>
  <c r="CF66" i="9"/>
  <c r="CG66" i="9" s="1"/>
  <c r="CF57" i="9"/>
  <c r="CG57" i="9" s="1"/>
  <c r="N46" i="19"/>
  <c r="O46" i="19" s="1"/>
  <c r="CF38" i="9"/>
  <c r="CG38" i="9" s="1"/>
  <c r="CF35" i="9"/>
  <c r="CG35" i="9" s="1"/>
  <c r="CF30" i="9"/>
  <c r="CG30" i="9" s="1"/>
  <c r="CF20" i="9"/>
  <c r="CG20" i="9" s="1"/>
  <c r="CH20" i="9" s="1"/>
  <c r="CW20" i="9" s="1"/>
  <c r="CX20" i="9" s="1"/>
  <c r="Z48" i="4"/>
  <c r="F50" i="9"/>
  <c r="Q50" i="9" s="1"/>
  <c r="CF41" i="9"/>
  <c r="CG41" i="9" s="1"/>
  <c r="CF33" i="9"/>
  <c r="CG33" i="9" s="1"/>
  <c r="CH33" i="9" s="1"/>
  <c r="CW33" i="9" s="1"/>
  <c r="CX33" i="9" s="1"/>
  <c r="N11" i="19"/>
  <c r="CF40" i="9"/>
  <c r="CG40" i="9" s="1"/>
  <c r="CH40" i="9" s="1"/>
  <c r="CW40" i="9" s="1"/>
  <c r="CX40" i="9" s="1"/>
  <c r="CF37" i="9"/>
  <c r="CG37" i="9" s="1"/>
  <c r="CH37" i="9" s="1"/>
  <c r="CW37" i="9" s="1"/>
  <c r="CX37" i="9" s="1"/>
  <c r="CF32" i="9"/>
  <c r="CG32" i="9" s="1"/>
  <c r="CH32" i="9" s="1"/>
  <c r="CW32" i="9" s="1"/>
  <c r="CX32" i="9" s="1"/>
  <c r="CF29" i="9"/>
  <c r="CG29" i="9" s="1"/>
  <c r="CH29" i="9" s="1"/>
  <c r="CW29" i="9" s="1"/>
  <c r="CX29" i="9" s="1"/>
  <c r="N19" i="19"/>
  <c r="CF22" i="9"/>
  <c r="CG22" i="9" s="1"/>
  <c r="CF18" i="9"/>
  <c r="CG18" i="9" s="1"/>
  <c r="H75" i="9"/>
  <c r="H67" i="9"/>
  <c r="H59" i="9"/>
  <c r="CF25" i="9"/>
  <c r="CG25" i="9" s="1"/>
  <c r="V77" i="9"/>
  <c r="V69" i="9"/>
  <c r="S69" i="9" s="1"/>
  <c r="C69" i="21" s="1"/>
  <c r="H61" i="9"/>
  <c r="H71" i="9"/>
  <c r="H63" i="9"/>
  <c r="K10" i="22"/>
  <c r="C47" i="24" s="1"/>
  <c r="BS78" i="16" l="1"/>
  <c r="AV46" i="24" s="1"/>
  <c r="BP21" i="24"/>
  <c r="K28" i="22"/>
  <c r="J20" i="20" s="1"/>
  <c r="Z20" i="13"/>
  <c r="AA20" i="13" s="1"/>
  <c r="I20" i="20"/>
  <c r="AD35" i="9"/>
  <c r="AJ35" i="9" s="1"/>
  <c r="W34" i="16" s="1"/>
  <c r="AR35" i="4"/>
  <c r="AT34" i="4"/>
  <c r="AV34" i="4" s="1"/>
  <c r="AS34" i="4"/>
  <c r="AR34" i="4"/>
  <c r="BQ13" i="24"/>
  <c r="BE46" i="16"/>
  <c r="P96" i="16" s="1"/>
  <c r="BA16" i="24" s="1"/>
  <c r="X24" i="21"/>
  <c r="J59" i="9"/>
  <c r="I59" i="9"/>
  <c r="AT5" i="24"/>
  <c r="BE5" i="24" s="1"/>
  <c r="AG23" i="24"/>
  <c r="AQ60" i="13"/>
  <c r="AY13" i="13" s="1"/>
  <c r="AY32" i="13"/>
  <c r="V52" i="13"/>
  <c r="AI33" i="13"/>
  <c r="AD15" i="13"/>
  <c r="AI53" i="13"/>
  <c r="AD33" i="13"/>
  <c r="AB75" i="19"/>
  <c r="AW12" i="13"/>
  <c r="AS11" i="9"/>
  <c r="AT6" i="9" s="1"/>
  <c r="P6" i="21" s="1"/>
  <c r="U4" i="13"/>
  <c r="V4" i="13" s="1"/>
  <c r="AN5" i="13" s="1"/>
  <c r="M8" i="21"/>
  <c r="P3" i="19" s="1"/>
  <c r="Q3" i="19" s="1"/>
  <c r="P7" i="17"/>
  <c r="BT56" i="16"/>
  <c r="CI56" i="16"/>
  <c r="BY56" i="16"/>
  <c r="BP56" i="16"/>
  <c r="BP57" i="16"/>
  <c r="Z49" i="9"/>
  <c r="AF49" i="9" s="1"/>
  <c r="AL49" i="4"/>
  <c r="AM48" i="4"/>
  <c r="AS48" i="4"/>
  <c r="AF64" i="9"/>
  <c r="AB64" i="9"/>
  <c r="AC64" i="9" s="1"/>
  <c r="CC50" i="16"/>
  <c r="DQ51" i="9"/>
  <c r="CH50" i="16" s="1"/>
  <c r="CC48" i="16"/>
  <c r="DQ49" i="9"/>
  <c r="CH48" i="16" s="1"/>
  <c r="BP18" i="24"/>
  <c r="BS66" i="16"/>
  <c r="AV43" i="24" s="1"/>
  <c r="BF22" i="9"/>
  <c r="BW22" i="9" s="1"/>
  <c r="AM21" i="16" s="1"/>
  <c r="Z26" i="2"/>
  <c r="O56" i="16"/>
  <c r="AI57" i="9"/>
  <c r="V56" i="16" s="1"/>
  <c r="AN65" i="4"/>
  <c r="AO65" i="4" s="1"/>
  <c r="AA66" i="9"/>
  <c r="B67" i="16"/>
  <c r="C77" i="16"/>
  <c r="G77" i="16"/>
  <c r="D78" i="20"/>
  <c r="BQ42" i="16"/>
  <c r="BT42" i="16"/>
  <c r="CI42" i="16"/>
  <c r="BP42" i="16"/>
  <c r="BP43" i="16"/>
  <c r="BJ9" i="24"/>
  <c r="DO24" i="9"/>
  <c r="DJ24" i="9"/>
  <c r="DK24" i="9" s="1"/>
  <c r="BN46" i="16"/>
  <c r="BR13" i="24"/>
  <c r="BM46" i="16"/>
  <c r="O96" i="16" s="1"/>
  <c r="AZ16" i="24" s="1"/>
  <c r="BS46" i="16"/>
  <c r="BP13" i="24"/>
  <c r="BR46" i="16"/>
  <c r="BP55" i="16"/>
  <c r="BT55" i="16"/>
  <c r="CI55" i="16"/>
  <c r="BP63" i="16"/>
  <c r="BT63" i="16"/>
  <c r="CI63" i="16"/>
  <c r="BN18" i="24"/>
  <c r="AG19" i="16"/>
  <c r="AG48" i="24" s="1"/>
  <c r="AH19" i="16"/>
  <c r="AT43" i="24" s="1"/>
  <c r="AF19" i="16"/>
  <c r="L101" i="16" s="1"/>
  <c r="AW21" i="24" s="1"/>
  <c r="K19" i="20"/>
  <c r="Z43" i="9"/>
  <c r="AF43" i="9" s="1"/>
  <c r="AM42" i="4"/>
  <c r="AU42" i="4"/>
  <c r="AV42" i="4" s="1"/>
  <c r="AS42" i="4"/>
  <c r="CC31" i="16"/>
  <c r="DQ32" i="9"/>
  <c r="CH31" i="16" s="1"/>
  <c r="U31" i="16"/>
  <c r="M30" i="16"/>
  <c r="Y30" i="16"/>
  <c r="AA17" i="9"/>
  <c r="AN16" i="4"/>
  <c r="AB78" i="19"/>
  <c r="AB76" i="19"/>
  <c r="BG54" i="16"/>
  <c r="AW40" i="24" s="1"/>
  <c r="BC51" i="16"/>
  <c r="BC52" i="16"/>
  <c r="BF51" i="16"/>
  <c r="G52" i="20"/>
  <c r="BN21" i="24"/>
  <c r="AH22" i="16"/>
  <c r="AT46" i="24" s="1"/>
  <c r="AG22" i="16"/>
  <c r="AG51" i="24" s="1"/>
  <c r="K22" i="20"/>
  <c r="G53" i="16"/>
  <c r="D54" i="20"/>
  <c r="Z60" i="16"/>
  <c r="G60" i="16"/>
  <c r="D61" i="20"/>
  <c r="BR12" i="24"/>
  <c r="BN42" i="16"/>
  <c r="AX37" i="24" s="1"/>
  <c r="AA37" i="9"/>
  <c r="AN36" i="4"/>
  <c r="BQ8" i="24"/>
  <c r="BE26" i="16"/>
  <c r="P91" i="16" s="1"/>
  <c r="BA11" i="24" s="1"/>
  <c r="R40" i="13"/>
  <c r="AI41" i="13" s="1"/>
  <c r="BQ14" i="24"/>
  <c r="BE50" i="16"/>
  <c r="P97" i="16" s="1"/>
  <c r="BA17" i="24" s="1"/>
  <c r="BN15" i="24"/>
  <c r="AG16" i="16"/>
  <c r="AG45" i="24" s="1"/>
  <c r="AF16" i="16"/>
  <c r="L98" i="16" s="1"/>
  <c r="AW18" i="24" s="1"/>
  <c r="AH16" i="16"/>
  <c r="AT40" i="24" s="1"/>
  <c r="K16" i="20"/>
  <c r="B57" i="16"/>
  <c r="AG65" i="9"/>
  <c r="AB65" i="9"/>
  <c r="AC65" i="9" s="1"/>
  <c r="BT41" i="16"/>
  <c r="CI41" i="16"/>
  <c r="BP41" i="16"/>
  <c r="CC38" i="16"/>
  <c r="DQ39" i="9"/>
  <c r="CH38" i="16" s="1"/>
  <c r="AA20" i="9"/>
  <c r="AN19" i="4"/>
  <c r="CC19" i="16"/>
  <c r="DQ20" i="9"/>
  <c r="CH19" i="16" s="1"/>
  <c r="BT49" i="16"/>
  <c r="BP50" i="16"/>
  <c r="CI49" i="16"/>
  <c r="BP49" i="16"/>
  <c r="CC60" i="16"/>
  <c r="DQ61" i="9"/>
  <c r="CH60" i="16" s="1"/>
  <c r="CC74" i="16"/>
  <c r="DQ75" i="9"/>
  <c r="CH74" i="16" s="1"/>
  <c r="BF18" i="9"/>
  <c r="BW18" i="9" s="1"/>
  <c r="AM17" i="16" s="1"/>
  <c r="Z22" i="2"/>
  <c r="D47" i="20"/>
  <c r="G46" i="16"/>
  <c r="G76" i="16"/>
  <c r="C76" i="16"/>
  <c r="D77" i="20"/>
  <c r="CC40" i="16"/>
  <c r="DQ41" i="9"/>
  <c r="CH40" i="16" s="1"/>
  <c r="DO25" i="9"/>
  <c r="DJ25" i="9"/>
  <c r="DK25" i="9" s="1"/>
  <c r="AF26" i="9"/>
  <c r="AB26" i="9"/>
  <c r="BT17" i="16"/>
  <c r="CI17" i="16"/>
  <c r="BP17" i="16"/>
  <c r="CC16" i="16"/>
  <c r="DQ17" i="9"/>
  <c r="CH16" i="16" s="1"/>
  <c r="Y24" i="16"/>
  <c r="F24" i="16"/>
  <c r="U24" i="16"/>
  <c r="M24" i="16"/>
  <c r="BQ54" i="16"/>
  <c r="BP54" i="16"/>
  <c r="BT54" i="16"/>
  <c r="CI54" i="16"/>
  <c r="AA52" i="9"/>
  <c r="AN51" i="4"/>
  <c r="AO51" i="4" s="1"/>
  <c r="B73" i="16"/>
  <c r="BQ34" i="16"/>
  <c r="BP34" i="16"/>
  <c r="CI34" i="16"/>
  <c r="BT34" i="16"/>
  <c r="AY16" i="16"/>
  <c r="AD23" i="9"/>
  <c r="AJ23" i="9" s="1"/>
  <c r="W22" i="16" s="1"/>
  <c r="AT22" i="4"/>
  <c r="AR23" i="4"/>
  <c r="AR22" i="4"/>
  <c r="BP15" i="16"/>
  <c r="CI14" i="16"/>
  <c r="BY14" i="16"/>
  <c r="BT14" i="16"/>
  <c r="BP14" i="16"/>
  <c r="CG13" i="16"/>
  <c r="BH13" i="16"/>
  <c r="CC10" i="16"/>
  <c r="DQ11" i="9"/>
  <c r="AX12" i="9"/>
  <c r="R16" i="2"/>
  <c r="U16" i="2"/>
  <c r="BP9" i="16"/>
  <c r="BT9" i="16"/>
  <c r="AD19" i="9"/>
  <c r="AJ19" i="9" s="1"/>
  <c r="W18" i="16" s="1"/>
  <c r="AR18" i="4"/>
  <c r="AT18" i="4"/>
  <c r="AR19" i="4"/>
  <c r="BP8" i="16"/>
  <c r="BT8" i="16"/>
  <c r="H24" i="21"/>
  <c r="I5" i="21"/>
  <c r="CC7" i="16"/>
  <c r="CG7" i="16" s="1"/>
  <c r="DQ8" i="9"/>
  <c r="U32" i="21"/>
  <c r="Q28" i="13"/>
  <c r="R28" i="13" s="1"/>
  <c r="AI29" i="13" s="1"/>
  <c r="CH66" i="9"/>
  <c r="CW66" i="9" s="1"/>
  <c r="CX66" i="9" s="1"/>
  <c r="CI67" i="9"/>
  <c r="CJ19" i="9" s="1"/>
  <c r="AB20" i="21" s="1"/>
  <c r="R67" i="13"/>
  <c r="AI68" i="13" s="1"/>
  <c r="AK68" i="13"/>
  <c r="AL68" i="13" s="1"/>
  <c r="AW15" i="13" s="1"/>
  <c r="K29" i="22"/>
  <c r="J21" i="20" s="1"/>
  <c r="Z21" i="13"/>
  <c r="AA21" i="13" s="1"/>
  <c r="I21" i="20"/>
  <c r="V44" i="13"/>
  <c r="AN45" i="13" s="1"/>
  <c r="J63" i="9"/>
  <c r="I63" i="9"/>
  <c r="S77" i="9"/>
  <c r="C77" i="21" s="1"/>
  <c r="W79" i="9"/>
  <c r="I23" i="21" s="1"/>
  <c r="J67" i="9"/>
  <c r="I67" i="9"/>
  <c r="U37" i="21"/>
  <c r="Q33" i="13"/>
  <c r="R33" i="13" s="1"/>
  <c r="AI34" i="13" s="1"/>
  <c r="CH41" i="9"/>
  <c r="CW41" i="9" s="1"/>
  <c r="CX41" i="9" s="1"/>
  <c r="CI43" i="9"/>
  <c r="CJ13" i="9" s="1"/>
  <c r="AB14" i="21" s="1"/>
  <c r="Z47" i="4"/>
  <c r="AB48" i="4" s="1"/>
  <c r="AC48" i="4" s="1"/>
  <c r="F49" i="9"/>
  <c r="CH38" i="9"/>
  <c r="CW38" i="9" s="1"/>
  <c r="CX38" i="9" s="1"/>
  <c r="CI39" i="9"/>
  <c r="CJ12" i="9" s="1"/>
  <c r="AB13" i="21" s="1"/>
  <c r="CH61" i="9"/>
  <c r="CW61" i="9" s="1"/>
  <c r="CX61" i="9" s="1"/>
  <c r="CI63" i="9"/>
  <c r="CJ18" i="9" s="1"/>
  <c r="AB19" i="21" s="1"/>
  <c r="Q85" i="19"/>
  <c r="U78" i="21"/>
  <c r="Q74" i="13"/>
  <c r="R74" i="13" s="1"/>
  <c r="AI75" i="13" s="1"/>
  <c r="AX14" i="9"/>
  <c r="R18" i="2"/>
  <c r="U18" i="2"/>
  <c r="V27" i="2"/>
  <c r="BA23" i="9" s="1"/>
  <c r="BB23" i="9" s="1"/>
  <c r="BS23" i="9" s="1"/>
  <c r="Q23" i="21" s="1"/>
  <c r="AZ23" i="9"/>
  <c r="V21" i="2"/>
  <c r="BA17" i="9" s="1"/>
  <c r="BB17" i="9" s="1"/>
  <c r="BS17" i="9" s="1"/>
  <c r="Q17" i="21" s="1"/>
  <c r="AZ17" i="9"/>
  <c r="V56" i="13"/>
  <c r="AN57" i="13" s="1"/>
  <c r="G79" i="22"/>
  <c r="G81" i="22" s="1"/>
  <c r="D36" i="24" s="1"/>
  <c r="AG48" i="13"/>
  <c r="AU10" i="13" s="1"/>
  <c r="AU29" i="13"/>
  <c r="L3" i="22"/>
  <c r="D40" i="24" s="1"/>
  <c r="X70" i="13"/>
  <c r="V47" i="13"/>
  <c r="AN48" i="13" s="1"/>
  <c r="AP48" i="13"/>
  <c r="AQ48" i="13" s="1"/>
  <c r="AY10" i="13" s="1"/>
  <c r="X30" i="13"/>
  <c r="AF20" i="13"/>
  <c r="N19" i="13"/>
  <c r="AD20" i="13" s="1"/>
  <c r="AO52" i="13"/>
  <c r="AX11" i="13" s="1"/>
  <c r="AX30" i="13"/>
  <c r="AG52" i="13"/>
  <c r="AU11" i="13" s="1"/>
  <c r="AU30" i="13"/>
  <c r="AK44" i="13"/>
  <c r="R43" i="13"/>
  <c r="AI44" i="13" s="1"/>
  <c r="U5" i="13"/>
  <c r="V5" i="13" s="1"/>
  <c r="AN6" i="13" s="1"/>
  <c r="M9" i="21"/>
  <c r="P4" i="19" s="1"/>
  <c r="Q4" i="19" s="1"/>
  <c r="P8" i="17"/>
  <c r="O8" i="17" s="1"/>
  <c r="AC14" i="19"/>
  <c r="P25" i="13"/>
  <c r="AB79" i="19"/>
  <c r="AB81" i="19"/>
  <c r="AB83" i="19" s="1"/>
  <c r="D73" i="24" s="1"/>
  <c r="AB82" i="19"/>
  <c r="M13" i="21"/>
  <c r="P8" i="19" s="1"/>
  <c r="Q8" i="19" s="1"/>
  <c r="U9" i="13"/>
  <c r="V9" i="13" s="1"/>
  <c r="AN10" i="13" s="1"/>
  <c r="P12" i="17"/>
  <c r="O12" i="17" s="1"/>
  <c r="AG84" i="19"/>
  <c r="BT72" i="16"/>
  <c r="CI72" i="16"/>
  <c r="BY72" i="16"/>
  <c r="BP72" i="16"/>
  <c r="BP73" i="16"/>
  <c r="AF48" i="9"/>
  <c r="AB48" i="9"/>
  <c r="AC48" i="9" s="1"/>
  <c r="B71" i="16"/>
  <c r="AF34" i="9"/>
  <c r="AB34" i="9"/>
  <c r="CC66" i="16"/>
  <c r="DQ67" i="9"/>
  <c r="CH66" i="16" s="1"/>
  <c r="BT48" i="16"/>
  <c r="CI48" i="16"/>
  <c r="BY48" i="16"/>
  <c r="BP48" i="16"/>
  <c r="CC73" i="16"/>
  <c r="DQ74" i="9"/>
  <c r="CH73" i="16" s="1"/>
  <c r="BX22" i="9"/>
  <c r="AT21" i="16" s="1"/>
  <c r="AE21" i="16"/>
  <c r="AF22" i="16" s="1"/>
  <c r="L104" i="16" s="1"/>
  <c r="AW24" i="24" s="1"/>
  <c r="F56" i="16"/>
  <c r="G56" i="16"/>
  <c r="D57" i="20"/>
  <c r="B65" i="16"/>
  <c r="Z75" i="9"/>
  <c r="AF75" i="9" s="1"/>
  <c r="AU74" i="4"/>
  <c r="AV74" i="4" s="1"/>
  <c r="AS74" i="4"/>
  <c r="O77" i="16"/>
  <c r="F77" i="16" s="1"/>
  <c r="AI78" i="9"/>
  <c r="V77" i="16" s="1"/>
  <c r="CC42" i="16"/>
  <c r="DQ43" i="9"/>
  <c r="CH42" i="16" s="1"/>
  <c r="CC25" i="16"/>
  <c r="DQ26" i="9"/>
  <c r="CH25" i="16" s="1"/>
  <c r="BR14" i="24"/>
  <c r="BN50" i="16"/>
  <c r="AX39" i="24" s="1"/>
  <c r="BM50" i="16"/>
  <c r="O97" i="16" s="1"/>
  <c r="AZ17" i="24" s="1"/>
  <c r="BQ50" i="16"/>
  <c r="CI65" i="16"/>
  <c r="BP65" i="16"/>
  <c r="BT65" i="16"/>
  <c r="BP66" i="16"/>
  <c r="AL50" i="4"/>
  <c r="O39" i="16"/>
  <c r="AI40" i="9"/>
  <c r="V39" i="16" s="1"/>
  <c r="CI31" i="16"/>
  <c r="BY31" i="16"/>
  <c r="BP31" i="16"/>
  <c r="BT31" i="16"/>
  <c r="CC26" i="16"/>
  <c r="DQ27" i="9"/>
  <c r="CH26" i="16" s="1"/>
  <c r="B16" i="16"/>
  <c r="BJ48" i="24"/>
  <c r="AG83" i="19"/>
  <c r="E73" i="24" s="1"/>
  <c r="BR19" i="24"/>
  <c r="BN70" i="16"/>
  <c r="AX44" i="24" s="1"/>
  <c r="BM70" i="16"/>
  <c r="O102" i="16" s="1"/>
  <c r="AZ22" i="24" s="1"/>
  <c r="T33" i="13"/>
  <c r="AV22" i="16"/>
  <c r="BE22" i="24" s="1"/>
  <c r="BH45" i="24"/>
  <c r="BI45" i="24" s="1"/>
  <c r="AU22" i="16"/>
  <c r="I104" i="16" s="1"/>
  <c r="AT24" i="24" s="1"/>
  <c r="AK22" i="16"/>
  <c r="AH51" i="24" s="1"/>
  <c r="AX22" i="16"/>
  <c r="AS22" i="16"/>
  <c r="Z63" i="9"/>
  <c r="AF63" i="9" s="1"/>
  <c r="AS62" i="4"/>
  <c r="AU62" i="4"/>
  <c r="AV62" i="4" s="1"/>
  <c r="O60" i="16"/>
  <c r="AI61" i="9"/>
  <c r="V60" i="16" s="1"/>
  <c r="G69" i="16"/>
  <c r="C69" i="16"/>
  <c r="D70" i="20"/>
  <c r="DM36" i="9"/>
  <c r="DJ36" i="9"/>
  <c r="DK36" i="9" s="1"/>
  <c r="B36" i="16"/>
  <c r="F15" i="16"/>
  <c r="CC70" i="16"/>
  <c r="DQ71" i="9"/>
  <c r="CH70" i="16" s="1"/>
  <c r="BH43" i="24"/>
  <c r="BI43" i="24" s="1"/>
  <c r="AV20" i="16"/>
  <c r="BE20" i="24" s="1"/>
  <c r="AU20" i="16"/>
  <c r="I102" i="16" s="1"/>
  <c r="AT22" i="24" s="1"/>
  <c r="AX20" i="16"/>
  <c r="AS20" i="16"/>
  <c r="G66" i="16"/>
  <c r="C66" i="16"/>
  <c r="D67" i="20"/>
  <c r="AM66" i="4"/>
  <c r="AO64" i="4"/>
  <c r="CI39" i="16"/>
  <c r="BY39" i="16"/>
  <c r="BP39" i="16"/>
  <c r="BT39" i="16"/>
  <c r="BC39" i="16"/>
  <c r="BH38" i="16"/>
  <c r="G39" i="20"/>
  <c r="BF38" i="16"/>
  <c r="CC29" i="16"/>
  <c r="DQ30" i="9"/>
  <c r="CH29" i="16" s="1"/>
  <c r="BR15" i="24"/>
  <c r="BN54" i="16"/>
  <c r="AX40" i="24" s="1"/>
  <c r="BM54" i="16"/>
  <c r="O98" i="16" s="1"/>
  <c r="AZ18" i="24" s="1"/>
  <c r="BM58" i="16"/>
  <c r="O99" i="16" s="1"/>
  <c r="AZ19" i="24" s="1"/>
  <c r="CC49" i="16"/>
  <c r="DQ50" i="9"/>
  <c r="CH49" i="16" s="1"/>
  <c r="BT60" i="16"/>
  <c r="CI60" i="16"/>
  <c r="BY60" i="16"/>
  <c r="BP60" i="16"/>
  <c r="BP61" i="16"/>
  <c r="BQ74" i="16"/>
  <c r="BP75" i="16"/>
  <c r="BT74" i="16"/>
  <c r="CI74" i="16"/>
  <c r="BY74" i="16"/>
  <c r="BP74" i="16"/>
  <c r="BX18" i="9"/>
  <c r="AT17" i="16" s="1"/>
  <c r="AE17" i="16"/>
  <c r="AO22" i="16"/>
  <c r="AF51" i="24" s="1"/>
  <c r="O78" i="16"/>
  <c r="AI79" i="9"/>
  <c r="V78" i="16" s="1"/>
  <c r="AG72" i="9"/>
  <c r="I71" i="16" s="1"/>
  <c r="AB72" i="9"/>
  <c r="AC72" i="9" s="1"/>
  <c r="DO28" i="9"/>
  <c r="DJ28" i="9"/>
  <c r="DK28" i="9" s="1"/>
  <c r="Z27" i="9"/>
  <c r="AF27" i="9" s="1"/>
  <c r="AM26" i="4"/>
  <c r="AU26" i="4"/>
  <c r="AV26" i="4" s="1"/>
  <c r="AS26" i="4"/>
  <c r="CC17" i="16"/>
  <c r="BY17" i="16" s="1"/>
  <c r="DQ18" i="9"/>
  <c r="CH17" i="16" s="1"/>
  <c r="G7" i="17"/>
  <c r="B19" i="17"/>
  <c r="G9" i="17"/>
  <c r="B27" i="17"/>
  <c r="T14" i="13"/>
  <c r="BQ62" i="16"/>
  <c r="AV15" i="16"/>
  <c r="BE15" i="24" s="1"/>
  <c r="AU15" i="16"/>
  <c r="I97" i="16" s="1"/>
  <c r="AT17" i="24" s="1"/>
  <c r="BH38" i="24"/>
  <c r="BI38" i="24" s="1"/>
  <c r="AX15" i="16"/>
  <c r="AS15" i="16"/>
  <c r="B51" i="16"/>
  <c r="CC34" i="16"/>
  <c r="DQ35" i="9"/>
  <c r="CH34" i="16" s="1"/>
  <c r="AJ24" i="17"/>
  <c r="E62" i="24" s="1"/>
  <c r="AY19" i="16"/>
  <c r="BO23" i="24"/>
  <c r="BO25" i="24"/>
  <c r="CC22" i="16"/>
  <c r="DQ23" i="9"/>
  <c r="CH22" i="16" s="1"/>
  <c r="BX12" i="16"/>
  <c r="AB49" i="4"/>
  <c r="AC49" i="4" s="1"/>
  <c r="BP10" i="16"/>
  <c r="BQ10" i="16"/>
  <c r="BY10" i="16"/>
  <c r="BT10" i="16"/>
  <c r="X17" i="16"/>
  <c r="CC8" i="16"/>
  <c r="CG8" i="16" s="1"/>
  <c r="DQ9" i="9"/>
  <c r="G3" i="17"/>
  <c r="B3" i="17"/>
  <c r="F68" i="22"/>
  <c r="J64" i="19"/>
  <c r="K64" i="19" s="1"/>
  <c r="M65" i="13"/>
  <c r="N65" i="13" s="1"/>
  <c r="AD66" i="13" s="1"/>
  <c r="C68" i="17"/>
  <c r="B69" i="20"/>
  <c r="CH22" i="9"/>
  <c r="CW22" i="9" s="1"/>
  <c r="CX22" i="9" s="1"/>
  <c r="CI23" i="9"/>
  <c r="CJ8" i="9" s="1"/>
  <c r="AB9" i="21" s="1"/>
  <c r="CH35" i="9"/>
  <c r="CW35" i="9" s="1"/>
  <c r="CX35" i="9" s="1"/>
  <c r="CI35" i="9"/>
  <c r="CJ11" i="9" s="1"/>
  <c r="AB12" i="21" s="1"/>
  <c r="CH55" i="9"/>
  <c r="CW55" i="9" s="1"/>
  <c r="CX55" i="9" s="1"/>
  <c r="CI55" i="9"/>
  <c r="CJ16" i="9" s="1"/>
  <c r="AB17" i="21" s="1"/>
  <c r="H51" i="9"/>
  <c r="CH25" i="9"/>
  <c r="CW25" i="9" s="1"/>
  <c r="CX25" i="9" s="1"/>
  <c r="CI27" i="9"/>
  <c r="CJ9" i="9" s="1"/>
  <c r="AB10" i="21" s="1"/>
  <c r="U40" i="21"/>
  <c r="Q36" i="13"/>
  <c r="R36" i="13" s="1"/>
  <c r="AI37" i="13" s="1"/>
  <c r="CH70" i="9"/>
  <c r="CW70" i="9" s="1"/>
  <c r="CX70" i="9" s="1"/>
  <c r="CI71" i="9"/>
  <c r="CJ20" i="9" s="1"/>
  <c r="AB21" i="21" s="1"/>
  <c r="V24" i="2"/>
  <c r="BA20" i="9" s="1"/>
  <c r="BB20" i="9" s="1"/>
  <c r="BS20" i="9" s="1"/>
  <c r="Q20" i="21" s="1"/>
  <c r="AZ20" i="9"/>
  <c r="V23" i="2"/>
  <c r="BA19" i="9" s="1"/>
  <c r="BB19" i="9" s="1"/>
  <c r="BS19" i="9" s="1"/>
  <c r="Q19" i="21" s="1"/>
  <c r="AZ19" i="9"/>
  <c r="AF53" i="13"/>
  <c r="N52" i="13"/>
  <c r="AL44" i="13"/>
  <c r="AW9" i="13" s="1"/>
  <c r="AW28" i="13"/>
  <c r="J15" i="13"/>
  <c r="J16" i="13"/>
  <c r="V39" i="13"/>
  <c r="AN40" i="13" s="1"/>
  <c r="AX27" i="13" s="1"/>
  <c r="AP40" i="13"/>
  <c r="X39" i="13"/>
  <c r="X52" i="13"/>
  <c r="AU33" i="13"/>
  <c r="AW34" i="13"/>
  <c r="R54" i="13"/>
  <c r="AI55" i="13" s="1"/>
  <c r="X44" i="13"/>
  <c r="T40" i="13"/>
  <c r="X10" i="13"/>
  <c r="AG85" i="19"/>
  <c r="AC34" i="19"/>
  <c r="AG78" i="19"/>
  <c r="AG76" i="19"/>
  <c r="AG79" i="19"/>
  <c r="AG75" i="19"/>
  <c r="AG77" i="19" s="1"/>
  <c r="E75" i="24" s="1"/>
  <c r="AY30" i="13"/>
  <c r="AN33" i="13"/>
  <c r="BF5" i="13"/>
  <c r="R21" i="24" s="1"/>
  <c r="AS15" i="9"/>
  <c r="AT7" i="9" s="1"/>
  <c r="P7" i="21" s="1"/>
  <c r="U8" i="13"/>
  <c r="V8" i="13" s="1"/>
  <c r="AN9" i="13" s="1"/>
  <c r="M12" i="21"/>
  <c r="P7" i="19" s="1"/>
  <c r="Q7" i="19" s="1"/>
  <c r="P11" i="17"/>
  <c r="AF46" i="9"/>
  <c r="AB46" i="9"/>
  <c r="AC46" i="9" s="1"/>
  <c r="B55" i="16"/>
  <c r="AF30" i="9"/>
  <c r="AB30" i="9"/>
  <c r="Y27" i="16"/>
  <c r="F27" i="16"/>
  <c r="M27" i="16"/>
  <c r="J30" i="17"/>
  <c r="C59" i="24" s="1"/>
  <c r="H6" i="17"/>
  <c r="BR18" i="24"/>
  <c r="BN66" i="16"/>
  <c r="AX43" i="24" s="1"/>
  <c r="BM66" i="16"/>
  <c r="O101" i="16" s="1"/>
  <c r="AZ21" i="24" s="1"/>
  <c r="CC58" i="16"/>
  <c r="DQ59" i="9"/>
  <c r="CH58" i="16" s="1"/>
  <c r="CC71" i="16"/>
  <c r="DQ72" i="9"/>
  <c r="CH71" i="16" s="1"/>
  <c r="O44" i="16"/>
  <c r="AI45" i="9"/>
  <c r="V44" i="16" s="1"/>
  <c r="AG62" i="9"/>
  <c r="I61" i="16" s="1"/>
  <c r="AB62" i="9"/>
  <c r="AC62" i="9" s="1"/>
  <c r="AA68" i="9"/>
  <c r="AN67" i="4"/>
  <c r="AO67" i="4" s="1"/>
  <c r="O72" i="16"/>
  <c r="AI73" i="9"/>
  <c r="V72" i="16" s="1"/>
  <c r="H78" i="16"/>
  <c r="AQ46" i="24" s="1"/>
  <c r="G75" i="16"/>
  <c r="D76" i="20"/>
  <c r="BJ10" i="24"/>
  <c r="L34" i="16"/>
  <c r="F93" i="16" s="1"/>
  <c r="AQ13" i="24" s="1"/>
  <c r="CI25" i="16"/>
  <c r="BY25" i="16"/>
  <c r="BT25" i="16"/>
  <c r="BP26" i="16"/>
  <c r="BD54" i="16"/>
  <c r="CC57" i="16"/>
  <c r="DQ58" i="9"/>
  <c r="CH57" i="16" s="1"/>
  <c r="CC65" i="16"/>
  <c r="DQ66" i="9"/>
  <c r="CH65" i="16" s="1"/>
  <c r="AV14" i="16"/>
  <c r="BE14" i="24" s="1"/>
  <c r="BH37" i="24"/>
  <c r="AU14" i="16"/>
  <c r="I96" i="16" s="1"/>
  <c r="AT16" i="24" s="1"/>
  <c r="AG14" i="16"/>
  <c r="AG43" i="24" s="1"/>
  <c r="O68" i="16"/>
  <c r="AI69" i="9"/>
  <c r="V68" i="16" s="1"/>
  <c r="D40" i="20"/>
  <c r="F39" i="16"/>
  <c r="BQ6" i="24"/>
  <c r="AM17" i="4"/>
  <c r="Z18" i="9"/>
  <c r="AF18" i="9" s="1"/>
  <c r="AL18" i="4"/>
  <c r="AS17" i="4"/>
  <c r="BR20" i="24"/>
  <c r="BN74" i="16"/>
  <c r="AX45" i="24" s="1"/>
  <c r="BM78" i="16"/>
  <c r="O104" i="16" s="1"/>
  <c r="AZ24" i="24" s="1"/>
  <c r="BM74" i="16"/>
  <c r="O103" i="16" s="1"/>
  <c r="AZ23" i="24" s="1"/>
  <c r="CC76" i="16"/>
  <c r="DQ77" i="9"/>
  <c r="CH76" i="16" s="1"/>
  <c r="AA60" i="9"/>
  <c r="AN59" i="4"/>
  <c r="AO59" i="4" s="1"/>
  <c r="AG56" i="9"/>
  <c r="I55" i="16" s="1"/>
  <c r="AB56" i="9"/>
  <c r="AC56" i="9" s="1"/>
  <c r="DM33" i="9"/>
  <c r="DJ33" i="9"/>
  <c r="DK33" i="9" s="1"/>
  <c r="AM37" i="4"/>
  <c r="Z38" i="9"/>
  <c r="AF38" i="9" s="1"/>
  <c r="AS37" i="4"/>
  <c r="CC18" i="16"/>
  <c r="DQ19" i="9"/>
  <c r="CH18" i="16" s="1"/>
  <c r="CC44" i="16"/>
  <c r="DQ45" i="9"/>
  <c r="CH44" i="16" s="1"/>
  <c r="BQ70" i="16"/>
  <c r="BT70" i="16"/>
  <c r="CI70" i="16"/>
  <c r="BY70" i="16"/>
  <c r="BP70" i="16"/>
  <c r="BN19" i="24"/>
  <c r="AG20" i="16"/>
  <c r="AG49" i="24" s="1"/>
  <c r="AF20" i="16"/>
  <c r="L102" i="16" s="1"/>
  <c r="AW22" i="24" s="1"/>
  <c r="AH20" i="16"/>
  <c r="AT44" i="24" s="1"/>
  <c r="K20" i="20"/>
  <c r="BQ12" i="24"/>
  <c r="O40" i="16"/>
  <c r="AI41" i="9"/>
  <c r="V40" i="16" s="1"/>
  <c r="C35" i="16"/>
  <c r="F35" i="16"/>
  <c r="B19" i="16"/>
  <c r="CC53" i="16"/>
  <c r="DQ54" i="9"/>
  <c r="CH53" i="16" s="1"/>
  <c r="AV29" i="13"/>
  <c r="BR24" i="24"/>
  <c r="CC47" i="16"/>
  <c r="DQ48" i="9"/>
  <c r="CH47" i="16" s="1"/>
  <c r="CC64" i="16"/>
  <c r="DQ65" i="9"/>
  <c r="CH64" i="16" s="1"/>
  <c r="AS38" i="24"/>
  <c r="D78" i="16"/>
  <c r="G78" i="16"/>
  <c r="F78" i="16"/>
  <c r="C78" i="16"/>
  <c r="D79" i="20"/>
  <c r="BP33" i="16"/>
  <c r="BP32" i="16"/>
  <c r="BT32" i="16"/>
  <c r="CI32" i="16"/>
  <c r="F28" i="16"/>
  <c r="C28" i="16"/>
  <c r="M23" i="16"/>
  <c r="Y23" i="16"/>
  <c r="AW31" i="24"/>
  <c r="Q88" i="19"/>
  <c r="Q87" i="19"/>
  <c r="R66" i="19"/>
  <c r="AP75" i="13"/>
  <c r="V74" i="13"/>
  <c r="AN75" i="13" s="1"/>
  <c r="AO76" i="13" s="1"/>
  <c r="AX17" i="13" s="1"/>
  <c r="AK20" i="16"/>
  <c r="AH49" i="24" s="1"/>
  <c r="BN14" i="24"/>
  <c r="AG15" i="16"/>
  <c r="AG44" i="24" s="1"/>
  <c r="AH15" i="16"/>
  <c r="AF15" i="16"/>
  <c r="L97" i="16" s="1"/>
  <c r="AW17" i="24" s="1"/>
  <c r="K15" i="20"/>
  <c r="Z53" i="9"/>
  <c r="AF53" i="9" s="1"/>
  <c r="AM52" i="4"/>
  <c r="AS52" i="4"/>
  <c r="BP36" i="16"/>
  <c r="CI35" i="16"/>
  <c r="BP35" i="16"/>
  <c r="BT35" i="16"/>
  <c r="BQ7" i="24"/>
  <c r="BE22" i="16"/>
  <c r="P90" i="16" s="1"/>
  <c r="BA10" i="24" s="1"/>
  <c r="AJ30" i="17"/>
  <c r="E59" i="24" s="1"/>
  <c r="AT42" i="24"/>
  <c r="AI29" i="24"/>
  <c r="AY22" i="16"/>
  <c r="Z36" i="16"/>
  <c r="X37" i="16"/>
  <c r="X36" i="16"/>
  <c r="AY20" i="16"/>
  <c r="Z53" i="16"/>
  <c r="AD34" i="9"/>
  <c r="AJ34" i="9" s="1"/>
  <c r="W33" i="16" s="1"/>
  <c r="AS33" i="4"/>
  <c r="AR33" i="4"/>
  <c r="AO20" i="16"/>
  <c r="AF49" i="24" s="1"/>
  <c r="BP22" i="16"/>
  <c r="CI22" i="16"/>
  <c r="BY22" i="16"/>
  <c r="BT22" i="16"/>
  <c r="AK29" i="24"/>
  <c r="AY15" i="16"/>
  <c r="Z66" i="16"/>
  <c r="Z46" i="16"/>
  <c r="Z69" i="16"/>
  <c r="Z77" i="16"/>
  <c r="Z75" i="16"/>
  <c r="CI13" i="16"/>
  <c r="BP13" i="16"/>
  <c r="BT13" i="16"/>
  <c r="BY13" i="16"/>
  <c r="R17" i="17"/>
  <c r="AM17" i="17"/>
  <c r="R11" i="17"/>
  <c r="AM11" i="17"/>
  <c r="BO11" i="16"/>
  <c r="BQ14" i="16" s="1"/>
  <c r="DP12" i="9"/>
  <c r="AH12" i="16"/>
  <c r="AF13" i="16"/>
  <c r="AG12" i="16"/>
  <c r="Y15" i="16"/>
  <c r="R17" i="2"/>
  <c r="U17" i="2"/>
  <c r="AX13" i="9"/>
  <c r="AS12" i="16"/>
  <c r="U33" i="21"/>
  <c r="Q29" i="13"/>
  <c r="R29" i="13" s="1"/>
  <c r="AI30" i="13" s="1"/>
  <c r="CY36" i="9"/>
  <c r="DC12" i="9" s="1"/>
  <c r="Y13" i="21" s="1"/>
  <c r="X63" i="13"/>
  <c r="V63" i="13"/>
  <c r="AN64" i="13" s="1"/>
  <c r="AO64" i="13" s="1"/>
  <c r="AX14" i="13" s="1"/>
  <c r="AP64" i="13"/>
  <c r="X71" i="13"/>
  <c r="V71" i="13"/>
  <c r="AN72" i="13" s="1"/>
  <c r="AP72" i="13"/>
  <c r="AQ72" i="13" s="1"/>
  <c r="AY16" i="13" s="1"/>
  <c r="AQ56" i="13"/>
  <c r="AY31" i="13"/>
  <c r="J71" i="9"/>
  <c r="I71" i="9"/>
  <c r="J75" i="9"/>
  <c r="I75" i="9"/>
  <c r="U20" i="21"/>
  <c r="Q16" i="13"/>
  <c r="R16" i="13" s="1"/>
  <c r="AI17" i="13" s="1"/>
  <c r="U72" i="21"/>
  <c r="Q68" i="13"/>
  <c r="R68" i="13" s="1"/>
  <c r="AI69" i="13" s="1"/>
  <c r="Q76" i="19"/>
  <c r="Q77" i="19" s="1"/>
  <c r="D80" i="24" s="1"/>
  <c r="Q84" i="19"/>
  <c r="Q86" i="19" s="1"/>
  <c r="D79" i="24" s="1"/>
  <c r="Q16" i="22"/>
  <c r="L16" i="22"/>
  <c r="D53" i="24" s="1"/>
  <c r="J61" i="9"/>
  <c r="I61" i="9"/>
  <c r="H50" i="9"/>
  <c r="CH18" i="9"/>
  <c r="CW18" i="9" s="1"/>
  <c r="CX18" i="9" s="1"/>
  <c r="CI19" i="9"/>
  <c r="CJ7" i="9" s="1"/>
  <c r="AB8" i="21" s="1"/>
  <c r="U29" i="21"/>
  <c r="Q25" i="13"/>
  <c r="R25" i="13" s="1"/>
  <c r="AI26" i="13" s="1"/>
  <c r="CH30" i="9"/>
  <c r="CW30" i="9" s="1"/>
  <c r="CX30" i="9" s="1"/>
  <c r="CI31" i="9"/>
  <c r="CJ10" i="9" s="1"/>
  <c r="AB11" i="21" s="1"/>
  <c r="CH57" i="9"/>
  <c r="CW57" i="9" s="1"/>
  <c r="CX57" i="9" s="1"/>
  <c r="CI59" i="9"/>
  <c r="CJ17" i="9" s="1"/>
  <c r="AB18" i="21" s="1"/>
  <c r="CH74" i="9"/>
  <c r="CW74" i="9" s="1"/>
  <c r="CX74" i="9" s="1"/>
  <c r="CI75" i="9"/>
  <c r="CJ21" i="9" s="1"/>
  <c r="AB22" i="21" s="1"/>
  <c r="CH79" i="9"/>
  <c r="CW79" i="9" s="1"/>
  <c r="CX79" i="9" s="1"/>
  <c r="CI79" i="9"/>
  <c r="CJ22" i="9" s="1"/>
  <c r="AB23" i="21" s="1"/>
  <c r="Q80" i="19"/>
  <c r="D77" i="24" s="1"/>
  <c r="AD23" i="24"/>
  <c r="AP5" i="24"/>
  <c r="BD5" i="24" s="1"/>
  <c r="U22" i="2"/>
  <c r="AX18" i="9"/>
  <c r="BX17" i="24" s="1"/>
  <c r="R22" i="2"/>
  <c r="AK73" i="13"/>
  <c r="R72" i="13"/>
  <c r="AI73" i="13" s="1"/>
  <c r="P70" i="13"/>
  <c r="V20" i="2"/>
  <c r="BA16" i="9" s="1"/>
  <c r="BB16" i="9" s="1"/>
  <c r="BS16" i="9" s="1"/>
  <c r="Q16" i="21" s="1"/>
  <c r="AZ16" i="9"/>
  <c r="AG76" i="13"/>
  <c r="AU17" i="13" s="1"/>
  <c r="AU36" i="13"/>
  <c r="AX15" i="9"/>
  <c r="BX14" i="24" s="1"/>
  <c r="U19" i="2"/>
  <c r="R19" i="2"/>
  <c r="T67" i="13"/>
  <c r="N58" i="13"/>
  <c r="AD59" i="13" s="1"/>
  <c r="AF59" i="13"/>
  <c r="AU32" i="13" s="1"/>
  <c r="AK49" i="13"/>
  <c r="AW23" i="13" s="1"/>
  <c r="S39" i="24" s="1"/>
  <c r="T48" i="13"/>
  <c r="BE5" i="13" s="1"/>
  <c r="S11" i="24" s="1"/>
  <c r="AF36" i="13"/>
  <c r="AG36" i="13" s="1"/>
  <c r="N35" i="13"/>
  <c r="AD36" i="13" s="1"/>
  <c r="AE36" i="13" s="1"/>
  <c r="AW24" i="13"/>
  <c r="S37" i="24" s="1"/>
  <c r="AW26" i="13"/>
  <c r="AL36" i="13"/>
  <c r="P58" i="13"/>
  <c r="P52" i="13"/>
  <c r="X56" i="13"/>
  <c r="AG44" i="13"/>
  <c r="AU9" i="13" s="1"/>
  <c r="AU28" i="13"/>
  <c r="AP26" i="13"/>
  <c r="V25" i="13"/>
  <c r="AN26" i="13" s="1"/>
  <c r="G13" i="22"/>
  <c r="P9" i="19"/>
  <c r="Q9" i="19" s="1"/>
  <c r="R10" i="19" s="1"/>
  <c r="X47" i="13"/>
  <c r="BG5" i="13"/>
  <c r="R11" i="24" s="1"/>
  <c r="AF26" i="13"/>
  <c r="N25" i="13"/>
  <c r="AD26" i="13" s="1"/>
  <c r="W78" i="19"/>
  <c r="W80" i="19" s="1"/>
  <c r="C72" i="24" s="1"/>
  <c r="W79" i="19"/>
  <c r="AN13" i="13"/>
  <c r="AP12" i="13"/>
  <c r="V11" i="13"/>
  <c r="AN12" i="13" s="1"/>
  <c r="AU23" i="13"/>
  <c r="Q39" i="24" s="1"/>
  <c r="X25" i="13"/>
  <c r="BG4" i="13" s="1"/>
  <c r="R10" i="24" s="1"/>
  <c r="P19" i="13"/>
  <c r="AA13" i="13"/>
  <c r="T54" i="13"/>
  <c r="BE6" i="13" s="1"/>
  <c r="S12" i="24" s="1"/>
  <c r="AY26" i="13"/>
  <c r="AQ36" i="13"/>
  <c r="AY24" i="13"/>
  <c r="R37" i="24" s="1"/>
  <c r="X31" i="13"/>
  <c r="U7" i="13"/>
  <c r="V7" i="13" s="1"/>
  <c r="AN8" i="13" s="1"/>
  <c r="M11" i="21"/>
  <c r="P6" i="19" s="1"/>
  <c r="Q6" i="19" s="1"/>
  <c r="R6" i="19" s="1"/>
  <c r="P10" i="17"/>
  <c r="O10" i="17" s="1"/>
  <c r="G43" i="16"/>
  <c r="D44" i="20"/>
  <c r="F43" i="16"/>
  <c r="C44" i="16"/>
  <c r="B61" i="16"/>
  <c r="AH62" i="9"/>
  <c r="AA70" i="9"/>
  <c r="AN69" i="4"/>
  <c r="AO69" i="4" s="1"/>
  <c r="CC33" i="16"/>
  <c r="DQ34" i="9"/>
  <c r="CH33" i="16" s="1"/>
  <c r="AE52" i="13"/>
  <c r="AT11" i="13" s="1"/>
  <c r="BC4" i="13"/>
  <c r="Q10" i="24" s="1"/>
  <c r="BQ19" i="24"/>
  <c r="BE74" i="16"/>
  <c r="P103" i="16" s="1"/>
  <c r="BA23" i="24" s="1"/>
  <c r="BE70" i="16"/>
  <c r="P102" i="16" s="1"/>
  <c r="BA22" i="24" s="1"/>
  <c r="BQ58" i="16"/>
  <c r="BP59" i="16"/>
  <c r="BT58" i="16"/>
  <c r="CI58" i="16"/>
  <c r="BY58" i="16"/>
  <c r="BP58" i="16"/>
  <c r="BP71" i="16"/>
  <c r="BT71" i="16"/>
  <c r="CI71" i="16"/>
  <c r="BY71" i="16"/>
  <c r="Z59" i="9"/>
  <c r="AF59" i="9" s="1"/>
  <c r="AU58" i="4"/>
  <c r="AV58" i="4" s="1"/>
  <c r="AS58" i="4"/>
  <c r="AM70" i="4"/>
  <c r="Z71" i="9"/>
  <c r="AF71" i="9" s="1"/>
  <c r="AU70" i="4"/>
  <c r="AV70" i="4" s="1"/>
  <c r="AS70" i="4"/>
  <c r="F72" i="16"/>
  <c r="C72" i="16"/>
  <c r="G72" i="16"/>
  <c r="D73" i="20"/>
  <c r="O75" i="16"/>
  <c r="AI76" i="9"/>
  <c r="V75" i="16" s="1"/>
  <c r="BG30" i="16"/>
  <c r="AW34" i="24" s="1"/>
  <c r="BC27" i="16"/>
  <c r="BC28" i="16"/>
  <c r="G28" i="20"/>
  <c r="BF27" i="16"/>
  <c r="DO21" i="9"/>
  <c r="DJ21" i="9"/>
  <c r="DK21" i="9" s="1"/>
  <c r="V30" i="13"/>
  <c r="AN31" i="13" s="1"/>
  <c r="BQ21" i="24"/>
  <c r="BE78" i="16"/>
  <c r="P104" i="16" s="1"/>
  <c r="BA24" i="24" s="1"/>
  <c r="CC55" i="16"/>
  <c r="BY55" i="16" s="1"/>
  <c r="DQ56" i="9"/>
  <c r="CH55" i="16" s="1"/>
  <c r="CC63" i="16"/>
  <c r="DQ64" i="9"/>
  <c r="CH63" i="16" s="1"/>
  <c r="AV19" i="16"/>
  <c r="BE19" i="24" s="1"/>
  <c r="BH42" i="24"/>
  <c r="BI42" i="24" s="1"/>
  <c r="AK19" i="16"/>
  <c r="AH48" i="24" s="1"/>
  <c r="AO19" i="16"/>
  <c r="AF48" i="24" s="1"/>
  <c r="AU19" i="16"/>
  <c r="I101" i="16" s="1"/>
  <c r="AT21" i="24" s="1"/>
  <c r="AS19" i="16"/>
  <c r="AX19" i="16"/>
  <c r="AF42" i="9"/>
  <c r="AB42" i="9"/>
  <c r="AC42" i="9" s="1"/>
  <c r="BP11" i="24"/>
  <c r="BS38" i="16"/>
  <c r="AV36" i="24" s="1"/>
  <c r="BR38" i="16"/>
  <c r="N94" i="16" s="1"/>
  <c r="AY14" i="24" s="1"/>
  <c r="F30" i="16"/>
  <c r="C31" i="16"/>
  <c r="CC15" i="16"/>
  <c r="DQ16" i="9"/>
  <c r="CH15" i="16" s="1"/>
  <c r="BJ47" i="24"/>
  <c r="BJ49" i="24"/>
  <c r="AB86" i="19"/>
  <c r="D74" i="24" s="1"/>
  <c r="AJ28" i="17"/>
  <c r="E60" i="24" s="1"/>
  <c r="AH11" i="17"/>
  <c r="AH22" i="17" s="1"/>
  <c r="CC51" i="16"/>
  <c r="DQ52" i="9"/>
  <c r="CH51" i="16" s="1"/>
  <c r="BP77" i="16"/>
  <c r="CI76" i="16"/>
  <c r="BY76" i="16"/>
  <c r="BP76" i="16"/>
  <c r="BT76" i="16"/>
  <c r="AV18" i="16"/>
  <c r="BE18" i="24" s="1"/>
  <c r="BH41" i="24"/>
  <c r="AU18" i="16"/>
  <c r="I100" i="16" s="1"/>
  <c r="AT20" i="24" s="1"/>
  <c r="AO18" i="16"/>
  <c r="AF47" i="24" s="1"/>
  <c r="AK18" i="16"/>
  <c r="AH47" i="24" s="1"/>
  <c r="AX18" i="16"/>
  <c r="AS18" i="16"/>
  <c r="O53" i="16"/>
  <c r="AI54" i="9"/>
  <c r="V53" i="16" s="1"/>
  <c r="B59" i="16"/>
  <c r="G64" i="16"/>
  <c r="D65" i="20"/>
  <c r="AL38" i="4"/>
  <c r="BD30" i="16"/>
  <c r="BQ18" i="16"/>
  <c r="BT18" i="16"/>
  <c r="BP19" i="16"/>
  <c r="CI18" i="16"/>
  <c r="BY18" i="16"/>
  <c r="BP18" i="16"/>
  <c r="BG46" i="16"/>
  <c r="BC45" i="16"/>
  <c r="BC44" i="16"/>
  <c r="BH44" i="16"/>
  <c r="BF44" i="16"/>
  <c r="G45" i="20"/>
  <c r="BH39" i="24"/>
  <c r="BI39" i="24" s="1"/>
  <c r="AV16" i="16"/>
  <c r="BE16" i="24" s="1"/>
  <c r="AU16" i="16"/>
  <c r="I98" i="16" s="1"/>
  <c r="AT18" i="24" s="1"/>
  <c r="AO16" i="16"/>
  <c r="AF45" i="24" s="1"/>
  <c r="AX16" i="16"/>
  <c r="AS16" i="16"/>
  <c r="AN57" i="4"/>
  <c r="AO57" i="4" s="1"/>
  <c r="AA58" i="9"/>
  <c r="BJ13" i="24"/>
  <c r="N46" i="16"/>
  <c r="CC41" i="16"/>
  <c r="DQ42" i="9"/>
  <c r="CH41" i="16" s="1"/>
  <c r="G40" i="16"/>
  <c r="F40" i="16"/>
  <c r="C40" i="16"/>
  <c r="D41" i="20"/>
  <c r="U35" i="16"/>
  <c r="M35" i="16"/>
  <c r="Y35" i="16"/>
  <c r="Z21" i="9"/>
  <c r="AF21" i="9" s="1"/>
  <c r="AM20" i="4"/>
  <c r="AL21" i="4"/>
  <c r="AS20" i="4"/>
  <c r="CC62" i="16"/>
  <c r="DQ63" i="9"/>
  <c r="CH62" i="16" s="1"/>
  <c r="AL29" i="24"/>
  <c r="AX42" i="24"/>
  <c r="Y23" i="24"/>
  <c r="BQ16" i="24"/>
  <c r="BE62" i="16"/>
  <c r="P100" i="16" s="1"/>
  <c r="BA20" i="24" s="1"/>
  <c r="BE58" i="16"/>
  <c r="P99" i="16" s="1"/>
  <c r="BA19" i="24" s="1"/>
  <c r="CI47" i="16"/>
  <c r="BY47" i="16"/>
  <c r="BP47" i="16"/>
  <c r="BT47" i="16"/>
  <c r="BT64" i="16"/>
  <c r="CI64" i="16"/>
  <c r="BY64" i="16"/>
  <c r="BP64" i="16"/>
  <c r="AO14" i="16"/>
  <c r="AF43" i="24" s="1"/>
  <c r="O46" i="16"/>
  <c r="F46" i="16" s="1"/>
  <c r="AI47" i="9"/>
  <c r="V46" i="16" s="1"/>
  <c r="O76" i="16"/>
  <c r="AI77" i="9"/>
  <c r="V76" i="16" s="1"/>
  <c r="BT40" i="16"/>
  <c r="CI40" i="16"/>
  <c r="BY40" i="16"/>
  <c r="BP40" i="16"/>
  <c r="U28" i="16"/>
  <c r="M28" i="16"/>
  <c r="Y28" i="16"/>
  <c r="C24" i="16"/>
  <c r="F23" i="16"/>
  <c r="CI16" i="16"/>
  <c r="BY16" i="16"/>
  <c r="BT16" i="16"/>
  <c r="BP16" i="16"/>
  <c r="AP74" i="13"/>
  <c r="X73" i="13"/>
  <c r="BG7" i="13" s="1"/>
  <c r="R13" i="24" s="1"/>
  <c r="BQ18" i="24"/>
  <c r="BQ24" i="24" s="1"/>
  <c r="BE66" i="16"/>
  <c r="P101" i="16" s="1"/>
  <c r="BA21" i="24" s="1"/>
  <c r="CC54" i="16"/>
  <c r="BY54" i="16" s="1"/>
  <c r="DQ55" i="9"/>
  <c r="CH54" i="16" s="1"/>
  <c r="X23" i="24"/>
  <c r="AU44" i="24"/>
  <c r="AL54" i="4"/>
  <c r="AN73" i="4"/>
  <c r="AO73" i="4" s="1"/>
  <c r="AA74" i="9"/>
  <c r="AG18" i="16"/>
  <c r="AG47" i="24" s="1"/>
  <c r="Z32" i="16"/>
  <c r="Y32" i="16"/>
  <c r="X32" i="16"/>
  <c r="Z56" i="16"/>
  <c r="AD39" i="9"/>
  <c r="AJ39" i="9" s="1"/>
  <c r="W38" i="16" s="1"/>
  <c r="AT38" i="4"/>
  <c r="AR39" i="4"/>
  <c r="AS38" i="4"/>
  <c r="AR38" i="4"/>
  <c r="Z76" i="16"/>
  <c r="Z72" i="16"/>
  <c r="Z35" i="16"/>
  <c r="Z78" i="16"/>
  <c r="CC9" i="16"/>
  <c r="CG9" i="16" s="1"/>
  <c r="DQ10" i="9"/>
  <c r="CG14" i="16"/>
  <c r="Z15" i="16"/>
  <c r="AZ11" i="9"/>
  <c r="V15" i="2"/>
  <c r="BY7" i="16"/>
  <c r="BT7" i="16"/>
  <c r="BP7" i="16"/>
  <c r="BS14" i="16" l="1"/>
  <c r="BR14" i="16"/>
  <c r="BX64" i="16"/>
  <c r="BV64" i="16"/>
  <c r="AA21" i="9"/>
  <c r="AN20" i="4"/>
  <c r="AP38" i="24"/>
  <c r="AK28" i="24"/>
  <c r="AW38" i="24"/>
  <c r="AK26" i="24"/>
  <c r="AM38" i="4"/>
  <c r="Z39" i="9"/>
  <c r="AF39" i="9" s="1"/>
  <c r="AU38" i="4"/>
  <c r="M53" i="16"/>
  <c r="Y53" i="16"/>
  <c r="BU78" i="16"/>
  <c r="BV76" i="16"/>
  <c r="BV77" i="16"/>
  <c r="BX76" i="16"/>
  <c r="BW63" i="16"/>
  <c r="CG63" i="16"/>
  <c r="BH63" i="16"/>
  <c r="BO20" i="16"/>
  <c r="DP21" i="9"/>
  <c r="M75" i="16"/>
  <c r="Y75" i="16"/>
  <c r="AA71" i="9"/>
  <c r="AN70" i="4"/>
  <c r="AO70" i="4" s="1"/>
  <c r="B58" i="16"/>
  <c r="BX58" i="16"/>
  <c r="BU58" i="16"/>
  <c r="BV59" i="16"/>
  <c r="BV58" i="16"/>
  <c r="AY7" i="13"/>
  <c r="BF4" i="13"/>
  <c r="R20" i="24" s="1"/>
  <c r="AW7" i="13"/>
  <c r="AT7" i="13"/>
  <c r="V19" i="2"/>
  <c r="BA15" i="9" s="1"/>
  <c r="BB15" i="9" s="1"/>
  <c r="AZ15" i="9"/>
  <c r="AW36" i="13"/>
  <c r="AL76" i="13"/>
  <c r="AW17" i="13" s="1"/>
  <c r="AD33" i="24"/>
  <c r="AP28" i="24"/>
  <c r="U79" i="21"/>
  <c r="Q75" i="13"/>
  <c r="R75" i="13" s="1"/>
  <c r="AI76" i="13" s="1"/>
  <c r="DB67" i="9"/>
  <c r="DA22" i="9" s="1"/>
  <c r="AA23" i="21" s="1"/>
  <c r="U57" i="21"/>
  <c r="Q53" i="13"/>
  <c r="R53" i="13" s="1"/>
  <c r="DB47" i="9"/>
  <c r="DA17" i="9" s="1"/>
  <c r="AA18" i="21" s="1"/>
  <c r="CY60" i="9"/>
  <c r="DC18" i="9" s="1"/>
  <c r="Y19" i="21" s="1"/>
  <c r="J50" i="9"/>
  <c r="I50" i="9"/>
  <c r="M67" i="19"/>
  <c r="N67" i="19" s="1"/>
  <c r="H71" i="22"/>
  <c r="AC71" i="17"/>
  <c r="E72" i="20"/>
  <c r="T75" i="9"/>
  <c r="V75" i="9" s="1"/>
  <c r="E75" i="21"/>
  <c r="DQ12" i="9"/>
  <c r="CC11" i="16"/>
  <c r="BV35" i="16"/>
  <c r="BU38" i="16"/>
  <c r="BV36" i="16"/>
  <c r="BK21" i="24"/>
  <c r="Z19" i="16"/>
  <c r="BW44" i="16"/>
  <c r="CG44" i="16"/>
  <c r="CG45" i="16"/>
  <c r="BY44" i="16"/>
  <c r="BX44" i="16"/>
  <c r="CD46" i="16"/>
  <c r="B37" i="16"/>
  <c r="AM18" i="4"/>
  <c r="Z19" i="9"/>
  <c r="AF19" i="9" s="1"/>
  <c r="AU18" i="4"/>
  <c r="CG65" i="16"/>
  <c r="BW65" i="16"/>
  <c r="BH65" i="16"/>
  <c r="AG68" i="9"/>
  <c r="AB68" i="9"/>
  <c r="AC68" i="9" s="1"/>
  <c r="Y44" i="16"/>
  <c r="U44" i="16"/>
  <c r="F44" i="16"/>
  <c r="M44" i="16"/>
  <c r="CD58" i="16"/>
  <c r="BW58" i="16"/>
  <c r="BH58" i="16"/>
  <c r="CG59" i="16"/>
  <c r="CG58" i="16"/>
  <c r="AX26" i="13"/>
  <c r="AO36" i="13"/>
  <c r="AX24" i="13"/>
  <c r="R33" i="24" s="1"/>
  <c r="R41" i="24" s="1"/>
  <c r="AG60" i="13"/>
  <c r="AU13" i="13" s="1"/>
  <c r="K26" i="22"/>
  <c r="J18" i="20" s="1"/>
  <c r="Z18" i="13"/>
  <c r="AA18" i="13" s="1"/>
  <c r="I18" i="20"/>
  <c r="J51" i="9"/>
  <c r="I51" i="9"/>
  <c r="C69" i="20"/>
  <c r="BV10" i="16"/>
  <c r="BX10" i="16"/>
  <c r="BU10" i="16"/>
  <c r="CG22" i="16"/>
  <c r="BH22" i="16"/>
  <c r="C12" i="24"/>
  <c r="AN7" i="17"/>
  <c r="BO27" i="16"/>
  <c r="DP28" i="9"/>
  <c r="P78" i="16"/>
  <c r="U78" i="16"/>
  <c r="M78" i="16"/>
  <c r="Y78" i="16"/>
  <c r="BW49" i="16"/>
  <c r="BH49" i="16"/>
  <c r="CG49" i="16"/>
  <c r="BB35" i="16"/>
  <c r="DP36" i="9"/>
  <c r="BV31" i="16"/>
  <c r="BX31" i="16"/>
  <c r="BV65" i="16"/>
  <c r="BU66" i="16"/>
  <c r="BX65" i="16"/>
  <c r="BV66" i="16"/>
  <c r="BP14" i="24"/>
  <c r="BS50" i="16"/>
  <c r="AV39" i="24" s="1"/>
  <c r="BR50" i="16"/>
  <c r="N97" i="16" s="1"/>
  <c r="AY17" i="24" s="1"/>
  <c r="G65" i="16"/>
  <c r="C65" i="16"/>
  <c r="D66" i="20"/>
  <c r="Z65" i="16"/>
  <c r="AX36" i="13"/>
  <c r="K30" i="22"/>
  <c r="J22" i="20" s="1"/>
  <c r="Z22" i="13"/>
  <c r="AA22" i="13" s="1"/>
  <c r="I22" i="20"/>
  <c r="U38" i="21"/>
  <c r="S29" i="24" s="1"/>
  <c r="Q34" i="13"/>
  <c r="R34" i="13" s="1"/>
  <c r="AI35" i="13" s="1"/>
  <c r="DB27" i="9"/>
  <c r="DA12" i="9" s="1"/>
  <c r="AA13" i="21" s="1"/>
  <c r="M32" i="19"/>
  <c r="N32" i="19" s="1"/>
  <c r="H36" i="22"/>
  <c r="AC36" i="17"/>
  <c r="E37" i="20"/>
  <c r="F76" i="22"/>
  <c r="J72" i="19"/>
  <c r="K72" i="19" s="1"/>
  <c r="L74" i="19" s="1"/>
  <c r="M73" i="13"/>
  <c r="N73" i="13" s="1"/>
  <c r="AD74" i="13" s="1"/>
  <c r="C76" i="17"/>
  <c r="B77" i="20"/>
  <c r="AO40" i="13"/>
  <c r="AX8" i="13" s="1"/>
  <c r="U66" i="21"/>
  <c r="Q62" i="13"/>
  <c r="R62" i="13" s="1"/>
  <c r="AI63" i="13" s="1"/>
  <c r="DB55" i="9"/>
  <c r="DA19" i="9" s="1"/>
  <c r="AA20" i="21" s="1"/>
  <c r="CY68" i="9"/>
  <c r="DC20" i="9" s="1"/>
  <c r="Y21" i="21" s="1"/>
  <c r="BX8" i="16"/>
  <c r="BV8" i="16"/>
  <c r="AV18" i="4"/>
  <c r="BY9" i="16"/>
  <c r="B25" i="16"/>
  <c r="AH26" i="9"/>
  <c r="O25" i="16" s="1"/>
  <c r="BW40" i="16"/>
  <c r="CG40" i="16"/>
  <c r="BH40" i="16"/>
  <c r="G57" i="16"/>
  <c r="C57" i="16"/>
  <c r="D58" i="20"/>
  <c r="Z57" i="16"/>
  <c r="AB80" i="19"/>
  <c r="D72" i="24" s="1"/>
  <c r="BY63" i="16"/>
  <c r="N96" i="16"/>
  <c r="AY16" i="24" s="1"/>
  <c r="Y14" i="24"/>
  <c r="Y13" i="24"/>
  <c r="Y56" i="16"/>
  <c r="M56" i="16"/>
  <c r="BW48" i="16"/>
  <c r="BH48" i="16"/>
  <c r="CG48" i="16"/>
  <c r="B63" i="16"/>
  <c r="AH64" i="9"/>
  <c r="B48" i="16"/>
  <c r="AT26" i="13"/>
  <c r="BB4" i="13"/>
  <c r="Q20" i="24" s="1"/>
  <c r="AN53" i="13"/>
  <c r="BF6" i="13"/>
  <c r="R22" i="24" s="1"/>
  <c r="Z34" i="16"/>
  <c r="Y34" i="16"/>
  <c r="X35" i="16"/>
  <c r="X34" i="16"/>
  <c r="AV38" i="4"/>
  <c r="X39" i="16"/>
  <c r="X38" i="16"/>
  <c r="CD54" i="16"/>
  <c r="CG54" i="16"/>
  <c r="BW54" i="16"/>
  <c r="BH54" i="16"/>
  <c r="AY36" i="13"/>
  <c r="AQ76" i="13"/>
  <c r="AY17" i="13" s="1"/>
  <c r="Y76" i="16"/>
  <c r="U76" i="16"/>
  <c r="M76" i="16"/>
  <c r="BV47" i="16"/>
  <c r="BX47" i="16"/>
  <c r="CD62" i="16"/>
  <c r="BW62" i="16"/>
  <c r="BH62" i="16"/>
  <c r="CG62" i="16"/>
  <c r="BY62" i="16"/>
  <c r="BX62" i="16"/>
  <c r="B20" i="16"/>
  <c r="BU18" i="16"/>
  <c r="BV19" i="16"/>
  <c r="BV18" i="16"/>
  <c r="BX18" i="16"/>
  <c r="Z59" i="16"/>
  <c r="C59" i="16"/>
  <c r="G59" i="16"/>
  <c r="D60" i="20"/>
  <c r="BY15" i="16"/>
  <c r="BH15" i="16"/>
  <c r="CG15" i="16"/>
  <c r="BX15" i="16"/>
  <c r="AG70" i="9"/>
  <c r="AB70" i="9"/>
  <c r="AC70" i="9" s="1"/>
  <c r="AU7" i="13"/>
  <c r="AU5" i="13"/>
  <c r="K23" i="22"/>
  <c r="J15" i="20" s="1"/>
  <c r="Z15" i="13"/>
  <c r="AA15" i="13" s="1"/>
  <c r="I15" i="20"/>
  <c r="M24" i="19"/>
  <c r="N24" i="19" s="1"/>
  <c r="AC28" i="17"/>
  <c r="E29" i="20"/>
  <c r="AY12" i="13"/>
  <c r="AY33" i="13"/>
  <c r="AQ64" i="13"/>
  <c r="AY14" i="13" s="1"/>
  <c r="BY11" i="16"/>
  <c r="BP11" i="16"/>
  <c r="BT11" i="16"/>
  <c r="BP12" i="16"/>
  <c r="BV22" i="16"/>
  <c r="BX22" i="16"/>
  <c r="X33" i="16"/>
  <c r="Q89" i="19"/>
  <c r="BV33" i="16"/>
  <c r="BV32" i="16"/>
  <c r="BW64" i="16"/>
  <c r="BH64" i="16"/>
  <c r="CG64" i="16"/>
  <c r="U40" i="16"/>
  <c r="M40" i="16"/>
  <c r="Y40" i="16"/>
  <c r="BX70" i="16"/>
  <c r="BU70" i="16"/>
  <c r="BV70" i="16"/>
  <c r="AA38" i="9"/>
  <c r="AN37" i="4"/>
  <c r="J56" i="16"/>
  <c r="AA55" i="16"/>
  <c r="BW76" i="16"/>
  <c r="BH76" i="16"/>
  <c r="CG76" i="16"/>
  <c r="CG77" i="16"/>
  <c r="CD78" i="16"/>
  <c r="B17" i="16"/>
  <c r="BI37" i="24"/>
  <c r="Y15" i="24"/>
  <c r="B29" i="16"/>
  <c r="AH30" i="9"/>
  <c r="O29" i="16" s="1"/>
  <c r="B45" i="16"/>
  <c r="AH46" i="9"/>
  <c r="Q7" i="21"/>
  <c r="Z6" i="13" s="1"/>
  <c r="AA6" i="13" s="1"/>
  <c r="S5" i="17"/>
  <c r="AS5" i="17" s="1"/>
  <c r="AD53" i="13"/>
  <c r="K27" i="22"/>
  <c r="J19" i="20" s="1"/>
  <c r="Z19" i="13"/>
  <c r="AA19" i="13" s="1"/>
  <c r="I19" i="20"/>
  <c r="M35" i="19"/>
  <c r="N35" i="19" s="1"/>
  <c r="H39" i="22"/>
  <c r="AC39" i="17"/>
  <c r="E40" i="20"/>
  <c r="AX33" i="13"/>
  <c r="U35" i="21"/>
  <c r="Q31" i="13"/>
  <c r="R31" i="13" s="1"/>
  <c r="AI32" i="13" s="1"/>
  <c r="DB23" i="9"/>
  <c r="DA11" i="9" s="1"/>
  <c r="AA12" i="21" s="1"/>
  <c r="B68" i="17"/>
  <c r="C14" i="24"/>
  <c r="AN9" i="17"/>
  <c r="AA27" i="9"/>
  <c r="AN26" i="4"/>
  <c r="BP20" i="24"/>
  <c r="BS74" i="16"/>
  <c r="AV45" i="24" s="1"/>
  <c r="BR74" i="16"/>
  <c r="N103" i="16" s="1"/>
  <c r="AY23" i="24" s="1"/>
  <c r="B62" i="16"/>
  <c r="C16" i="16"/>
  <c r="Z16" i="16"/>
  <c r="M39" i="16"/>
  <c r="Y39" i="16"/>
  <c r="AU24" i="13"/>
  <c r="Q37" i="24" s="1"/>
  <c r="CD42" i="16"/>
  <c r="CG43" i="16"/>
  <c r="CG42" i="16"/>
  <c r="BW42" i="16"/>
  <c r="BH42" i="16"/>
  <c r="CG73" i="16"/>
  <c r="BY73" i="16"/>
  <c r="BX73" i="16"/>
  <c r="BW73" i="16"/>
  <c r="BH73" i="16"/>
  <c r="BV48" i="16"/>
  <c r="BX48" i="16"/>
  <c r="B33" i="16"/>
  <c r="Z33" i="16" s="1"/>
  <c r="AH34" i="9"/>
  <c r="O33" i="16" s="1"/>
  <c r="Y33" i="16" s="1"/>
  <c r="B47" i="16"/>
  <c r="AH48" i="9"/>
  <c r="AY35" i="13"/>
  <c r="V18" i="2"/>
  <c r="BA14" i="9" s="1"/>
  <c r="BB14" i="9" s="1"/>
  <c r="BS14" i="9" s="1"/>
  <c r="AZ14" i="9"/>
  <c r="M73" i="19"/>
  <c r="N73" i="19" s="1"/>
  <c r="H77" i="22"/>
  <c r="AC77" i="17"/>
  <c r="E78" i="20"/>
  <c r="U61" i="21"/>
  <c r="Q57" i="13"/>
  <c r="R57" i="13" s="1"/>
  <c r="AI58" i="13" s="1"/>
  <c r="DB51" i="9"/>
  <c r="DA18" i="9" s="1"/>
  <c r="AA19" i="21" s="1"/>
  <c r="CY64" i="9"/>
  <c r="DC19" i="9" s="1"/>
  <c r="Y20" i="21" s="1"/>
  <c r="U41" i="21"/>
  <c r="Q37" i="13"/>
  <c r="R37" i="13" s="1"/>
  <c r="AI38" i="13" s="1"/>
  <c r="AV27" i="13" s="1"/>
  <c r="DB31" i="9"/>
  <c r="DA13" i="9" s="1"/>
  <c r="AA14" i="21" s="1"/>
  <c r="CY44" i="9"/>
  <c r="DC14" i="9" s="1"/>
  <c r="Y15" i="21" s="1"/>
  <c r="F3" i="17"/>
  <c r="AR3" i="17" s="1"/>
  <c r="BX54" i="16"/>
  <c r="BU54" i="16"/>
  <c r="BV54" i="16"/>
  <c r="BM16" i="24"/>
  <c r="AO17" i="16"/>
  <c r="AF46" i="24" s="1"/>
  <c r="AG18" i="24" s="1"/>
  <c r="AP17" i="16"/>
  <c r="AN17" i="16"/>
  <c r="AN18" i="16"/>
  <c r="AQ17" i="16"/>
  <c r="CG61" i="16"/>
  <c r="BW60" i="16"/>
  <c r="BH60" i="16"/>
  <c r="CG60" i="16"/>
  <c r="CG19" i="16"/>
  <c r="BY19" i="16"/>
  <c r="BX19" i="16"/>
  <c r="BH19" i="16"/>
  <c r="CG38" i="16"/>
  <c r="BY38" i="16"/>
  <c r="BX38" i="16"/>
  <c r="CG39" i="16"/>
  <c r="BX41" i="16"/>
  <c r="BV41" i="16"/>
  <c r="F53" i="16"/>
  <c r="AA43" i="9"/>
  <c r="AN42" i="4"/>
  <c r="AO42" i="4" s="1"/>
  <c r="BR25" i="24"/>
  <c r="BR23" i="24"/>
  <c r="DP24" i="9"/>
  <c r="BO23" i="16"/>
  <c r="BU42" i="16"/>
  <c r="BV42" i="16"/>
  <c r="BX42" i="16"/>
  <c r="BV43" i="16"/>
  <c r="AG66" i="9"/>
  <c r="AB66" i="9"/>
  <c r="AC66" i="9" s="1"/>
  <c r="BV56" i="16"/>
  <c r="BX56" i="16"/>
  <c r="BV57" i="16"/>
  <c r="Q6" i="21"/>
  <c r="Z5" i="13" s="1"/>
  <c r="AA5" i="13" s="1"/>
  <c r="S4" i="17"/>
  <c r="AW6" i="13"/>
  <c r="AY29" i="13"/>
  <c r="T59" i="9"/>
  <c r="V59" i="9" s="1"/>
  <c r="E59" i="21"/>
  <c r="AM54" i="4"/>
  <c r="Z55" i="9"/>
  <c r="AF55" i="9" s="1"/>
  <c r="AU54" i="4"/>
  <c r="AV54" i="4" s="1"/>
  <c r="AS54" i="4"/>
  <c r="BV7" i="16"/>
  <c r="BX7" i="16"/>
  <c r="AG74" i="9"/>
  <c r="AB74" i="9"/>
  <c r="AC74" i="9" s="1"/>
  <c r="Z31" i="24"/>
  <c r="BW41" i="16"/>
  <c r="BH41" i="16"/>
  <c r="CG41" i="16"/>
  <c r="BS18" i="16"/>
  <c r="BP6" i="24"/>
  <c r="BR18" i="16"/>
  <c r="BI41" i="24"/>
  <c r="CG51" i="16"/>
  <c r="CG52" i="16"/>
  <c r="BY51" i="16"/>
  <c r="BW51" i="16"/>
  <c r="BX51" i="16"/>
  <c r="CG56" i="16"/>
  <c r="BW55" i="16"/>
  <c r="BH55" i="16"/>
  <c r="CG55" i="16"/>
  <c r="BP16" i="24"/>
  <c r="CA58" i="16"/>
  <c r="AI46" i="24" s="1"/>
  <c r="BS58" i="16"/>
  <c r="AV41" i="24" s="1"/>
  <c r="BR58" i="16"/>
  <c r="N99" i="16" s="1"/>
  <c r="AY19" i="24" s="1"/>
  <c r="O61" i="16"/>
  <c r="AI62" i="9"/>
  <c r="V61" i="16" s="1"/>
  <c r="AY23" i="13"/>
  <c r="R39" i="24" s="1"/>
  <c r="U74" i="21"/>
  <c r="Q70" i="13"/>
  <c r="R70" i="13" s="1"/>
  <c r="AI71" i="13" s="1"/>
  <c r="DB63" i="9"/>
  <c r="DA21" i="9" s="1"/>
  <c r="AA22" i="21" s="1"/>
  <c r="CY76" i="9"/>
  <c r="DC22" i="9" s="1"/>
  <c r="Y23" i="21" s="1"/>
  <c r="U30" i="21"/>
  <c r="Q26" i="13"/>
  <c r="R26" i="13" s="1"/>
  <c r="AI27" i="13" s="1"/>
  <c r="DB19" i="9"/>
  <c r="DA10" i="9" s="1"/>
  <c r="AA11" i="21" s="1"/>
  <c r="AB24" i="21"/>
  <c r="T61" i="9"/>
  <c r="V61" i="9" s="1"/>
  <c r="S61" i="9" s="1"/>
  <c r="C61" i="21" s="1"/>
  <c r="E61" i="21"/>
  <c r="M15" i="19"/>
  <c r="N15" i="19" s="1"/>
  <c r="AC19" i="17"/>
  <c r="E20" i="20"/>
  <c r="T71" i="9"/>
  <c r="V71" i="9" s="1"/>
  <c r="E71" i="21"/>
  <c r="AZ13" i="9"/>
  <c r="V17" i="2"/>
  <c r="BA13" i="9" s="1"/>
  <c r="BB13" i="9" s="1"/>
  <c r="BS13" i="9" s="1"/>
  <c r="AA53" i="9"/>
  <c r="AN52" i="4"/>
  <c r="AO52" i="4" s="1"/>
  <c r="AT39" i="24"/>
  <c r="BP19" i="24"/>
  <c r="BS70" i="16"/>
  <c r="AV44" i="24" s="1"/>
  <c r="BR70" i="16"/>
  <c r="N102" i="16" s="1"/>
  <c r="AY22" i="24" s="1"/>
  <c r="CD18" i="16"/>
  <c r="BH18" i="16"/>
  <c r="CG18" i="16"/>
  <c r="AA18" i="9"/>
  <c r="AN17" i="4"/>
  <c r="F68" i="16"/>
  <c r="M68" i="16"/>
  <c r="Y68" i="16"/>
  <c r="CG57" i="16"/>
  <c r="BY57" i="16"/>
  <c r="BX57" i="16"/>
  <c r="BW57" i="16"/>
  <c r="BH57" i="16"/>
  <c r="BX25" i="16"/>
  <c r="BV26" i="16"/>
  <c r="M72" i="16"/>
  <c r="Y72" i="16"/>
  <c r="AA61" i="16"/>
  <c r="M61" i="16"/>
  <c r="J61" i="16"/>
  <c r="BW71" i="16"/>
  <c r="CG71" i="16"/>
  <c r="BH71" i="16"/>
  <c r="CG72" i="16"/>
  <c r="AH56" i="9"/>
  <c r="T5" i="17"/>
  <c r="AO5" i="17" s="1"/>
  <c r="O11" i="17"/>
  <c r="AW25" i="13"/>
  <c r="S38" i="24" s="1"/>
  <c r="AG80" i="19"/>
  <c r="E72" i="24" s="1"/>
  <c r="AG56" i="13"/>
  <c r="AU4" i="13" s="1"/>
  <c r="AU31" i="13"/>
  <c r="AU25" i="13"/>
  <c r="Q38" i="24" s="1"/>
  <c r="AN3" i="17"/>
  <c r="CG34" i="16"/>
  <c r="BH34" i="16"/>
  <c r="CA62" i="16"/>
  <c r="AI47" i="24" s="1"/>
  <c r="BS62" i="16"/>
  <c r="BP17" i="24"/>
  <c r="BP24" i="24" s="1"/>
  <c r="BR62" i="16"/>
  <c r="BH17" i="16"/>
  <c r="CG17" i="16"/>
  <c r="B26" i="16"/>
  <c r="J72" i="16"/>
  <c r="AA71" i="16"/>
  <c r="BN16" i="24"/>
  <c r="BN23" i="24" s="1"/>
  <c r="AH17" i="16"/>
  <c r="AT41" i="24" s="1"/>
  <c r="AF18" i="16"/>
  <c r="L100" i="16" s="1"/>
  <c r="AW20" i="24" s="1"/>
  <c r="Y31" i="24" s="1"/>
  <c r="AF17" i="16"/>
  <c r="L99" i="16" s="1"/>
  <c r="AW19" i="24" s="1"/>
  <c r="Y30" i="24" s="1"/>
  <c r="AG17" i="16"/>
  <c r="AG46" i="24" s="1"/>
  <c r="K17" i="20"/>
  <c r="AY17" i="16"/>
  <c r="BV61" i="16"/>
  <c r="BX60" i="16"/>
  <c r="BU62" i="16"/>
  <c r="BV60" i="16"/>
  <c r="BX39" i="16"/>
  <c r="BV39" i="16"/>
  <c r="C36" i="16"/>
  <c r="Y60" i="16"/>
  <c r="M60" i="16"/>
  <c r="AM62" i="4"/>
  <c r="Z51" i="9"/>
  <c r="AF51" i="9" s="1"/>
  <c r="AM50" i="4"/>
  <c r="AS50" i="4"/>
  <c r="AU50" i="4"/>
  <c r="AV50" i="4" s="1"/>
  <c r="BY65" i="16"/>
  <c r="AM74" i="4"/>
  <c r="AG21" i="16"/>
  <c r="AG50" i="24" s="1"/>
  <c r="AH19" i="24" s="1"/>
  <c r="BN20" i="24"/>
  <c r="BN24" i="24" s="1"/>
  <c r="AH21" i="16"/>
  <c r="AF21" i="16"/>
  <c r="L103" i="16" s="1"/>
  <c r="AW23" i="24" s="1"/>
  <c r="K21" i="20"/>
  <c r="AY21" i="16"/>
  <c r="AH72" i="9"/>
  <c r="BX72" i="16"/>
  <c r="BV72" i="16"/>
  <c r="BV73" i="16"/>
  <c r="K24" i="22"/>
  <c r="J16" i="20" s="1"/>
  <c r="Z16" i="13"/>
  <c r="AA16" i="13" s="1"/>
  <c r="I16" i="20"/>
  <c r="Q49" i="9"/>
  <c r="CY40" i="9"/>
  <c r="DC13" i="9" s="1"/>
  <c r="Y14" i="21" s="1"/>
  <c r="T67" i="9"/>
  <c r="V67" i="9" s="1"/>
  <c r="E67" i="21"/>
  <c r="T63" i="9"/>
  <c r="V63" i="9" s="1"/>
  <c r="E63" i="21"/>
  <c r="M27" i="19"/>
  <c r="N27" i="19" s="1"/>
  <c r="AC31" i="17"/>
  <c r="E32" i="20"/>
  <c r="X18" i="16"/>
  <c r="X19" i="16"/>
  <c r="V16" i="2"/>
  <c r="BA12" i="9" s="1"/>
  <c r="BB12" i="9" s="1"/>
  <c r="BS12" i="9" s="1"/>
  <c r="AZ12" i="9"/>
  <c r="CG10" i="16"/>
  <c r="CD10" i="16"/>
  <c r="BV14" i="16"/>
  <c r="BX14" i="16"/>
  <c r="BV15" i="16"/>
  <c r="BU14" i="16"/>
  <c r="BU34" i="16"/>
  <c r="BV34" i="16"/>
  <c r="BX34" i="16"/>
  <c r="BS34" i="16"/>
  <c r="AV35" i="24" s="1"/>
  <c r="BP10" i="24"/>
  <c r="AG52" i="9"/>
  <c r="AB52" i="9"/>
  <c r="AC52" i="9" s="1"/>
  <c r="BH16" i="16"/>
  <c r="CG16" i="16"/>
  <c r="BX17" i="16"/>
  <c r="BV17" i="16"/>
  <c r="DP25" i="9"/>
  <c r="BO24" i="16"/>
  <c r="BU50" i="16"/>
  <c r="BX49" i="16"/>
  <c r="BV50" i="16"/>
  <c r="BV49" i="16"/>
  <c r="AJ44" i="13"/>
  <c r="AV9" i="13" s="1"/>
  <c r="AV28" i="13"/>
  <c r="C60" i="16"/>
  <c r="CG31" i="16"/>
  <c r="BH31" i="16"/>
  <c r="B42" i="16"/>
  <c r="BX63" i="16"/>
  <c r="BV63" i="16"/>
  <c r="BX55" i="16"/>
  <c r="BV55" i="16"/>
  <c r="AV38" i="24"/>
  <c r="AL28" i="24"/>
  <c r="AL26" i="24"/>
  <c r="Y21" i="24"/>
  <c r="Y22" i="24"/>
  <c r="AX38" i="24"/>
  <c r="BP12" i="24"/>
  <c r="CA42" i="16"/>
  <c r="AI42" i="24" s="1"/>
  <c r="BS42" i="16"/>
  <c r="AV37" i="24" s="1"/>
  <c r="BR42" i="16"/>
  <c r="N95" i="16" s="1"/>
  <c r="AY15" i="24" s="1"/>
  <c r="BM20" i="24"/>
  <c r="BM24" i="24" s="1"/>
  <c r="AP21" i="16"/>
  <c r="AO21" i="16"/>
  <c r="AF50" i="24" s="1"/>
  <c r="AG19" i="24" s="1"/>
  <c r="AN22" i="16"/>
  <c r="J104" i="16" s="1"/>
  <c r="AU24" i="24" s="1"/>
  <c r="AN21" i="16"/>
  <c r="J103" i="16" s="1"/>
  <c r="AU23" i="24" s="1"/>
  <c r="AQ21" i="16"/>
  <c r="CD50" i="16"/>
  <c r="CG50" i="16"/>
  <c r="BY50" i="16"/>
  <c r="BX50" i="16"/>
  <c r="BW50" i="16"/>
  <c r="BH50" i="16"/>
  <c r="AA49" i="9"/>
  <c r="AN48" i="4"/>
  <c r="AO48" i="4" s="1"/>
  <c r="O7" i="17"/>
  <c r="T4" i="17"/>
  <c r="AB77" i="19"/>
  <c r="D75" i="24" s="1"/>
  <c r="AF33" i="24"/>
  <c r="AS28" i="24"/>
  <c r="BX16" i="16"/>
  <c r="BV16" i="16"/>
  <c r="BV40" i="16"/>
  <c r="BX40" i="16"/>
  <c r="Y46" i="16"/>
  <c r="M46" i="16"/>
  <c r="Z22" i="9"/>
  <c r="AF22" i="9" s="1"/>
  <c r="AM21" i="4"/>
  <c r="AS21" i="4"/>
  <c r="AL22" i="4"/>
  <c r="AG58" i="9"/>
  <c r="AB58" i="9"/>
  <c r="AC58" i="9" s="1"/>
  <c r="BQ9" i="24"/>
  <c r="BE30" i="16"/>
  <c r="P92" i="16" s="1"/>
  <c r="BA12" i="24" s="1"/>
  <c r="AH42" i="9"/>
  <c r="B41" i="16"/>
  <c r="B70" i="16"/>
  <c r="AM58" i="4"/>
  <c r="BX71" i="16"/>
  <c r="BV71" i="16"/>
  <c r="BY33" i="16"/>
  <c r="BH33" i="16"/>
  <c r="BX33" i="16"/>
  <c r="G61" i="16"/>
  <c r="Z61" i="16"/>
  <c r="F61" i="16"/>
  <c r="C61" i="16"/>
  <c r="D62" i="20"/>
  <c r="BF7" i="13"/>
  <c r="R23" i="24" s="1"/>
  <c r="AL52" i="13"/>
  <c r="AW11" i="13" s="1"/>
  <c r="AW30" i="13"/>
  <c r="AJ76" i="13"/>
  <c r="AV17" i="13" s="1"/>
  <c r="AV36" i="13"/>
  <c r="V22" i="2"/>
  <c r="BA18" i="9" s="1"/>
  <c r="BB18" i="9" s="1"/>
  <c r="BS18" i="9" s="1"/>
  <c r="Q18" i="21" s="1"/>
  <c r="AZ18" i="9"/>
  <c r="CY32" i="9"/>
  <c r="DC11" i="9" s="1"/>
  <c r="Y12" i="21" s="1"/>
  <c r="U18" i="21"/>
  <c r="Q14" i="13"/>
  <c r="R14" i="13" s="1"/>
  <c r="DB7" i="9"/>
  <c r="DA7" i="9" s="1"/>
  <c r="AA8" i="21" s="1"/>
  <c r="CY20" i="9"/>
  <c r="DC8" i="9" s="1"/>
  <c r="Y9" i="21" s="1"/>
  <c r="AJ72" i="13"/>
  <c r="AV16" i="13" s="1"/>
  <c r="AV35" i="13"/>
  <c r="AY25" i="13"/>
  <c r="R38" i="24" s="1"/>
  <c r="AX35" i="13"/>
  <c r="AO72" i="13"/>
  <c r="AX16" i="13" s="1"/>
  <c r="M28" i="19"/>
  <c r="N28" i="19" s="1"/>
  <c r="AC32" i="17"/>
  <c r="AB32" i="17" s="1"/>
  <c r="E33" i="20"/>
  <c r="BX13" i="16"/>
  <c r="BV13" i="16"/>
  <c r="B52" i="16"/>
  <c r="CG47" i="16"/>
  <c r="BH47" i="16"/>
  <c r="BW47" i="16"/>
  <c r="BX53" i="16"/>
  <c r="BW53" i="16"/>
  <c r="BH53" i="16"/>
  <c r="CG53" i="16"/>
  <c r="BY53" i="16"/>
  <c r="BB32" i="16"/>
  <c r="DP33" i="9"/>
  <c r="AG60" i="9"/>
  <c r="AB60" i="9"/>
  <c r="AC60" i="9" s="1"/>
  <c r="AH18" i="24"/>
  <c r="AH16" i="24"/>
  <c r="BQ15" i="24"/>
  <c r="BQ25" i="24" s="1"/>
  <c r="BI54" i="16"/>
  <c r="AJ45" i="24" s="1"/>
  <c r="BE54" i="16"/>
  <c r="P98" i="16" s="1"/>
  <c r="BA18" i="24" s="1"/>
  <c r="F75" i="16"/>
  <c r="H58" i="16"/>
  <c r="AQ41" i="24" s="1"/>
  <c r="Z55" i="16"/>
  <c r="G55" i="16"/>
  <c r="D56" i="20"/>
  <c r="BG6" i="13"/>
  <c r="R12" i="24" s="1"/>
  <c r="AY27" i="13"/>
  <c r="AQ40" i="13"/>
  <c r="AY8" i="13" s="1"/>
  <c r="U70" i="21"/>
  <c r="Q66" i="13"/>
  <c r="R66" i="13" s="1"/>
  <c r="AI67" i="13" s="1"/>
  <c r="DB59" i="9"/>
  <c r="DA20" i="9" s="1"/>
  <c r="AA21" i="21" s="1"/>
  <c r="CY72" i="9"/>
  <c r="DC21" i="9" s="1"/>
  <c r="Y22" i="21" s="1"/>
  <c r="U25" i="21"/>
  <c r="Q21" i="13"/>
  <c r="R21" i="13" s="1"/>
  <c r="AI22" i="13" s="1"/>
  <c r="DB15" i="9"/>
  <c r="DA9" i="9" s="1"/>
  <c r="AA10" i="21" s="1"/>
  <c r="CY28" i="9"/>
  <c r="DC10" i="9" s="1"/>
  <c r="Y11" i="21" s="1"/>
  <c r="U55" i="21"/>
  <c r="Q51" i="13"/>
  <c r="R51" i="13" s="1"/>
  <c r="AI52" i="13" s="1"/>
  <c r="DB43" i="9"/>
  <c r="DA16" i="9" s="1"/>
  <c r="AA17" i="21" s="1"/>
  <c r="CY56" i="9"/>
  <c r="DC17" i="9" s="1"/>
  <c r="Y18" i="21" s="1"/>
  <c r="U22" i="21"/>
  <c r="Q18" i="13"/>
  <c r="R18" i="13" s="1"/>
  <c r="AI19" i="13" s="1"/>
  <c r="DB11" i="9"/>
  <c r="DA8" i="9" s="1"/>
  <c r="AA9" i="21" s="1"/>
  <c r="CY24" i="9"/>
  <c r="DC9" i="9" s="1"/>
  <c r="Y10" i="21" s="1"/>
  <c r="G51" i="16"/>
  <c r="D52" i="20"/>
  <c r="Z51" i="16"/>
  <c r="BE7" i="13"/>
  <c r="S13" i="24" s="1"/>
  <c r="BE4" i="13"/>
  <c r="S10" i="24" s="1"/>
  <c r="AV17" i="16"/>
  <c r="BE17" i="24" s="1"/>
  <c r="AE8" i="24" s="1"/>
  <c r="BI47" i="24" s="1"/>
  <c r="BH40" i="24"/>
  <c r="BI40" i="24" s="1"/>
  <c r="AU17" i="16"/>
  <c r="I99" i="16" s="1"/>
  <c r="AT19" i="24" s="1"/>
  <c r="Y38" i="24" s="1"/>
  <c r="AX17" i="16"/>
  <c r="AK17" i="16"/>
  <c r="AH46" i="24" s="1"/>
  <c r="BV75" i="16"/>
  <c r="BX74" i="16"/>
  <c r="BU74" i="16"/>
  <c r="BV74" i="16"/>
  <c r="CG30" i="16"/>
  <c r="CG29" i="16"/>
  <c r="BY29" i="16"/>
  <c r="BH29" i="16"/>
  <c r="BX29" i="16"/>
  <c r="BC81" i="16"/>
  <c r="AA67" i="9"/>
  <c r="AN66" i="4"/>
  <c r="AO66" i="4" s="1"/>
  <c r="CD70" i="16"/>
  <c r="CA70" i="16" s="1"/>
  <c r="AI49" i="24" s="1"/>
  <c r="BW70" i="16"/>
  <c r="BH70" i="16"/>
  <c r="CG70" i="16"/>
  <c r="BY26" i="16"/>
  <c r="BH26" i="16"/>
  <c r="BX26" i="16"/>
  <c r="CG26" i="16"/>
  <c r="BH25" i="16"/>
  <c r="M77" i="16"/>
  <c r="U77" i="16"/>
  <c r="Y77" i="16"/>
  <c r="B74" i="16"/>
  <c r="C56" i="16"/>
  <c r="AV21" i="16"/>
  <c r="BE21" i="24" s="1"/>
  <c r="AE9" i="24" s="1"/>
  <c r="BI48" i="24" s="1"/>
  <c r="AU21" i="16"/>
  <c r="I103" i="16" s="1"/>
  <c r="AT23" i="24" s="1"/>
  <c r="Y39" i="24" s="1"/>
  <c r="BH44" i="24"/>
  <c r="BI44" i="24" s="1"/>
  <c r="AX21" i="16"/>
  <c r="AK21" i="16"/>
  <c r="AH50" i="24" s="1"/>
  <c r="AI19" i="24" s="1"/>
  <c r="CD66" i="16"/>
  <c r="BX66" i="16"/>
  <c r="BW66" i="16"/>
  <c r="BH66" i="16"/>
  <c r="CG67" i="16"/>
  <c r="CG66" i="16"/>
  <c r="BY66" i="16"/>
  <c r="H74" i="16"/>
  <c r="AQ45" i="24" s="1"/>
  <c r="C71" i="16"/>
  <c r="G71" i="16"/>
  <c r="D72" i="20"/>
  <c r="Z71" i="16"/>
  <c r="AG86" i="19"/>
  <c r="E74" i="24" s="1"/>
  <c r="AO60" i="13"/>
  <c r="AX13" i="13" s="1"/>
  <c r="AX32" i="13"/>
  <c r="Z46" i="4"/>
  <c r="F48" i="9"/>
  <c r="L26" i="24"/>
  <c r="F21" i="17"/>
  <c r="AR21" i="17" s="1"/>
  <c r="AO48" i="13"/>
  <c r="AX10" i="13" s="1"/>
  <c r="AX29" i="13"/>
  <c r="BY8" i="16"/>
  <c r="AS18" i="4"/>
  <c r="BX9" i="16"/>
  <c r="BV9" i="16"/>
  <c r="X23" i="16"/>
  <c r="X22" i="16"/>
  <c r="BY34" i="16"/>
  <c r="G73" i="16"/>
  <c r="C73" i="16"/>
  <c r="D74" i="20"/>
  <c r="Z73" i="16"/>
  <c r="BP15" i="24"/>
  <c r="BP25" i="24" s="1"/>
  <c r="BS54" i="16"/>
  <c r="AV40" i="24" s="1"/>
  <c r="CA54" i="16"/>
  <c r="AI45" i="24" s="1"/>
  <c r="BR54" i="16"/>
  <c r="N98" i="16" s="1"/>
  <c r="AY18" i="24" s="1"/>
  <c r="F76" i="16"/>
  <c r="CD74" i="16"/>
  <c r="BW74" i="16"/>
  <c r="BH74" i="16"/>
  <c r="CG74" i="16"/>
  <c r="CG75" i="16"/>
  <c r="BY49" i="16"/>
  <c r="AG20" i="9"/>
  <c r="AB20" i="9"/>
  <c r="BY41" i="16"/>
  <c r="I64" i="16"/>
  <c r="AH65" i="9"/>
  <c r="AG37" i="9"/>
  <c r="AB37" i="9"/>
  <c r="F60" i="16"/>
  <c r="BH51" i="16"/>
  <c r="AG17" i="9"/>
  <c r="AB17" i="9"/>
  <c r="BY42" i="16"/>
  <c r="H70" i="16"/>
  <c r="AQ44" i="24" s="1"/>
  <c r="C68" i="16"/>
  <c r="C67" i="16"/>
  <c r="G67" i="16"/>
  <c r="D68" i="20"/>
  <c r="Z67" i="16"/>
  <c r="BR66" i="16"/>
  <c r="N101" i="16" s="1"/>
  <c r="AY21" i="24" s="1"/>
  <c r="Z50" i="9"/>
  <c r="AF50" i="9" s="1"/>
  <c r="AM49" i="4"/>
  <c r="AS49" i="4"/>
  <c r="AJ36" i="13"/>
  <c r="AV24" i="13"/>
  <c r="S33" i="24" s="1"/>
  <c r="S41" i="24" s="1"/>
  <c r="AV26" i="13"/>
  <c r="Z30" i="24"/>
  <c r="Z29" i="24"/>
  <c r="BR78" i="16"/>
  <c r="N104" i="16" s="1"/>
  <c r="AY24" i="24" s="1"/>
  <c r="AU26" i="13"/>
  <c r="J64" i="16" l="1"/>
  <c r="AA64" i="16"/>
  <c r="Z45" i="4"/>
  <c r="AB46" i="4" s="1"/>
  <c r="AC46" i="4" s="1"/>
  <c r="F47" i="9"/>
  <c r="CE66" i="16"/>
  <c r="BF19" i="24" s="1"/>
  <c r="BK42" i="24"/>
  <c r="BL42" i="24" s="1"/>
  <c r="CF66" i="16"/>
  <c r="M101" i="16" s="1"/>
  <c r="AX21" i="24" s="1"/>
  <c r="BZ66" i="16"/>
  <c r="AK48" i="24" s="1"/>
  <c r="BI66" i="16"/>
  <c r="AJ48" i="24" s="1"/>
  <c r="CA66" i="16"/>
  <c r="AI48" i="24" s="1"/>
  <c r="AG67" i="9"/>
  <c r="AB67" i="9"/>
  <c r="AC67" i="9" s="1"/>
  <c r="M17" i="19"/>
  <c r="N17" i="19" s="1"/>
  <c r="O18" i="19" s="1"/>
  <c r="AC21" i="17"/>
  <c r="AB21" i="17" s="1"/>
  <c r="E22" i="20"/>
  <c r="M50" i="19"/>
  <c r="N50" i="19" s="1"/>
  <c r="O50" i="19" s="1"/>
  <c r="H54" i="22"/>
  <c r="AC54" i="17"/>
  <c r="E55" i="20"/>
  <c r="M20" i="19"/>
  <c r="N20" i="19" s="1"/>
  <c r="O22" i="19" s="1"/>
  <c r="AC24" i="17"/>
  <c r="E25" i="20"/>
  <c r="M65" i="19"/>
  <c r="N65" i="19" s="1"/>
  <c r="O66" i="19" s="1"/>
  <c r="H69" i="22"/>
  <c r="AC69" i="17"/>
  <c r="E70" i="20"/>
  <c r="BC33" i="16"/>
  <c r="BC32" i="16"/>
  <c r="BF32" i="16"/>
  <c r="G33" i="20"/>
  <c r="BG34" i="16"/>
  <c r="BD34" i="16"/>
  <c r="M13" i="19"/>
  <c r="N13" i="19" s="1"/>
  <c r="AC17" i="17"/>
  <c r="U80" i="21"/>
  <c r="U81" i="21"/>
  <c r="E18" i="20"/>
  <c r="AA59" i="9"/>
  <c r="AN58" i="4"/>
  <c r="AO58" i="4" s="1"/>
  <c r="O41" i="16"/>
  <c r="AI42" i="9"/>
  <c r="V41" i="16" s="1"/>
  <c r="Z23" i="9"/>
  <c r="AF23" i="9" s="1"/>
  <c r="AM22" i="4"/>
  <c r="AU22" i="4"/>
  <c r="AV22" i="4" s="1"/>
  <c r="AS22" i="4"/>
  <c r="AS79" i="4" s="1"/>
  <c r="T22" i="17"/>
  <c r="AO4" i="17"/>
  <c r="D42" i="16"/>
  <c r="D43" i="20"/>
  <c r="C42" i="16"/>
  <c r="G42" i="16"/>
  <c r="Z42" i="16"/>
  <c r="C43" i="16"/>
  <c r="CC24" i="16"/>
  <c r="DQ25" i="9"/>
  <c r="CH24" i="16" s="1"/>
  <c r="AB31" i="17"/>
  <c r="O63" i="13"/>
  <c r="P63" i="13" s="1"/>
  <c r="V62" i="19"/>
  <c r="W62" i="19" s="1"/>
  <c r="X62" i="19" s="1"/>
  <c r="D66" i="17"/>
  <c r="H18" i="17" s="1"/>
  <c r="AA63" i="9"/>
  <c r="AN62" i="4"/>
  <c r="AO62" i="4" s="1"/>
  <c r="D26" i="16"/>
  <c r="C27" i="16"/>
  <c r="C26" i="16"/>
  <c r="Z26" i="16"/>
  <c r="AE7" i="24"/>
  <c r="BI49" i="24" s="1"/>
  <c r="AH28" i="24"/>
  <c r="AG7" i="17"/>
  <c r="AB19" i="17"/>
  <c r="AA55" i="9"/>
  <c r="AN54" i="4"/>
  <c r="AO54" i="4" s="1"/>
  <c r="S59" i="9"/>
  <c r="C59" i="21" s="1"/>
  <c r="W59" i="9"/>
  <c r="I18" i="21" s="1"/>
  <c r="J99" i="16"/>
  <c r="AU19" i="24" s="1"/>
  <c r="Y7" i="24"/>
  <c r="Y8" i="24"/>
  <c r="M36" i="19"/>
  <c r="N36" i="19" s="1"/>
  <c r="O38" i="19" s="1"/>
  <c r="H40" i="22"/>
  <c r="F41" i="20" s="1"/>
  <c r="AC40" i="17"/>
  <c r="AB40" i="17" s="1"/>
  <c r="E41" i="20"/>
  <c r="M56" i="19"/>
  <c r="N56" i="19" s="1"/>
  <c r="O58" i="19" s="1"/>
  <c r="H60" i="22"/>
  <c r="AC60" i="17"/>
  <c r="E61" i="20"/>
  <c r="O47" i="16"/>
  <c r="AI48" i="9"/>
  <c r="V47" i="16" s="1"/>
  <c r="D62" i="16"/>
  <c r="G62" i="16"/>
  <c r="C62" i="16"/>
  <c r="D63" i="20"/>
  <c r="Z62" i="16"/>
  <c r="AG12" i="17"/>
  <c r="AB39" i="17"/>
  <c r="U29" i="16"/>
  <c r="M29" i="16"/>
  <c r="Y29" i="16"/>
  <c r="U30" i="16"/>
  <c r="P30" i="16"/>
  <c r="BH49" i="24"/>
  <c r="CE78" i="16"/>
  <c r="BF22" i="24" s="1"/>
  <c r="BK45" i="24"/>
  <c r="BL45" i="24" s="1"/>
  <c r="CF78" i="16"/>
  <c r="M104" i="16" s="1"/>
  <c r="AX24" i="24" s="1"/>
  <c r="BZ78" i="16"/>
  <c r="AK51" i="24" s="1"/>
  <c r="BI78" i="16"/>
  <c r="AJ51" i="24" s="1"/>
  <c r="CA78" i="16"/>
  <c r="AI51" i="24" s="1"/>
  <c r="I69" i="16"/>
  <c r="AH70" i="9"/>
  <c r="C20" i="16"/>
  <c r="Z20" i="16"/>
  <c r="AG16" i="24"/>
  <c r="AO56" i="13"/>
  <c r="AX31" i="13"/>
  <c r="AX25" i="13"/>
  <c r="R34" i="24" s="1"/>
  <c r="R42" i="24" s="1"/>
  <c r="H66" i="16"/>
  <c r="AQ43" i="24" s="1"/>
  <c r="C63" i="16"/>
  <c r="G63" i="16"/>
  <c r="D64" i="20"/>
  <c r="Z63" i="16"/>
  <c r="C64" i="16"/>
  <c r="D66" i="16"/>
  <c r="S31" i="24"/>
  <c r="N16" i="24"/>
  <c r="AF11" i="17"/>
  <c r="BT27" i="16"/>
  <c r="BP28" i="16"/>
  <c r="CI27" i="16"/>
  <c r="BP27" i="16"/>
  <c r="BQ30" i="16"/>
  <c r="CE58" i="16"/>
  <c r="BF17" i="24" s="1"/>
  <c r="BK40" i="24"/>
  <c r="BL40" i="24" s="1"/>
  <c r="CF58" i="16"/>
  <c r="M99" i="16" s="1"/>
  <c r="AX19" i="24" s="1"/>
  <c r="BZ58" i="16"/>
  <c r="AK46" i="24" s="1"/>
  <c r="BI58" i="16"/>
  <c r="AJ46" i="24" s="1"/>
  <c r="CG11" i="16"/>
  <c r="CG12" i="16"/>
  <c r="CD14" i="16"/>
  <c r="AI54" i="13"/>
  <c r="BD6" i="13"/>
  <c r="S22" i="24" s="1"/>
  <c r="M74" i="19"/>
  <c r="N74" i="19" s="1"/>
  <c r="O74" i="19" s="1"/>
  <c r="H78" i="22"/>
  <c r="F79" i="20" s="1"/>
  <c r="AC78" i="17"/>
  <c r="AB78" i="17" s="1"/>
  <c r="E79" i="20"/>
  <c r="AW4" i="13"/>
  <c r="AG71" i="9"/>
  <c r="AB71" i="9"/>
  <c r="AC71" i="9" s="1"/>
  <c r="CC20" i="16"/>
  <c r="DQ21" i="9"/>
  <c r="CH20" i="16" s="1"/>
  <c r="G52" i="16"/>
  <c r="D53" i="20"/>
  <c r="C52" i="16"/>
  <c r="Z52" i="16"/>
  <c r="C53" i="16"/>
  <c r="Y24" i="21"/>
  <c r="CE50" i="16"/>
  <c r="BF15" i="24" s="1"/>
  <c r="CF50" i="16"/>
  <c r="M97" i="16" s="1"/>
  <c r="AX17" i="24" s="1"/>
  <c r="BK38" i="24"/>
  <c r="BL38" i="24" s="1"/>
  <c r="BZ50" i="16"/>
  <c r="AK44" i="24" s="1"/>
  <c r="BI50" i="16"/>
  <c r="AJ44" i="24" s="1"/>
  <c r="S67" i="9"/>
  <c r="C67" i="21" s="1"/>
  <c r="W67" i="9"/>
  <c r="I20" i="21" s="1"/>
  <c r="AJ29" i="24"/>
  <c r="AV42" i="24"/>
  <c r="BK30" i="24"/>
  <c r="BL30" i="24" s="1"/>
  <c r="CE18" i="16"/>
  <c r="BF7" i="24" s="1"/>
  <c r="CF18" i="16"/>
  <c r="BI18" i="16"/>
  <c r="AJ36" i="24" s="1"/>
  <c r="O67" i="13"/>
  <c r="P67" i="13" s="1"/>
  <c r="V66" i="19"/>
  <c r="W66" i="19" s="1"/>
  <c r="X66" i="19" s="1"/>
  <c r="D70" i="17"/>
  <c r="H19" i="17" s="1"/>
  <c r="N14" i="24"/>
  <c r="AF9" i="17"/>
  <c r="AT9" i="17" s="1"/>
  <c r="N25" i="24"/>
  <c r="AF20" i="17"/>
  <c r="AT20" i="17" s="1"/>
  <c r="AV31" i="24"/>
  <c r="BQ23" i="24"/>
  <c r="I65" i="16"/>
  <c r="AH66" i="9"/>
  <c r="AG43" i="9"/>
  <c r="AB43" i="9"/>
  <c r="AC43" i="9" s="1"/>
  <c r="AS41" i="24"/>
  <c r="AG28" i="24"/>
  <c r="AG26" i="24"/>
  <c r="G47" i="16"/>
  <c r="D48" i="20"/>
  <c r="F47" i="16"/>
  <c r="C47" i="16"/>
  <c r="Z47" i="16"/>
  <c r="M30" i="19"/>
  <c r="N30" i="19" s="1"/>
  <c r="O30" i="19" s="1"/>
  <c r="AC34" i="17"/>
  <c r="AB34" i="17" s="1"/>
  <c r="E35" i="20"/>
  <c r="M7" i="22"/>
  <c r="E44" i="24" s="1"/>
  <c r="R7" i="22"/>
  <c r="F40" i="20"/>
  <c r="F29" i="16"/>
  <c r="C29" i="16"/>
  <c r="Z29" i="16"/>
  <c r="C30" i="16"/>
  <c r="D30" i="16"/>
  <c r="BH47" i="24"/>
  <c r="Y29" i="24"/>
  <c r="AY6" i="13"/>
  <c r="CE54" i="16"/>
  <c r="BF16" i="24" s="1"/>
  <c r="BK39" i="24"/>
  <c r="BL39" i="24" s="1"/>
  <c r="CF54" i="16"/>
  <c r="M98" i="16" s="1"/>
  <c r="AX18" i="24" s="1"/>
  <c r="BZ54" i="16"/>
  <c r="AK45" i="24" s="1"/>
  <c r="AV79" i="4"/>
  <c r="N23" i="24"/>
  <c r="AF18" i="17"/>
  <c r="AT18" i="17" s="1"/>
  <c r="P16" i="22"/>
  <c r="K16" i="22"/>
  <c r="C53" i="24" s="1"/>
  <c r="C77" i="20"/>
  <c r="T51" i="9"/>
  <c r="V51" i="9" s="1"/>
  <c r="E51" i="21"/>
  <c r="AX4" i="13"/>
  <c r="AX7" i="13"/>
  <c r="AX5" i="13"/>
  <c r="B18" i="16"/>
  <c r="CE46" i="16"/>
  <c r="BF14" i="24" s="1"/>
  <c r="BK37" i="24"/>
  <c r="CF46" i="16"/>
  <c r="M96" i="16" s="1"/>
  <c r="AX16" i="24" s="1"/>
  <c r="BZ46" i="16"/>
  <c r="AK43" i="24" s="1"/>
  <c r="CA46" i="16"/>
  <c r="AI43" i="24" s="1"/>
  <c r="BI46" i="16"/>
  <c r="AJ43" i="24" s="1"/>
  <c r="AB71" i="17"/>
  <c r="T50" i="9"/>
  <c r="V50" i="9" s="1"/>
  <c r="S50" i="9" s="1"/>
  <c r="C50" i="21" s="1"/>
  <c r="E50" i="21"/>
  <c r="M52" i="19"/>
  <c r="N52" i="19" s="1"/>
  <c r="H56" i="22"/>
  <c r="S30" i="24"/>
  <c r="AC56" i="17"/>
  <c r="E57" i="20"/>
  <c r="D58" i="16"/>
  <c r="G58" i="16"/>
  <c r="C58" i="16"/>
  <c r="D59" i="20"/>
  <c r="Z58" i="16"/>
  <c r="BT20" i="16"/>
  <c r="BP21" i="16"/>
  <c r="BP20" i="16"/>
  <c r="CI20" i="16"/>
  <c r="BY20" i="16"/>
  <c r="BQ22" i="16"/>
  <c r="AV7" i="13"/>
  <c r="I16" i="16"/>
  <c r="AH17" i="9"/>
  <c r="O16" i="16" s="1"/>
  <c r="AB47" i="4"/>
  <c r="AC47" i="4" s="1"/>
  <c r="AF50" i="4" s="1"/>
  <c r="AJ14" i="4" s="1"/>
  <c r="G16" i="21" s="1"/>
  <c r="CE70" i="16"/>
  <c r="BF20" i="24" s="1"/>
  <c r="BK43" i="24"/>
  <c r="BL43" i="24" s="1"/>
  <c r="CF70" i="16"/>
  <c r="M102" i="16" s="1"/>
  <c r="AX22" i="24" s="1"/>
  <c r="BZ70" i="16"/>
  <c r="AK49" i="24" s="1"/>
  <c r="BI70" i="16"/>
  <c r="AJ49" i="24" s="1"/>
  <c r="N12" i="24"/>
  <c r="AF7" i="17"/>
  <c r="AT7" i="17" s="1"/>
  <c r="N20" i="24"/>
  <c r="AF15" i="17"/>
  <c r="AT15" i="17" s="1"/>
  <c r="N13" i="24"/>
  <c r="AF8" i="17"/>
  <c r="AT8" i="17" s="1"/>
  <c r="N24" i="24"/>
  <c r="AF19" i="17"/>
  <c r="AT19" i="17" s="1"/>
  <c r="I59" i="16"/>
  <c r="AH60" i="9"/>
  <c r="N11" i="24"/>
  <c r="AA24" i="21"/>
  <c r="AF6" i="17"/>
  <c r="D70" i="16"/>
  <c r="G70" i="16"/>
  <c r="C70" i="16"/>
  <c r="D71" i="20"/>
  <c r="Z70" i="16"/>
  <c r="AA22" i="9"/>
  <c r="AN21" i="4"/>
  <c r="BD5" i="13"/>
  <c r="S21" i="24" s="1"/>
  <c r="AR22" i="16"/>
  <c r="AR21" i="16"/>
  <c r="AS21" i="16"/>
  <c r="AS45" i="24"/>
  <c r="AG29" i="24"/>
  <c r="AJ26" i="24"/>
  <c r="I51" i="16"/>
  <c r="AH52" i="9"/>
  <c r="O59" i="13"/>
  <c r="P59" i="13" s="1"/>
  <c r="V58" i="19"/>
  <c r="W58" i="19" s="1"/>
  <c r="X58" i="19" s="1"/>
  <c r="D62" i="17"/>
  <c r="AA75" i="9"/>
  <c r="AN74" i="4"/>
  <c r="AO74" i="4" s="1"/>
  <c r="AA51" i="9"/>
  <c r="AN50" i="4"/>
  <c r="AO50" i="4" s="1"/>
  <c r="AU6" i="13"/>
  <c r="AU12" i="13"/>
  <c r="AG18" i="9"/>
  <c r="AB18" i="9"/>
  <c r="AH26" i="24"/>
  <c r="AG53" i="9"/>
  <c r="AB53" i="9"/>
  <c r="AC53" i="9" s="1"/>
  <c r="S71" i="9"/>
  <c r="C71" i="21" s="1"/>
  <c r="W71" i="9"/>
  <c r="I21" i="21" s="1"/>
  <c r="O57" i="13"/>
  <c r="P57" i="13" s="1"/>
  <c r="V56" i="19"/>
  <c r="W56" i="19" s="1"/>
  <c r="D60" i="17"/>
  <c r="BH48" i="24"/>
  <c r="CA18" i="16"/>
  <c r="AI36" i="24" s="1"/>
  <c r="I73" i="16"/>
  <c r="AH74" i="9"/>
  <c r="CI23" i="16"/>
  <c r="BP23" i="16"/>
  <c r="BT23" i="16"/>
  <c r="BP23" i="24"/>
  <c r="AS17" i="16"/>
  <c r="AR18" i="16"/>
  <c r="AR17" i="16"/>
  <c r="N17" i="24"/>
  <c r="AF12" i="17"/>
  <c r="AT12" i="17" s="1"/>
  <c r="N22" i="24"/>
  <c r="AF17" i="17"/>
  <c r="AT17" i="17" s="1"/>
  <c r="AG21" i="17"/>
  <c r="AB77" i="17"/>
  <c r="P34" i="16"/>
  <c r="U34" i="16"/>
  <c r="U33" i="16"/>
  <c r="M33" i="16"/>
  <c r="AG27" i="9"/>
  <c r="AB27" i="9"/>
  <c r="O45" i="16"/>
  <c r="AI46" i="9"/>
  <c r="V45" i="16" s="1"/>
  <c r="AG38" i="9"/>
  <c r="AB38" i="9"/>
  <c r="G48" i="16"/>
  <c r="D49" i="20"/>
  <c r="C48" i="16"/>
  <c r="Z48" i="16"/>
  <c r="Z8" i="24"/>
  <c r="Y25" i="16"/>
  <c r="U25" i="16"/>
  <c r="M25" i="16"/>
  <c r="AJ64" i="13"/>
  <c r="AV14" i="13" s="1"/>
  <c r="AV33" i="13"/>
  <c r="G21" i="17"/>
  <c r="B76" i="17"/>
  <c r="R6" i="22"/>
  <c r="R4" i="22"/>
  <c r="M4" i="22"/>
  <c r="E41" i="24" s="1"/>
  <c r="M6" i="22"/>
  <c r="E43" i="24" s="1"/>
  <c r="F37" i="20"/>
  <c r="M33" i="19"/>
  <c r="N33" i="19" s="1"/>
  <c r="O34" i="19" s="1"/>
  <c r="H37" i="22"/>
  <c r="F38" i="20" s="1"/>
  <c r="AC37" i="17"/>
  <c r="AB37" i="17" s="1"/>
  <c r="E38" i="20"/>
  <c r="CA50" i="16"/>
  <c r="AI44" i="24" s="1"/>
  <c r="CC35" i="16"/>
  <c r="DQ36" i="9"/>
  <c r="CH35" i="16" s="1"/>
  <c r="S78" i="16"/>
  <c r="BD22" i="24" s="1"/>
  <c r="BE45" i="24"/>
  <c r="BF45" i="24" s="1"/>
  <c r="Q78" i="16"/>
  <c r="AD51" i="24" s="1"/>
  <c r="AJ40" i="13"/>
  <c r="AV8" i="13" s="1"/>
  <c r="I67" i="16"/>
  <c r="AH68" i="9"/>
  <c r="Y37" i="24"/>
  <c r="AA19" i="9"/>
  <c r="AN18" i="4"/>
  <c r="BN25" i="24"/>
  <c r="O71" i="13"/>
  <c r="P71" i="13" s="1"/>
  <c r="V70" i="19"/>
  <c r="W70" i="19" s="1"/>
  <c r="X70" i="19" s="1"/>
  <c r="D74" i="17"/>
  <c r="H20" i="17" s="1"/>
  <c r="F72" i="20"/>
  <c r="N26" i="24"/>
  <c r="AF21" i="17"/>
  <c r="AT21" i="17" s="1"/>
  <c r="BS15" i="9"/>
  <c r="Q15" i="21" s="1"/>
  <c r="BQ26" i="9"/>
  <c r="AW5" i="13"/>
  <c r="AY4" i="13"/>
  <c r="B38" i="16"/>
  <c r="AM79" i="4"/>
  <c r="AA50" i="9"/>
  <c r="AN49" i="4"/>
  <c r="AO49" i="4" s="1"/>
  <c r="I36" i="16"/>
  <c r="AH37" i="9"/>
  <c r="O36" i="16" s="1"/>
  <c r="BK44" i="24"/>
  <c r="BL44" i="24" s="1"/>
  <c r="CF74" i="16"/>
  <c r="M103" i="16" s="1"/>
  <c r="AX23" i="24" s="1"/>
  <c r="CE74" i="16"/>
  <c r="BF21" i="24" s="1"/>
  <c r="BI74" i="16"/>
  <c r="AJ50" i="24" s="1"/>
  <c r="BZ74" i="16"/>
  <c r="AK50" i="24" s="1"/>
  <c r="B49" i="16"/>
  <c r="H50" i="16" s="1"/>
  <c r="AQ39" i="24" s="1"/>
  <c r="O64" i="16"/>
  <c r="AI65" i="9"/>
  <c r="V64" i="16" s="1"/>
  <c r="I19" i="16"/>
  <c r="AH20" i="9"/>
  <c r="O19" i="16" s="1"/>
  <c r="Q48" i="9"/>
  <c r="R51" i="9" s="1"/>
  <c r="BW15" i="24" s="1"/>
  <c r="H48" i="9"/>
  <c r="D74" i="16"/>
  <c r="G74" i="16"/>
  <c r="C74" i="16"/>
  <c r="D75" i="20"/>
  <c r="Z74" i="16"/>
  <c r="C75" i="16"/>
  <c r="AJ52" i="13"/>
  <c r="AV11" i="13" s="1"/>
  <c r="AV30" i="13"/>
  <c r="AJ68" i="13"/>
  <c r="AV15" i="13" s="1"/>
  <c r="AV34" i="13"/>
  <c r="CC32" i="16"/>
  <c r="DQ33" i="9"/>
  <c r="CH32" i="16" s="1"/>
  <c r="AI15" i="13"/>
  <c r="BD4" i="13"/>
  <c r="S20" i="24" s="1"/>
  <c r="BD7" i="13"/>
  <c r="S23" i="24" s="1"/>
  <c r="K25" i="22"/>
  <c r="J17" i="20" s="1"/>
  <c r="Z17" i="13"/>
  <c r="AA17" i="13" s="1"/>
  <c r="I17" i="20"/>
  <c r="C41" i="16"/>
  <c r="G41" i="16"/>
  <c r="F41" i="16"/>
  <c r="D42" i="20"/>
  <c r="Z41" i="16"/>
  <c r="H42" i="16"/>
  <c r="AQ37" i="24" s="1"/>
  <c r="I57" i="16"/>
  <c r="AH58" i="9"/>
  <c r="B21" i="16"/>
  <c r="AG49" i="9"/>
  <c r="AB49" i="9"/>
  <c r="AC49" i="9" s="1"/>
  <c r="AJ28" i="24"/>
  <c r="BT24" i="16"/>
  <c r="CI24" i="16"/>
  <c r="BY24" i="16"/>
  <c r="BP24" i="16"/>
  <c r="BQ26" i="16"/>
  <c r="BP25" i="16"/>
  <c r="S63" i="9"/>
  <c r="C63" i="21" s="1"/>
  <c r="W63" i="9"/>
  <c r="I19" i="21" s="1"/>
  <c r="H49" i="9"/>
  <c r="O71" i="16"/>
  <c r="AI72" i="9"/>
  <c r="V71" i="16" s="1"/>
  <c r="AT45" i="24"/>
  <c r="AH29" i="24"/>
  <c r="B50" i="16"/>
  <c r="N100" i="16"/>
  <c r="AY20" i="24" s="1"/>
  <c r="Z9" i="24"/>
  <c r="O55" i="16"/>
  <c r="AI56" i="9"/>
  <c r="V55" i="16" s="1"/>
  <c r="F60" i="22"/>
  <c r="J56" i="19"/>
  <c r="K56" i="19" s="1"/>
  <c r="M57" i="13"/>
  <c r="N57" i="13" s="1"/>
  <c r="AD58" i="13" s="1"/>
  <c r="C60" i="17"/>
  <c r="B61" i="20"/>
  <c r="M25" i="19"/>
  <c r="N25" i="19" s="1"/>
  <c r="O26" i="19" s="1"/>
  <c r="AC29" i="17"/>
  <c r="AB29" i="17" s="1"/>
  <c r="E30" i="20"/>
  <c r="M69" i="19"/>
  <c r="N69" i="19" s="1"/>
  <c r="O70" i="19" s="1"/>
  <c r="H73" i="22"/>
  <c r="F74" i="20" s="1"/>
  <c r="AC73" i="17"/>
  <c r="AB73" i="17" s="1"/>
  <c r="E74" i="20"/>
  <c r="Y61" i="16"/>
  <c r="U61" i="16"/>
  <c r="B54" i="16"/>
  <c r="O55" i="13"/>
  <c r="P55" i="13" s="1"/>
  <c r="BC6" i="13" s="1"/>
  <c r="Q12" i="24" s="1"/>
  <c r="V54" i="19"/>
  <c r="W54" i="19" s="1"/>
  <c r="Q7" i="24"/>
  <c r="D58" i="17"/>
  <c r="S22" i="17"/>
  <c r="AS4" i="17"/>
  <c r="CC23" i="16"/>
  <c r="DQ24" i="9"/>
  <c r="CH23" i="16" s="1"/>
  <c r="Y9" i="24"/>
  <c r="J100" i="16"/>
  <c r="AU20" i="24" s="1"/>
  <c r="BM23" i="24"/>
  <c r="BM25" i="24"/>
  <c r="AV32" i="13"/>
  <c r="AJ60" i="13"/>
  <c r="AV13" i="13" s="1"/>
  <c r="R16" i="22"/>
  <c r="F78" i="20"/>
  <c r="M16" i="22"/>
  <c r="E53" i="24" s="1"/>
  <c r="D34" i="16"/>
  <c r="C34" i="16"/>
  <c r="C33" i="16"/>
  <c r="F33" i="16"/>
  <c r="BK36" i="24"/>
  <c r="BL36" i="24" s="1"/>
  <c r="CE42" i="16"/>
  <c r="BF13" i="24" s="1"/>
  <c r="BI42" i="16"/>
  <c r="AJ42" i="24" s="1"/>
  <c r="BZ42" i="16"/>
  <c r="AK42" i="24" s="1"/>
  <c r="CA74" i="16"/>
  <c r="AI50" i="24" s="1"/>
  <c r="AJ19" i="24" s="1"/>
  <c r="N15" i="24"/>
  <c r="AF10" i="17"/>
  <c r="AT10" i="17" s="1"/>
  <c r="C45" i="16"/>
  <c r="G45" i="16"/>
  <c r="F45" i="16"/>
  <c r="D46" i="20"/>
  <c r="Z45" i="16"/>
  <c r="C46" i="16"/>
  <c r="D46" i="16"/>
  <c r="H46" i="16"/>
  <c r="C17" i="16"/>
  <c r="Z17" i="16"/>
  <c r="BX11" i="16"/>
  <c r="BV11" i="16"/>
  <c r="BV12" i="16"/>
  <c r="AG9" i="17"/>
  <c r="AB28" i="17"/>
  <c r="H62" i="16"/>
  <c r="CE62" i="16"/>
  <c r="BF18" i="24" s="1"/>
  <c r="AF9" i="24" s="1"/>
  <c r="BL48" i="24" s="1"/>
  <c r="BK41" i="24"/>
  <c r="CF62" i="16"/>
  <c r="M100" i="16" s="1"/>
  <c r="AX20" i="24" s="1"/>
  <c r="Z39" i="24" s="1"/>
  <c r="BI62" i="16"/>
  <c r="AJ47" i="24" s="1"/>
  <c r="AK19" i="24" s="1"/>
  <c r="BZ62" i="16"/>
  <c r="AK47" i="24" s="1"/>
  <c r="AL19" i="24" s="1"/>
  <c r="O63" i="16"/>
  <c r="F63" i="16" s="1"/>
  <c r="AI64" i="9"/>
  <c r="V63" i="16" s="1"/>
  <c r="Z7" i="24"/>
  <c r="F25" i="16"/>
  <c r="C25" i="16"/>
  <c r="Z25" i="16"/>
  <c r="M61" i="19"/>
  <c r="N61" i="19" s="1"/>
  <c r="O62" i="19" s="1"/>
  <c r="H65" i="22"/>
  <c r="AC65" i="17"/>
  <c r="E66" i="20"/>
  <c r="AE76" i="13"/>
  <c r="AT17" i="13" s="1"/>
  <c r="AT36" i="13"/>
  <c r="AI7" i="17"/>
  <c r="E6" i="24" s="1"/>
  <c r="E65" i="24" s="1"/>
  <c r="AI16" i="17"/>
  <c r="N6" i="24" s="1"/>
  <c r="S16" i="24" s="1"/>
  <c r="E9" i="24"/>
  <c r="N9" i="24"/>
  <c r="AG11" i="17"/>
  <c r="AB36" i="17"/>
  <c r="N81" i="19"/>
  <c r="N83" i="19" s="1"/>
  <c r="E78" i="24" s="1"/>
  <c r="N82" i="19"/>
  <c r="N88" i="19"/>
  <c r="BC35" i="16"/>
  <c r="BC36" i="16"/>
  <c r="BH35" i="16"/>
  <c r="BF35" i="16"/>
  <c r="G36" i="20"/>
  <c r="BD38" i="16"/>
  <c r="BG38" i="16"/>
  <c r="AW36" i="24" s="1"/>
  <c r="CC27" i="16"/>
  <c r="BY27" i="16" s="1"/>
  <c r="DQ28" i="9"/>
  <c r="CH27" i="16" s="1"/>
  <c r="AX23" i="13"/>
  <c r="R35" i="24" s="1"/>
  <c r="R43" i="24" s="1"/>
  <c r="C37" i="16"/>
  <c r="Z37" i="16"/>
  <c r="R78" i="16"/>
  <c r="AE51" i="24" s="1"/>
  <c r="S75" i="9"/>
  <c r="C75" i="21" s="1"/>
  <c r="W75" i="9"/>
  <c r="I22" i="21" s="1"/>
  <c r="N21" i="24"/>
  <c r="AF16" i="17"/>
  <c r="AY5" i="13"/>
  <c r="AA39" i="9"/>
  <c r="AN38" i="4"/>
  <c r="AO38" i="4" s="1"/>
  <c r="AG21" i="9"/>
  <c r="AB21" i="9"/>
  <c r="I20" i="16" l="1"/>
  <c r="AH21" i="9"/>
  <c r="O20" i="16" s="1"/>
  <c r="AT16" i="17"/>
  <c r="AJ5" i="17"/>
  <c r="BQ11" i="24"/>
  <c r="BE38" i="16"/>
  <c r="P94" i="16" s="1"/>
  <c r="BA14" i="24" s="1"/>
  <c r="BE42" i="16"/>
  <c r="P95" i="16" s="1"/>
  <c r="BA15" i="24" s="1"/>
  <c r="BC80" i="16"/>
  <c r="R13" i="22"/>
  <c r="F66" i="20"/>
  <c r="M13" i="22"/>
  <c r="E50" i="24" s="1"/>
  <c r="C61" i="20"/>
  <c r="L22" i="24"/>
  <c r="F17" i="17"/>
  <c r="AR17" i="17" s="1"/>
  <c r="C21" i="16"/>
  <c r="Z21" i="16"/>
  <c r="CG32" i="16"/>
  <c r="BY32" i="16"/>
  <c r="CD34" i="16"/>
  <c r="CG33" i="16"/>
  <c r="BX32" i="16"/>
  <c r="J48" i="9"/>
  <c r="I48" i="9"/>
  <c r="AG50" i="9"/>
  <c r="AB50" i="9"/>
  <c r="AC50" i="9" s="1"/>
  <c r="M15" i="22"/>
  <c r="E52" i="24" s="1"/>
  <c r="O67" i="16"/>
  <c r="AI68" i="9"/>
  <c r="V67" i="16" s="1"/>
  <c r="CG36" i="16"/>
  <c r="CG35" i="16"/>
  <c r="BY35" i="16"/>
  <c r="BX35" i="16"/>
  <c r="CD38" i="16"/>
  <c r="M3" i="22"/>
  <c r="E40" i="24" s="1"/>
  <c r="C26" i="24"/>
  <c r="AN21" i="17"/>
  <c r="BX23" i="16"/>
  <c r="BV23" i="16"/>
  <c r="O73" i="16"/>
  <c r="AI74" i="9"/>
  <c r="V73" i="16" s="1"/>
  <c r="H17" i="17"/>
  <c r="F70" i="22"/>
  <c r="J66" i="19"/>
  <c r="K66" i="19" s="1"/>
  <c r="L66" i="19" s="1"/>
  <c r="M67" i="13"/>
  <c r="N67" i="13" s="1"/>
  <c r="AD68" i="13" s="1"/>
  <c r="C70" i="17"/>
  <c r="B71" i="20"/>
  <c r="AG75" i="9"/>
  <c r="AB75" i="9"/>
  <c r="AC75" i="9" s="1"/>
  <c r="O51" i="16"/>
  <c r="AI52" i="9"/>
  <c r="V51" i="16" s="1"/>
  <c r="BK19" i="24"/>
  <c r="E70" i="16"/>
  <c r="H102" i="16" s="1"/>
  <c r="AS22" i="24" s="1"/>
  <c r="O59" i="16"/>
  <c r="AI60" i="9"/>
  <c r="V59" i="16" s="1"/>
  <c r="U16" i="16"/>
  <c r="Y16" i="16"/>
  <c r="F16" i="16"/>
  <c r="BK16" i="24"/>
  <c r="F57" i="20"/>
  <c r="M11" i="22"/>
  <c r="E48" i="24" s="1"/>
  <c r="M5" i="22"/>
  <c r="E42" i="24" s="1"/>
  <c r="R5" i="22"/>
  <c r="R11" i="22"/>
  <c r="AL18" i="24"/>
  <c r="AL16" i="24"/>
  <c r="BK9" i="24"/>
  <c r="R30" i="16"/>
  <c r="AE39" i="24" s="1"/>
  <c r="E30" i="16"/>
  <c r="H92" i="16" s="1"/>
  <c r="AS12" i="24" s="1"/>
  <c r="BX27" i="16"/>
  <c r="BV27" i="16"/>
  <c r="BV28" i="16"/>
  <c r="BU30" i="16"/>
  <c r="BK18" i="24"/>
  <c r="E66" i="16"/>
  <c r="H101" i="16" s="1"/>
  <c r="AS21" i="24" s="1"/>
  <c r="AA69" i="16"/>
  <c r="J69" i="16"/>
  <c r="BE33" i="24"/>
  <c r="Q30" i="16"/>
  <c r="AD39" i="24" s="1"/>
  <c r="BK17" i="24"/>
  <c r="E62" i="16"/>
  <c r="H100" i="16" s="1"/>
  <c r="AS20" i="24" s="1"/>
  <c r="X31" i="24" s="1"/>
  <c r="AG17" i="17"/>
  <c r="AB60" i="17"/>
  <c r="AG63" i="9"/>
  <c r="AB63" i="9"/>
  <c r="AC63" i="9" s="1"/>
  <c r="BH24" i="16"/>
  <c r="CG24" i="16"/>
  <c r="CD26" i="16"/>
  <c r="CG25" i="16"/>
  <c r="AA23" i="9"/>
  <c r="AN22" i="4"/>
  <c r="AW35" i="24"/>
  <c r="AK27" i="24"/>
  <c r="AK25" i="24"/>
  <c r="M14" i="22"/>
  <c r="E51" i="24" s="1"/>
  <c r="R14" i="22"/>
  <c r="F70" i="20"/>
  <c r="AE29" i="24"/>
  <c r="AQ42" i="24"/>
  <c r="H16" i="17"/>
  <c r="J26" i="17"/>
  <c r="C61" i="24" s="1"/>
  <c r="B60" i="17"/>
  <c r="D50" i="16"/>
  <c r="D51" i="20"/>
  <c r="C50" i="16"/>
  <c r="G50" i="16"/>
  <c r="Z50" i="16"/>
  <c r="C51" i="16"/>
  <c r="F62" i="22"/>
  <c r="C63" i="20" s="1"/>
  <c r="J58" i="19"/>
  <c r="K58" i="19" s="1"/>
  <c r="L58" i="19" s="1"/>
  <c r="M59" i="13"/>
  <c r="N59" i="13" s="1"/>
  <c r="AD60" i="13" s="1"/>
  <c r="AE60" i="13" s="1"/>
  <c r="AT13" i="13" s="1"/>
  <c r="C62" i="17"/>
  <c r="B62" i="17" s="1"/>
  <c r="B63" i="20"/>
  <c r="O57" i="16"/>
  <c r="AI58" i="9"/>
  <c r="V57" i="16" s="1"/>
  <c r="Y64" i="16"/>
  <c r="U64" i="16"/>
  <c r="F64" i="16"/>
  <c r="U36" i="16"/>
  <c r="Y36" i="16"/>
  <c r="F36" i="16"/>
  <c r="M67" i="16"/>
  <c r="J68" i="16"/>
  <c r="AA67" i="16"/>
  <c r="I37" i="16"/>
  <c r="AH38" i="9"/>
  <c r="O37" i="16" s="1"/>
  <c r="I26" i="16"/>
  <c r="AH27" i="9"/>
  <c r="O26" i="16" s="1"/>
  <c r="BE34" i="24"/>
  <c r="T34" i="16"/>
  <c r="E93" i="16" s="1"/>
  <c r="AP13" i="24" s="1"/>
  <c r="Q34" i="16"/>
  <c r="AD40" i="24" s="1"/>
  <c r="AA73" i="16"/>
  <c r="M73" i="16"/>
  <c r="J73" i="16"/>
  <c r="I17" i="16"/>
  <c r="AH18" i="9"/>
  <c r="O17" i="16" s="1"/>
  <c r="AA51" i="16"/>
  <c r="M51" i="16"/>
  <c r="AT6" i="17"/>
  <c r="AF22" i="17"/>
  <c r="AJ9" i="17"/>
  <c r="AJ3" i="17"/>
  <c r="M59" i="16"/>
  <c r="J60" i="16"/>
  <c r="AA59" i="16"/>
  <c r="J16" i="16"/>
  <c r="M16" i="16"/>
  <c r="BP7" i="24"/>
  <c r="BS22" i="16"/>
  <c r="BR22" i="16"/>
  <c r="N84" i="19"/>
  <c r="N86" i="19" s="1"/>
  <c r="E79" i="24" s="1"/>
  <c r="N85" i="19"/>
  <c r="O54" i="19"/>
  <c r="AG20" i="17"/>
  <c r="Z37" i="24"/>
  <c r="Z38" i="24"/>
  <c r="D18" i="16"/>
  <c r="C18" i="16"/>
  <c r="Z18" i="16"/>
  <c r="C19" i="16"/>
  <c r="O47" i="13"/>
  <c r="P47" i="13" s="1"/>
  <c r="V46" i="19"/>
  <c r="W46" i="19" s="1"/>
  <c r="D50" i="17"/>
  <c r="I42" i="16"/>
  <c r="AH43" i="9"/>
  <c r="CG21" i="16"/>
  <c r="CG20" i="16"/>
  <c r="BH20" i="16"/>
  <c r="CD22" i="16"/>
  <c r="AJ7" i="17"/>
  <c r="AT11" i="17"/>
  <c r="M12" i="22"/>
  <c r="E49" i="24" s="1"/>
  <c r="R12" i="22"/>
  <c r="F61" i="20"/>
  <c r="AG55" i="9"/>
  <c r="AB55" i="9"/>
  <c r="AC55" i="9" s="1"/>
  <c r="B22" i="16"/>
  <c r="AG59" i="9"/>
  <c r="AB59" i="9"/>
  <c r="AC59" i="9" s="1"/>
  <c r="AI18" i="17"/>
  <c r="N5" i="24" s="1"/>
  <c r="S15" i="24" s="1"/>
  <c r="AG6" i="17"/>
  <c r="AB17" i="17"/>
  <c r="AI12" i="17"/>
  <c r="AI9" i="17"/>
  <c r="E5" i="24" s="1"/>
  <c r="E64" i="24" s="1"/>
  <c r="AI3" i="17"/>
  <c r="E4" i="24" s="1"/>
  <c r="E67" i="24" s="1"/>
  <c r="N4" i="24"/>
  <c r="S18" i="24" s="1"/>
  <c r="I66" i="16"/>
  <c r="AH67" i="9"/>
  <c r="Q47" i="9"/>
  <c r="M64" i="16"/>
  <c r="L25" i="24"/>
  <c r="F20" i="17"/>
  <c r="AR20" i="17" s="1"/>
  <c r="CG28" i="16"/>
  <c r="CG27" i="16"/>
  <c r="BH27" i="16"/>
  <c r="CD30" i="16"/>
  <c r="AQ38" i="24"/>
  <c r="BH23" i="16"/>
  <c r="CG23" i="16"/>
  <c r="D54" i="16"/>
  <c r="D55" i="20"/>
  <c r="C54" i="16"/>
  <c r="G54" i="16"/>
  <c r="Z54" i="16"/>
  <c r="C55" i="16"/>
  <c r="H54" i="16"/>
  <c r="AQ40" i="24" s="1"/>
  <c r="Y55" i="16"/>
  <c r="M55" i="16"/>
  <c r="U56" i="16"/>
  <c r="F55" i="16"/>
  <c r="Y71" i="16"/>
  <c r="M71" i="16"/>
  <c r="U72" i="16"/>
  <c r="F71" i="16"/>
  <c r="I48" i="16"/>
  <c r="AH49" i="9"/>
  <c r="AA57" i="16"/>
  <c r="M57" i="16"/>
  <c r="J57" i="16"/>
  <c r="Y19" i="16"/>
  <c r="F19" i="16"/>
  <c r="C49" i="16"/>
  <c r="G49" i="16"/>
  <c r="D50" i="20"/>
  <c r="Z49" i="16"/>
  <c r="M36" i="16"/>
  <c r="J36" i="16"/>
  <c r="AG19" i="9"/>
  <c r="AB19" i="9"/>
  <c r="H80" i="22"/>
  <c r="BY23" i="16"/>
  <c r="I52" i="16"/>
  <c r="AH53" i="9"/>
  <c r="AG51" i="9"/>
  <c r="AB51" i="9"/>
  <c r="AC51" i="9" s="1"/>
  <c r="AG22" i="9"/>
  <c r="AB22" i="9"/>
  <c r="AV5" i="13"/>
  <c r="BV20" i="16"/>
  <c r="BX20" i="16"/>
  <c r="BV21" i="16"/>
  <c r="BU22" i="16"/>
  <c r="AI5" i="17"/>
  <c r="E7" i="24" s="1"/>
  <c r="E66" i="24" s="1"/>
  <c r="AI14" i="17"/>
  <c r="N7" i="24" s="1"/>
  <c r="S17" i="24" s="1"/>
  <c r="AG16" i="17"/>
  <c r="AB56" i="17"/>
  <c r="D49" i="17"/>
  <c r="O46" i="13"/>
  <c r="P46" i="13" s="1"/>
  <c r="V45" i="19"/>
  <c r="W45" i="19" s="1"/>
  <c r="AK16" i="24"/>
  <c r="AK18" i="24"/>
  <c r="BL37" i="24"/>
  <c r="BK47" i="24"/>
  <c r="BK49" i="24"/>
  <c r="S51" i="9"/>
  <c r="C51" i="21" s="1"/>
  <c r="O65" i="16"/>
  <c r="AI66" i="9"/>
  <c r="V65" i="16" s="1"/>
  <c r="L23" i="24"/>
  <c r="F18" i="17"/>
  <c r="AR18" i="17" s="1"/>
  <c r="AV25" i="13"/>
  <c r="S34" i="24" s="1"/>
  <c r="S42" i="24" s="1"/>
  <c r="AV23" i="13"/>
  <c r="S35" i="24" s="1"/>
  <c r="S43" i="24" s="1"/>
  <c r="AJ56" i="13"/>
  <c r="AV4" i="13" s="1"/>
  <c r="AV31" i="13"/>
  <c r="AX12" i="13"/>
  <c r="AX6" i="13"/>
  <c r="E17" i="24"/>
  <c r="AP12" i="17"/>
  <c r="Y47" i="16"/>
  <c r="U47" i="16"/>
  <c r="M47" i="16"/>
  <c r="L21" i="24"/>
  <c r="F16" i="17"/>
  <c r="BK8" i="24"/>
  <c r="AG10" i="17"/>
  <c r="O14" i="19"/>
  <c r="N79" i="19"/>
  <c r="N75" i="19"/>
  <c r="N78" i="19"/>
  <c r="N80" i="19" s="1"/>
  <c r="E77" i="24" s="1"/>
  <c r="N76" i="19"/>
  <c r="AG15" i="17"/>
  <c r="AB54" i="17"/>
  <c r="Z44" i="4"/>
  <c r="AB45" i="4" s="1"/>
  <c r="AC45" i="4" s="1"/>
  <c r="F46" i="9"/>
  <c r="H47" i="9" s="1"/>
  <c r="AG39" i="9"/>
  <c r="AB39" i="9"/>
  <c r="AC39" i="9" s="1"/>
  <c r="AK5" i="17"/>
  <c r="E31" i="24" s="1"/>
  <c r="F74" i="22"/>
  <c r="J70" i="19"/>
  <c r="K70" i="19" s="1"/>
  <c r="L70" i="19" s="1"/>
  <c r="M71" i="13"/>
  <c r="N71" i="13" s="1"/>
  <c r="AD72" i="13" s="1"/>
  <c r="C74" i="17"/>
  <c r="B75" i="20"/>
  <c r="N87" i="19"/>
  <c r="N89" i="19" s="1"/>
  <c r="E16" i="24"/>
  <c r="AP11" i="17"/>
  <c r="AG18" i="17"/>
  <c r="AB65" i="17"/>
  <c r="AK3" i="17" s="1"/>
  <c r="E30" i="24" s="1"/>
  <c r="Y63" i="16"/>
  <c r="M63" i="16"/>
  <c r="BL41" i="24"/>
  <c r="BK48" i="24"/>
  <c r="E14" i="24"/>
  <c r="AP9" i="17"/>
  <c r="BK13" i="24"/>
  <c r="R46" i="16"/>
  <c r="AE43" i="24" s="1"/>
  <c r="E46" i="16"/>
  <c r="H96" i="16" s="1"/>
  <c r="AS16" i="24" s="1"/>
  <c r="BK10" i="24"/>
  <c r="R34" i="16"/>
  <c r="AE40" i="24" s="1"/>
  <c r="E34" i="16"/>
  <c r="H93" i="16" s="1"/>
  <c r="AS13" i="24" s="1"/>
  <c r="X54" i="19"/>
  <c r="W85" i="19"/>
  <c r="W84" i="19"/>
  <c r="W86" i="19" s="1"/>
  <c r="C74" i="24" s="1"/>
  <c r="J49" i="9"/>
  <c r="I49" i="9"/>
  <c r="CA26" i="16"/>
  <c r="AI38" i="24" s="1"/>
  <c r="BP8" i="24"/>
  <c r="BS26" i="16"/>
  <c r="AV33" i="24" s="1"/>
  <c r="BR26" i="16"/>
  <c r="N91" i="16" s="1"/>
  <c r="AY11" i="24" s="1"/>
  <c r="BX24" i="16"/>
  <c r="BV24" i="16"/>
  <c r="BU26" i="16"/>
  <c r="BV25" i="16"/>
  <c r="BK20" i="24"/>
  <c r="E74" i="16"/>
  <c r="H103" i="16" s="1"/>
  <c r="AS23" i="24" s="1"/>
  <c r="E78" i="16"/>
  <c r="H104" i="16" s="1"/>
  <c r="AS24" i="24" s="1"/>
  <c r="M19" i="16"/>
  <c r="D38" i="16"/>
  <c r="C38" i="16"/>
  <c r="C39" i="16"/>
  <c r="Z38" i="16"/>
  <c r="K22" i="22"/>
  <c r="J14" i="20" s="1"/>
  <c r="Z14" i="13"/>
  <c r="AA14" i="13" s="1"/>
  <c r="I14" i="20"/>
  <c r="R15" i="22"/>
  <c r="H79" i="22"/>
  <c r="H81" i="22" s="1"/>
  <c r="E36" i="24" s="1"/>
  <c r="R3" i="22"/>
  <c r="M45" i="16"/>
  <c r="Y45" i="16"/>
  <c r="U45" i="16"/>
  <c r="P46" i="16"/>
  <c r="U46" i="16"/>
  <c r="E26" i="24"/>
  <c r="AP21" i="17"/>
  <c r="L24" i="24"/>
  <c r="F19" i="17"/>
  <c r="AR19" i="17" s="1"/>
  <c r="N27" i="24"/>
  <c r="F49" i="22"/>
  <c r="C50" i="20" s="1"/>
  <c r="J45" i="19"/>
  <c r="K45" i="19" s="1"/>
  <c r="M46" i="13"/>
  <c r="N46" i="13" s="1"/>
  <c r="AD47" i="13" s="1"/>
  <c r="C49" i="17"/>
  <c r="B49" i="17" s="1"/>
  <c r="B50" i="20"/>
  <c r="AJ16" i="24"/>
  <c r="AJ18" i="24"/>
  <c r="AF8" i="24"/>
  <c r="BL47" i="24" s="1"/>
  <c r="AF7" i="24"/>
  <c r="BL49" i="24" s="1"/>
  <c r="AA65" i="16"/>
  <c r="M65" i="16"/>
  <c r="J65" i="16"/>
  <c r="F66" i="22"/>
  <c r="J62" i="19"/>
  <c r="K62" i="19" s="1"/>
  <c r="L62" i="19" s="1"/>
  <c r="M63" i="13"/>
  <c r="N63" i="13" s="1"/>
  <c r="AD64" i="13" s="1"/>
  <c r="C66" i="17"/>
  <c r="B67" i="20"/>
  <c r="I70" i="16"/>
  <c r="AH71" i="9"/>
  <c r="CF14" i="16"/>
  <c r="CA14" i="16"/>
  <c r="CA30" i="16"/>
  <c r="AI39" i="24" s="1"/>
  <c r="BP9" i="24"/>
  <c r="BS30" i="16"/>
  <c r="AV34" i="24" s="1"/>
  <c r="BR30" i="16"/>
  <c r="N92" i="16" s="1"/>
  <c r="AY12" i="24" s="1"/>
  <c r="BR34" i="16"/>
  <c r="N93" i="16" s="1"/>
  <c r="AY13" i="24" s="1"/>
  <c r="O69" i="16"/>
  <c r="AI70" i="9"/>
  <c r="V69" i="16" s="1"/>
  <c r="F58" i="22"/>
  <c r="J54" i="19"/>
  <c r="K54" i="19" s="1"/>
  <c r="M55" i="13"/>
  <c r="N55" i="13" s="1"/>
  <c r="Q30" i="24"/>
  <c r="C58" i="17"/>
  <c r="B59" i="20"/>
  <c r="E12" i="24"/>
  <c r="AP7" i="17"/>
  <c r="BK12" i="24"/>
  <c r="E42" i="16"/>
  <c r="H95" i="16" s="1"/>
  <c r="AS15" i="24" s="1"/>
  <c r="M41" i="16"/>
  <c r="Y41" i="16"/>
  <c r="U41" i="16"/>
  <c r="BQ10" i="24"/>
  <c r="BI34" i="16"/>
  <c r="AJ40" i="24" s="1"/>
  <c r="BE34" i="16"/>
  <c r="P93" i="16" s="1"/>
  <c r="BA13" i="24" s="1"/>
  <c r="Z28" i="24" s="1"/>
  <c r="BH32" i="16"/>
  <c r="AG19" i="17"/>
  <c r="AB69" i="17"/>
  <c r="AG8" i="17"/>
  <c r="AB24" i="17"/>
  <c r="F55" i="20"/>
  <c r="R10" i="22"/>
  <c r="M10" i="22"/>
  <c r="E47" i="24" s="1"/>
  <c r="J47" i="9" l="1"/>
  <c r="I47" i="9"/>
  <c r="E13" i="24"/>
  <c r="AP8" i="17"/>
  <c r="I14" i="17"/>
  <c r="L7" i="24" s="1"/>
  <c r="Q17" i="24" s="1"/>
  <c r="K7" i="17"/>
  <c r="C32" i="24" s="1"/>
  <c r="G16" i="17"/>
  <c r="B58" i="17"/>
  <c r="I5" i="17"/>
  <c r="C7" i="24" s="1"/>
  <c r="C66" i="24" s="1"/>
  <c r="AR16" i="17"/>
  <c r="J5" i="17"/>
  <c r="Y37" i="16"/>
  <c r="U37" i="16"/>
  <c r="F37" i="16"/>
  <c r="AT34" i="13"/>
  <c r="AE68" i="13"/>
  <c r="AT15" i="13" s="1"/>
  <c r="I49" i="16"/>
  <c r="AH50" i="9"/>
  <c r="G18" i="17"/>
  <c r="B66" i="17"/>
  <c r="S46" i="16"/>
  <c r="BD14" i="24" s="1"/>
  <c r="BE37" i="24"/>
  <c r="Q46" i="16"/>
  <c r="AD43" i="24" s="1"/>
  <c r="E23" i="24"/>
  <c r="AP18" i="17"/>
  <c r="P15" i="22"/>
  <c r="K15" i="22"/>
  <c r="C52" i="24" s="1"/>
  <c r="C75" i="20"/>
  <c r="I38" i="16"/>
  <c r="AH39" i="9"/>
  <c r="N77" i="19"/>
  <c r="E80" i="24" s="1"/>
  <c r="I21" i="16"/>
  <c r="AH22" i="9"/>
  <c r="O21" i="16" s="1"/>
  <c r="J52" i="16"/>
  <c r="J53" i="16"/>
  <c r="AA52" i="16"/>
  <c r="O48" i="16"/>
  <c r="AI49" i="9"/>
  <c r="V48" i="16" s="1"/>
  <c r="AT32" i="13"/>
  <c r="BK15" i="24"/>
  <c r="E54" i="16"/>
  <c r="H98" i="16" s="1"/>
  <c r="AS18" i="24" s="1"/>
  <c r="AE28" i="24"/>
  <c r="K66" i="16"/>
  <c r="J66" i="16"/>
  <c r="AA66" i="16"/>
  <c r="M66" i="16"/>
  <c r="O42" i="16"/>
  <c r="AI43" i="9"/>
  <c r="V42" i="16" s="1"/>
  <c r="E25" i="24"/>
  <c r="AP20" i="17"/>
  <c r="Z6" i="24"/>
  <c r="N90" i="16"/>
  <c r="AY10" i="24" s="1"/>
  <c r="M37" i="16"/>
  <c r="J37" i="16"/>
  <c r="Y57" i="16"/>
  <c r="U57" i="16"/>
  <c r="F57" i="16"/>
  <c r="BK14" i="24"/>
  <c r="BK25" i="24" s="1"/>
  <c r="E50" i="16"/>
  <c r="H97" i="16" s="1"/>
  <c r="AS17" i="24" s="1"/>
  <c r="X30" i="24" s="1"/>
  <c r="BK32" i="24"/>
  <c r="BL32" i="24" s="1"/>
  <c r="CE26" i="16"/>
  <c r="BF9" i="24" s="1"/>
  <c r="CF26" i="16"/>
  <c r="M91" i="16" s="1"/>
  <c r="AX11" i="24" s="1"/>
  <c r="BI26" i="16"/>
  <c r="AJ38" i="24" s="1"/>
  <c r="I62" i="16"/>
  <c r="AH63" i="9"/>
  <c r="I74" i="16"/>
  <c r="AH75" i="9"/>
  <c r="U73" i="16"/>
  <c r="Y73" i="16"/>
  <c r="F73" i="16"/>
  <c r="Y67" i="16"/>
  <c r="F67" i="16"/>
  <c r="U68" i="16"/>
  <c r="BK34" i="24"/>
  <c r="BL34" i="24" s="1"/>
  <c r="CF34" i="16"/>
  <c r="M93" i="16" s="1"/>
  <c r="AX13" i="24" s="1"/>
  <c r="CE34" i="16"/>
  <c r="BF11" i="24" s="1"/>
  <c r="CA34" i="16"/>
  <c r="AI40" i="24" s="1"/>
  <c r="P11" i="22"/>
  <c r="P5" i="22"/>
  <c r="K11" i="22"/>
  <c r="C48" i="24" s="1"/>
  <c r="K5" i="22"/>
  <c r="C42" i="24" s="1"/>
  <c r="C59" i="20"/>
  <c r="BK23" i="24"/>
  <c r="E21" i="24"/>
  <c r="AP16" i="17"/>
  <c r="O52" i="16"/>
  <c r="M52" i="16" s="1"/>
  <c r="AI53" i="9"/>
  <c r="V52" i="16" s="1"/>
  <c r="O66" i="16"/>
  <c r="AI67" i="9"/>
  <c r="V66" i="16" s="1"/>
  <c r="CE22" i="16"/>
  <c r="BF8" i="24" s="1"/>
  <c r="CF22" i="16"/>
  <c r="M90" i="16" s="1"/>
  <c r="AX10" i="24" s="1"/>
  <c r="BK31" i="24"/>
  <c r="BL31" i="24" s="1"/>
  <c r="BI22" i="16"/>
  <c r="AJ37" i="24" s="1"/>
  <c r="BK50" i="24"/>
  <c r="E24" i="24"/>
  <c r="AP19" i="17"/>
  <c r="AD56" i="13"/>
  <c r="BB6" i="13"/>
  <c r="Q22" i="24" s="1"/>
  <c r="U69" i="16"/>
  <c r="Y69" i="16"/>
  <c r="F69" i="16"/>
  <c r="O70" i="16"/>
  <c r="AI71" i="9"/>
  <c r="V70" i="16" s="1"/>
  <c r="AE64" i="13"/>
  <c r="AT14" i="13" s="1"/>
  <c r="AT33" i="13"/>
  <c r="G20" i="17"/>
  <c r="B74" i="17"/>
  <c r="E20" i="24"/>
  <c r="AP15" i="17"/>
  <c r="AV12" i="13"/>
  <c r="AV6" i="13"/>
  <c r="F50" i="22"/>
  <c r="C51" i="20" s="1"/>
  <c r="J46" i="19"/>
  <c r="K46" i="19" s="1"/>
  <c r="M47" i="13"/>
  <c r="N47" i="13" s="1"/>
  <c r="AD48" i="13" s="1"/>
  <c r="C50" i="17"/>
  <c r="B50" i="17" s="1"/>
  <c r="B51" i="20"/>
  <c r="J48" i="16"/>
  <c r="AA48" i="16"/>
  <c r="M48" i="16"/>
  <c r="AE26" i="24"/>
  <c r="I58" i="16"/>
  <c r="AH59" i="9"/>
  <c r="I54" i="16"/>
  <c r="AH55" i="9"/>
  <c r="K42" i="16"/>
  <c r="J43" i="16"/>
  <c r="M42" i="16"/>
  <c r="J42" i="16"/>
  <c r="AA42" i="16"/>
  <c r="BK6" i="24"/>
  <c r="AV32" i="24"/>
  <c r="AJ25" i="24"/>
  <c r="AJ27" i="24"/>
  <c r="U17" i="16"/>
  <c r="Y17" i="16"/>
  <c r="F17" i="16"/>
  <c r="P26" i="16"/>
  <c r="Y26" i="16"/>
  <c r="U26" i="16"/>
  <c r="U27" i="16"/>
  <c r="F26" i="16"/>
  <c r="BK24" i="24"/>
  <c r="E58" i="16"/>
  <c r="H99" i="16" s="1"/>
  <c r="AS19" i="24" s="1"/>
  <c r="Y59" i="16"/>
  <c r="F59" i="16"/>
  <c r="U60" i="16"/>
  <c r="C71" i="20"/>
  <c r="K14" i="22"/>
  <c r="C51" i="24" s="1"/>
  <c r="P14" i="22"/>
  <c r="T48" i="9"/>
  <c r="V48" i="9" s="1"/>
  <c r="S48" i="9" s="1"/>
  <c r="C48" i="21" s="1"/>
  <c r="E48" i="21"/>
  <c r="P12" i="22"/>
  <c r="U20" i="16"/>
  <c r="Y20" i="16"/>
  <c r="F20" i="16"/>
  <c r="K13" i="22"/>
  <c r="C50" i="24" s="1"/>
  <c r="P13" i="22"/>
  <c r="C67" i="20"/>
  <c r="F45" i="9"/>
  <c r="Z43" i="4"/>
  <c r="AB44" i="4"/>
  <c r="AC44" i="4" s="1"/>
  <c r="E15" i="24"/>
  <c r="AP10" i="17"/>
  <c r="Y65" i="16"/>
  <c r="U65" i="16"/>
  <c r="F65" i="16"/>
  <c r="L54" i="19"/>
  <c r="K85" i="19"/>
  <c r="K84" i="19"/>
  <c r="K86" i="19" s="1"/>
  <c r="C79" i="24" s="1"/>
  <c r="K70" i="16"/>
  <c r="J70" i="16"/>
  <c r="AA70" i="16"/>
  <c r="M70" i="16"/>
  <c r="J71" i="16"/>
  <c r="BK11" i="24"/>
  <c r="E38" i="16"/>
  <c r="H94" i="16" s="1"/>
  <c r="AS14" i="24" s="1"/>
  <c r="T49" i="9"/>
  <c r="V49" i="9" s="1"/>
  <c r="E49" i="21"/>
  <c r="AE72" i="13"/>
  <c r="AT16" i="13" s="1"/>
  <c r="AT35" i="13"/>
  <c r="Q46" i="9"/>
  <c r="H46" i="9"/>
  <c r="AK7" i="17"/>
  <c r="E32" i="24" s="1"/>
  <c r="I50" i="16"/>
  <c r="AH51" i="9"/>
  <c r="I18" i="16"/>
  <c r="AH19" i="9"/>
  <c r="O18" i="16" s="1"/>
  <c r="CE30" i="16"/>
  <c r="BF10" i="24" s="1"/>
  <c r="BK33" i="24"/>
  <c r="BL33" i="24" s="1"/>
  <c r="CF30" i="16"/>
  <c r="M92" i="16" s="1"/>
  <c r="AX12" i="24" s="1"/>
  <c r="BI30" i="16"/>
  <c r="AJ39" i="24" s="1"/>
  <c r="E11" i="24"/>
  <c r="AG22" i="17"/>
  <c r="AP6" i="17"/>
  <c r="D22" i="16"/>
  <c r="C22" i="16"/>
  <c r="C23" i="16"/>
  <c r="Z22" i="16"/>
  <c r="CA22" i="16"/>
  <c r="AI37" i="24" s="1"/>
  <c r="J17" i="16"/>
  <c r="M17" i="16"/>
  <c r="K26" i="16"/>
  <c r="J27" i="16"/>
  <c r="J26" i="16"/>
  <c r="M26" i="16"/>
  <c r="J67" i="16"/>
  <c r="G17" i="17"/>
  <c r="AG23" i="9"/>
  <c r="AB23" i="9"/>
  <c r="E22" i="24"/>
  <c r="AP17" i="17"/>
  <c r="M69" i="16"/>
  <c r="Y51" i="16"/>
  <c r="F51" i="16"/>
  <c r="B70" i="17"/>
  <c r="G19" i="17"/>
  <c r="CE38" i="16"/>
  <c r="BF12" i="24" s="1"/>
  <c r="BK35" i="24"/>
  <c r="BL35" i="24" s="1"/>
  <c r="CF38" i="16"/>
  <c r="M94" i="16" s="1"/>
  <c r="AX14" i="24" s="1"/>
  <c r="CA38" i="16"/>
  <c r="AI41" i="24" s="1"/>
  <c r="CF42" i="16"/>
  <c r="M95" i="16" s="1"/>
  <c r="AX15" i="24" s="1"/>
  <c r="K12" i="22"/>
  <c r="C49" i="24" s="1"/>
  <c r="BI38" i="16"/>
  <c r="AJ41" i="24" s="1"/>
  <c r="M20" i="16"/>
  <c r="J20" i="16"/>
  <c r="I22" i="16" l="1"/>
  <c r="AH23" i="9"/>
  <c r="O22" i="16" s="1"/>
  <c r="J46" i="9"/>
  <c r="I46" i="9"/>
  <c r="K54" i="16"/>
  <c r="J54" i="16"/>
  <c r="AA54" i="16"/>
  <c r="J55" i="16"/>
  <c r="AE56" i="13"/>
  <c r="AT31" i="13"/>
  <c r="AT25" i="13"/>
  <c r="Q34" i="24" s="1"/>
  <c r="Q42" i="24" s="1"/>
  <c r="O74" i="16"/>
  <c r="AI75" i="9"/>
  <c r="V74" i="16" s="1"/>
  <c r="Y48" i="16"/>
  <c r="U48" i="16"/>
  <c r="F48" i="16"/>
  <c r="O38" i="16"/>
  <c r="AI39" i="9"/>
  <c r="C23" i="24"/>
  <c r="AN18" i="17"/>
  <c r="C22" i="24"/>
  <c r="AN17" i="17"/>
  <c r="AJ15" i="24"/>
  <c r="AJ17" i="24"/>
  <c r="O50" i="16"/>
  <c r="AI51" i="9"/>
  <c r="V50" i="16" s="1"/>
  <c r="Z42" i="4"/>
  <c r="F44" i="9"/>
  <c r="BE32" i="24"/>
  <c r="R26" i="16"/>
  <c r="AE38" i="24" s="1"/>
  <c r="T30" i="16"/>
  <c r="E92" i="16" s="1"/>
  <c r="AP12" i="24" s="1"/>
  <c r="O58" i="16"/>
  <c r="AI59" i="9"/>
  <c r="V58" i="16" s="1"/>
  <c r="C25" i="24"/>
  <c r="AN20" i="17"/>
  <c r="P66" i="16"/>
  <c r="Y66" i="16"/>
  <c r="U66" i="16"/>
  <c r="F66" i="16"/>
  <c r="K74" i="16"/>
  <c r="J74" i="16"/>
  <c r="AA74" i="16"/>
  <c r="J75" i="16"/>
  <c r="M74" i="16"/>
  <c r="P42" i="16"/>
  <c r="Y42" i="16"/>
  <c r="U42" i="16"/>
  <c r="U43" i="16"/>
  <c r="F42" i="16"/>
  <c r="BJ18" i="24"/>
  <c r="N66" i="16"/>
  <c r="AP43" i="24" s="1"/>
  <c r="U21" i="16"/>
  <c r="Y21" i="16"/>
  <c r="F21" i="16"/>
  <c r="K38" i="16"/>
  <c r="M38" i="16"/>
  <c r="J39" i="16"/>
  <c r="J38" i="16"/>
  <c r="BF37" i="24"/>
  <c r="O49" i="16"/>
  <c r="AI50" i="9"/>
  <c r="V49" i="16" s="1"/>
  <c r="C21" i="24"/>
  <c r="AN16" i="17"/>
  <c r="AK17" i="24"/>
  <c r="AK15" i="24"/>
  <c r="BJ8" i="24"/>
  <c r="Q26" i="16"/>
  <c r="AD38" i="24" s="1"/>
  <c r="L30" i="16"/>
  <c r="F92" i="16" s="1"/>
  <c r="AQ12" i="24" s="1"/>
  <c r="BK7" i="24"/>
  <c r="E22" i="16"/>
  <c r="H90" i="16" s="1"/>
  <c r="AS10" i="24" s="1"/>
  <c r="X28" i="24" s="1"/>
  <c r="E26" i="16"/>
  <c r="H91" i="16" s="1"/>
  <c r="AS11" i="24" s="1"/>
  <c r="K50" i="16"/>
  <c r="M50" i="16"/>
  <c r="J50" i="16"/>
  <c r="AA50" i="16"/>
  <c r="J51" i="16"/>
  <c r="O45" i="13"/>
  <c r="P45" i="13" s="1"/>
  <c r="V44" i="19"/>
  <c r="W44" i="19" s="1"/>
  <c r="X46" i="19" s="1"/>
  <c r="D48" i="17"/>
  <c r="Q45" i="9"/>
  <c r="H45" i="9"/>
  <c r="O44" i="13"/>
  <c r="P44" i="13" s="1"/>
  <c r="V43" i="19"/>
  <c r="W43" i="19" s="1"/>
  <c r="D47" i="17"/>
  <c r="H14" i="17" s="1"/>
  <c r="BJ12" i="24"/>
  <c r="Q42" i="16"/>
  <c r="AD42" i="24" s="1"/>
  <c r="L42" i="16"/>
  <c r="F95" i="16" s="1"/>
  <c r="AQ15" i="24" s="1"/>
  <c r="N42" i="16"/>
  <c r="AP37" i="24" s="1"/>
  <c r="L46" i="16"/>
  <c r="K58" i="16"/>
  <c r="J58" i="16"/>
  <c r="AA58" i="16"/>
  <c r="M58" i="16"/>
  <c r="J59" i="16"/>
  <c r="X29" i="24"/>
  <c r="Z36" i="24"/>
  <c r="O62" i="16"/>
  <c r="AI63" i="9"/>
  <c r="V62" i="16" s="1"/>
  <c r="M21" i="16"/>
  <c r="J21" i="16"/>
  <c r="J49" i="16"/>
  <c r="AA49" i="16"/>
  <c r="K18" i="16"/>
  <c r="J18" i="16"/>
  <c r="M18" i="16"/>
  <c r="J19" i="16"/>
  <c r="C24" i="24"/>
  <c r="AN19" i="17"/>
  <c r="P18" i="16"/>
  <c r="U18" i="16"/>
  <c r="Y18" i="16"/>
  <c r="F18" i="16"/>
  <c r="U19" i="16"/>
  <c r="S49" i="9"/>
  <c r="C49" i="21" s="1"/>
  <c r="W51" i="9"/>
  <c r="I16" i="21" s="1"/>
  <c r="BJ19" i="24"/>
  <c r="N70" i="16"/>
  <c r="AP44" i="24" s="1"/>
  <c r="Q70" i="16"/>
  <c r="AD49" i="24" s="1"/>
  <c r="L70" i="16"/>
  <c r="F102" i="16" s="1"/>
  <c r="AQ22" i="24" s="1"/>
  <c r="F47" i="22"/>
  <c r="J43" i="19"/>
  <c r="K43" i="19" s="1"/>
  <c r="M44" i="13"/>
  <c r="N44" i="13" s="1"/>
  <c r="AD45" i="13" s="1"/>
  <c r="C47" i="17"/>
  <c r="B48" i="20"/>
  <c r="O54" i="16"/>
  <c r="AI55" i="9"/>
  <c r="V54" i="16" s="1"/>
  <c r="P70" i="16"/>
  <c r="U70" i="16"/>
  <c r="Y70" i="16"/>
  <c r="F70" i="16"/>
  <c r="U71" i="16"/>
  <c r="AF6" i="24"/>
  <c r="BL50" i="24" s="1"/>
  <c r="Y52" i="16"/>
  <c r="U52" i="16"/>
  <c r="U53" i="16"/>
  <c r="F52" i="16"/>
  <c r="U67" i="16"/>
  <c r="K62" i="16"/>
  <c r="J62" i="16"/>
  <c r="AA62" i="16"/>
  <c r="J63" i="16"/>
  <c r="M62" i="16"/>
  <c r="T47" i="9"/>
  <c r="V47" i="9" s="1"/>
  <c r="E47" i="21"/>
  <c r="O43" i="13" l="1"/>
  <c r="P43" i="13" s="1"/>
  <c r="V42" i="19"/>
  <c r="W42" i="19" s="1"/>
  <c r="D46" i="17"/>
  <c r="BJ17" i="24"/>
  <c r="L62" i="16"/>
  <c r="N62" i="16"/>
  <c r="F48" i="22"/>
  <c r="C49" i="20" s="1"/>
  <c r="J44" i="19"/>
  <c r="K44" i="19" s="1"/>
  <c r="L46" i="19" s="1"/>
  <c r="M45" i="13"/>
  <c r="N45" i="13" s="1"/>
  <c r="AD46" i="13" s="1"/>
  <c r="AE48" i="13" s="1"/>
  <c r="AT10" i="13" s="1"/>
  <c r="C48" i="17"/>
  <c r="B48" i="17" s="1"/>
  <c r="B49" i="20"/>
  <c r="P62" i="16"/>
  <c r="Y62" i="16"/>
  <c r="U62" i="16"/>
  <c r="F62" i="16"/>
  <c r="U63" i="16"/>
  <c r="S66" i="16"/>
  <c r="BD19" i="24" s="1"/>
  <c r="BE42" i="24"/>
  <c r="BF42" i="24" s="1"/>
  <c r="T66" i="16"/>
  <c r="E101" i="16" s="1"/>
  <c r="AP21" i="24" s="1"/>
  <c r="R66" i="16"/>
  <c r="AE48" i="24" s="1"/>
  <c r="Z41" i="4"/>
  <c r="F43" i="9"/>
  <c r="AB42" i="4"/>
  <c r="AC42" i="4" s="1"/>
  <c r="S47" i="9"/>
  <c r="C47" i="21" s="1"/>
  <c r="P54" i="16"/>
  <c r="Y54" i="16"/>
  <c r="U54" i="16"/>
  <c r="U55" i="16"/>
  <c r="F54" i="16"/>
  <c r="BE30" i="24"/>
  <c r="R18" i="16"/>
  <c r="AE36" i="24" s="1"/>
  <c r="F96" i="16"/>
  <c r="AQ16" i="24" s="1"/>
  <c r="J45" i="9"/>
  <c r="I45" i="9"/>
  <c r="Q66" i="16"/>
  <c r="AD48" i="24" s="1"/>
  <c r="P58" i="16"/>
  <c r="Y58" i="16"/>
  <c r="U58" i="16"/>
  <c r="F58" i="16"/>
  <c r="U59" i="16"/>
  <c r="T46" i="9"/>
  <c r="V46" i="9" s="1"/>
  <c r="S46" i="9" s="1"/>
  <c r="C46" i="21" s="1"/>
  <c r="E46" i="21"/>
  <c r="AT29" i="13"/>
  <c r="Y49" i="16"/>
  <c r="U49" i="16"/>
  <c r="F49" i="16"/>
  <c r="M49" i="16"/>
  <c r="R47" i="9"/>
  <c r="BW14" i="24" s="1"/>
  <c r="BJ14" i="24"/>
  <c r="N50" i="16"/>
  <c r="L50" i="16"/>
  <c r="F97" i="16" s="1"/>
  <c r="AQ17" i="24" s="1"/>
  <c r="AB43" i="4"/>
  <c r="AC43" i="4" s="1"/>
  <c r="AF46" i="4" s="1"/>
  <c r="AJ13" i="4" s="1"/>
  <c r="G15" i="21" s="1"/>
  <c r="P50" i="16"/>
  <c r="Q50" i="16" s="1"/>
  <c r="AD44" i="24" s="1"/>
  <c r="Y50" i="16"/>
  <c r="U50" i="16"/>
  <c r="F50" i="16"/>
  <c r="U51" i="16"/>
  <c r="P38" i="16"/>
  <c r="U38" i="16"/>
  <c r="Y38" i="16"/>
  <c r="U39" i="16"/>
  <c r="F38" i="16"/>
  <c r="AT12" i="13"/>
  <c r="AT6" i="13"/>
  <c r="M54" i="16"/>
  <c r="P22" i="16"/>
  <c r="U22" i="16"/>
  <c r="U23" i="16"/>
  <c r="Y22" i="16"/>
  <c r="F22" i="16"/>
  <c r="BJ16" i="24"/>
  <c r="N58" i="16"/>
  <c r="AP41" i="24" s="1"/>
  <c r="L58" i="16"/>
  <c r="F99" i="16" s="1"/>
  <c r="AQ19" i="24" s="1"/>
  <c r="BJ20" i="24"/>
  <c r="N74" i="16"/>
  <c r="AP45" i="24" s="1"/>
  <c r="L78" i="16"/>
  <c r="F104" i="16" s="1"/>
  <c r="AQ24" i="24" s="1"/>
  <c r="L74" i="16"/>
  <c r="F103" i="16" s="1"/>
  <c r="AQ23" i="24" s="1"/>
  <c r="C48" i="20"/>
  <c r="S70" i="16"/>
  <c r="BD20" i="24" s="1"/>
  <c r="BE43" i="24"/>
  <c r="BF43" i="24" s="1"/>
  <c r="T70" i="16"/>
  <c r="E102" i="16" s="1"/>
  <c r="AP22" i="24" s="1"/>
  <c r="R70" i="16"/>
  <c r="AE49" i="24" s="1"/>
  <c r="G14" i="17"/>
  <c r="B47" i="17"/>
  <c r="L19" i="24"/>
  <c r="F14" i="17"/>
  <c r="AR14" i="17" s="1"/>
  <c r="Q18" i="16"/>
  <c r="AD36" i="24" s="1"/>
  <c r="BJ6" i="24"/>
  <c r="BJ11" i="24"/>
  <c r="Q38" i="16"/>
  <c r="AD41" i="24" s="1"/>
  <c r="L38" i="16"/>
  <c r="F94" i="16" s="1"/>
  <c r="AQ14" i="24" s="1"/>
  <c r="L66" i="16"/>
  <c r="F101" i="16" s="1"/>
  <c r="AQ21" i="24" s="1"/>
  <c r="BE36" i="24"/>
  <c r="BF36" i="24" s="1"/>
  <c r="T42" i="16"/>
  <c r="E95" i="16" s="1"/>
  <c r="AP15" i="24" s="1"/>
  <c r="S42" i="16"/>
  <c r="BD13" i="24" s="1"/>
  <c r="R42" i="16"/>
  <c r="AE42" i="24" s="1"/>
  <c r="T46" i="16"/>
  <c r="E96" i="16" s="1"/>
  <c r="AP16" i="24" s="1"/>
  <c r="Q44" i="9"/>
  <c r="H44" i="9"/>
  <c r="P74" i="16"/>
  <c r="Q74" i="16" s="1"/>
  <c r="AD50" i="24" s="1"/>
  <c r="U74" i="16"/>
  <c r="Y74" i="16"/>
  <c r="U75" i="16"/>
  <c r="F74" i="16"/>
  <c r="BJ15" i="24"/>
  <c r="N54" i="16"/>
  <c r="AP40" i="24" s="1"/>
  <c r="Q54" i="16"/>
  <c r="AD45" i="24" s="1"/>
  <c r="L54" i="16"/>
  <c r="F98" i="16" s="1"/>
  <c r="AQ18" i="24" s="1"/>
  <c r="K22" i="16"/>
  <c r="J23" i="16"/>
  <c r="M22" i="16"/>
  <c r="J22" i="16"/>
  <c r="C19" i="24" l="1"/>
  <c r="AN14" i="17"/>
  <c r="X8" i="24"/>
  <c r="BJ24" i="24"/>
  <c r="BE31" i="24"/>
  <c r="T22" i="16"/>
  <c r="E90" i="16" s="1"/>
  <c r="AP10" i="24" s="1"/>
  <c r="T26" i="16"/>
  <c r="E91" i="16" s="1"/>
  <c r="AP11" i="24" s="1"/>
  <c r="R22" i="16"/>
  <c r="AE37" i="24" s="1"/>
  <c r="T38" i="16"/>
  <c r="E94" i="16" s="1"/>
  <c r="AP14" i="24" s="1"/>
  <c r="BE35" i="24"/>
  <c r="R38" i="16"/>
  <c r="AE41" i="24" s="1"/>
  <c r="X7" i="24"/>
  <c r="S54" i="16"/>
  <c r="BD16" i="24" s="1"/>
  <c r="BE39" i="24"/>
  <c r="BF39" i="24" s="1"/>
  <c r="T54" i="16"/>
  <c r="E98" i="16" s="1"/>
  <c r="AP18" i="24" s="1"/>
  <c r="R54" i="16"/>
  <c r="AE45" i="24" s="1"/>
  <c r="Q43" i="9"/>
  <c r="H43" i="9"/>
  <c r="AD29" i="24"/>
  <c r="AP42" i="24"/>
  <c r="J44" i="9"/>
  <c r="I44" i="9"/>
  <c r="P9" i="22"/>
  <c r="S50" i="16"/>
  <c r="BD15" i="24" s="1"/>
  <c r="BE38" i="24"/>
  <c r="T50" i="16"/>
  <c r="E97" i="16" s="1"/>
  <c r="AP17" i="24" s="1"/>
  <c r="X37" i="24" s="1"/>
  <c r="R50" i="16"/>
  <c r="AE44" i="24" s="1"/>
  <c r="AP39" i="24"/>
  <c r="AD26" i="24"/>
  <c r="AD28" i="24"/>
  <c r="O42" i="13"/>
  <c r="P42" i="13" s="1"/>
  <c r="D45" i="17"/>
  <c r="V41" i="19"/>
  <c r="W41" i="19" s="1"/>
  <c r="Z40" i="4"/>
  <c r="F42" i="9"/>
  <c r="X9" i="24"/>
  <c r="F100" i="16"/>
  <c r="AQ20" i="24" s="1"/>
  <c r="S58" i="16"/>
  <c r="BD17" i="24" s="1"/>
  <c r="BE40" i="24"/>
  <c r="BF40" i="24" s="1"/>
  <c r="T58" i="16"/>
  <c r="E99" i="16" s="1"/>
  <c r="AP19" i="24" s="1"/>
  <c r="R58" i="16"/>
  <c r="AE46" i="24" s="1"/>
  <c r="BJ7" i="24"/>
  <c r="Q22" i="16"/>
  <c r="AD37" i="24" s="1"/>
  <c r="AD17" i="24" s="1"/>
  <c r="L22" i="16"/>
  <c r="L26" i="16"/>
  <c r="F91" i="16" s="1"/>
  <c r="AQ11" i="24" s="1"/>
  <c r="S74" i="16"/>
  <c r="BD21" i="24" s="1"/>
  <c r="T74" i="16"/>
  <c r="E103" i="16" s="1"/>
  <c r="AP23" i="24" s="1"/>
  <c r="BE44" i="24"/>
  <c r="BF44" i="24" s="1"/>
  <c r="T78" i="16"/>
  <c r="E104" i="16" s="1"/>
  <c r="AP24" i="24" s="1"/>
  <c r="R74" i="16"/>
  <c r="AE50" i="24" s="1"/>
  <c r="K9" i="22"/>
  <c r="C46" i="24" s="1"/>
  <c r="Q58" i="16"/>
  <c r="AD46" i="24" s="1"/>
  <c r="AD16" i="24" s="1"/>
  <c r="BJ23" i="24"/>
  <c r="BJ25" i="24"/>
  <c r="F45" i="22"/>
  <c r="C46" i="20" s="1"/>
  <c r="J41" i="19"/>
  <c r="K41" i="19" s="1"/>
  <c r="M42" i="13"/>
  <c r="N42" i="13" s="1"/>
  <c r="AD43" i="13" s="1"/>
  <c r="C45" i="17"/>
  <c r="B45" i="17" s="1"/>
  <c r="B46" i="20"/>
  <c r="T45" i="9"/>
  <c r="V45" i="9" s="1"/>
  <c r="E45" i="21"/>
  <c r="AE17" i="24"/>
  <c r="F46" i="22"/>
  <c r="C47" i="20" s="1"/>
  <c r="J42" i="19"/>
  <c r="K42" i="19" s="1"/>
  <c r="M43" i="13"/>
  <c r="N43" i="13" s="1"/>
  <c r="AD44" i="13" s="1"/>
  <c r="C46" i="17"/>
  <c r="B46" i="17" s="1"/>
  <c r="B47" i="20"/>
  <c r="S62" i="16"/>
  <c r="BD18" i="24" s="1"/>
  <c r="AD9" i="24" s="1"/>
  <c r="BF48" i="24" s="1"/>
  <c r="BE41" i="24"/>
  <c r="T62" i="16"/>
  <c r="E100" i="16" s="1"/>
  <c r="AP20" i="24" s="1"/>
  <c r="X39" i="24" s="1"/>
  <c r="R62" i="16"/>
  <c r="AE47" i="24" s="1"/>
  <c r="AE19" i="24" s="1"/>
  <c r="Q62" i="16"/>
  <c r="AD47" i="24" s="1"/>
  <c r="AD19" i="24" s="1"/>
  <c r="S45" i="9" l="1"/>
  <c r="C45" i="21" s="1"/>
  <c r="Z39" i="4"/>
  <c r="F41" i="9"/>
  <c r="AB40" i="4"/>
  <c r="AC40" i="4" s="1"/>
  <c r="X38" i="24"/>
  <c r="J43" i="9"/>
  <c r="I43" i="9"/>
  <c r="BF38" i="24"/>
  <c r="BE47" i="24"/>
  <c r="BE49" i="24"/>
  <c r="T44" i="9"/>
  <c r="V44" i="9" s="1"/>
  <c r="S44" i="9" s="1"/>
  <c r="C44" i="21" s="1"/>
  <c r="E44" i="21"/>
  <c r="X6" i="24"/>
  <c r="F90" i="16"/>
  <c r="AQ10" i="24" s="1"/>
  <c r="AE15" i="24"/>
  <c r="AB41" i="4"/>
  <c r="AC41" i="4" s="1"/>
  <c r="AD7" i="24"/>
  <c r="BF49" i="24" s="1"/>
  <c r="AD8" i="24"/>
  <c r="BF47" i="24" s="1"/>
  <c r="AD15" i="24"/>
  <c r="AD18" i="24"/>
  <c r="X36" i="24"/>
  <c r="BE48" i="24"/>
  <c r="BF41" i="24"/>
  <c r="O41" i="13"/>
  <c r="P41" i="13" s="1"/>
  <c r="V40" i="19"/>
  <c r="W40" i="19" s="1"/>
  <c r="D44" i="17"/>
  <c r="Q42" i="9"/>
  <c r="H42" i="9"/>
  <c r="AE18" i="24"/>
  <c r="AE16" i="24"/>
  <c r="F43" i="22" l="1"/>
  <c r="J39" i="19"/>
  <c r="K39" i="19" s="1"/>
  <c r="M40" i="13"/>
  <c r="N40" i="13" s="1"/>
  <c r="AD41" i="13" s="1"/>
  <c r="AT28" i="13" s="1"/>
  <c r="C43" i="17"/>
  <c r="B44" i="20"/>
  <c r="Q41" i="9"/>
  <c r="H41" i="9"/>
  <c r="T43" i="9"/>
  <c r="V43" i="9" s="1"/>
  <c r="E43" i="21"/>
  <c r="F40" i="9"/>
  <c r="AB39" i="4"/>
  <c r="AC39" i="4" s="1"/>
  <c r="AF42" i="4" s="1"/>
  <c r="AJ12" i="4" s="1"/>
  <c r="G14" i="21" s="1"/>
  <c r="J42" i="9"/>
  <c r="I42" i="9"/>
  <c r="W47" i="9"/>
  <c r="I15" i="21" s="1"/>
  <c r="X42" i="19"/>
  <c r="O40" i="13"/>
  <c r="P40" i="13" s="1"/>
  <c r="V39" i="19"/>
  <c r="W39" i="19" s="1"/>
  <c r="D43" i="17"/>
  <c r="H13" i="17" s="1"/>
  <c r="F44" i="22"/>
  <c r="C45" i="20" s="1"/>
  <c r="J40" i="19"/>
  <c r="K40" i="19" s="1"/>
  <c r="L42" i="19" s="1"/>
  <c r="M41" i="13"/>
  <c r="N41" i="13" s="1"/>
  <c r="AD42" i="13" s="1"/>
  <c r="AE44" i="13" s="1"/>
  <c r="AT9" i="13" s="1"/>
  <c r="C44" i="17"/>
  <c r="B44" i="17" s="1"/>
  <c r="B45" i="20"/>
  <c r="J41" i="9" l="1"/>
  <c r="I41" i="9"/>
  <c r="L18" i="24"/>
  <c r="F13" i="17"/>
  <c r="AR13" i="17" s="1"/>
  <c r="Q40" i="9"/>
  <c r="R43" i="9" s="1"/>
  <c r="BW13" i="24" s="1"/>
  <c r="H40" i="9"/>
  <c r="O39" i="13"/>
  <c r="P39" i="13" s="1"/>
  <c r="V38" i="19"/>
  <c r="W38" i="19" s="1"/>
  <c r="D42" i="17"/>
  <c r="P8" i="22"/>
  <c r="K8" i="22"/>
  <c r="C45" i="24" s="1"/>
  <c r="C44" i="20"/>
  <c r="T42" i="9"/>
  <c r="V42" i="9" s="1"/>
  <c r="S42" i="9" s="1"/>
  <c r="C42" i="21" s="1"/>
  <c r="E42" i="21"/>
  <c r="S43" i="9"/>
  <c r="C43" i="21" s="1"/>
  <c r="G13" i="17"/>
  <c r="B43" i="17"/>
  <c r="F42" i="22" l="1"/>
  <c r="C43" i="20" s="1"/>
  <c r="J38" i="19"/>
  <c r="K38" i="19" s="1"/>
  <c r="M39" i="13"/>
  <c r="N39" i="13" s="1"/>
  <c r="AD40" i="13" s="1"/>
  <c r="C42" i="17"/>
  <c r="B42" i="17" s="1"/>
  <c r="B43" i="20"/>
  <c r="O38" i="13"/>
  <c r="P38" i="13" s="1"/>
  <c r="D41" i="17"/>
  <c r="V37" i="19"/>
  <c r="W37" i="19" s="1"/>
  <c r="J40" i="9"/>
  <c r="I40" i="9"/>
  <c r="F41" i="22"/>
  <c r="C42" i="20" s="1"/>
  <c r="J37" i="19"/>
  <c r="K37" i="19" s="1"/>
  <c r="M38" i="13"/>
  <c r="N38" i="13" s="1"/>
  <c r="AD39" i="13" s="1"/>
  <c r="C41" i="17"/>
  <c r="B41" i="17" s="1"/>
  <c r="B42" i="20"/>
  <c r="T41" i="9"/>
  <c r="V41" i="9" s="1"/>
  <c r="S41" i="9" s="1"/>
  <c r="C41" i="21" s="1"/>
  <c r="E41" i="21"/>
  <c r="C18" i="24"/>
  <c r="AN13" i="17"/>
  <c r="F40" i="22" l="1"/>
  <c r="C41" i="20" s="1"/>
  <c r="J36" i="19"/>
  <c r="K36" i="19" s="1"/>
  <c r="M37" i="13"/>
  <c r="N37" i="13" s="1"/>
  <c r="AD38" i="13" s="1"/>
  <c r="C40" i="17"/>
  <c r="B40" i="17" s="1"/>
  <c r="B41" i="20"/>
  <c r="O37" i="13"/>
  <c r="P37" i="13" s="1"/>
  <c r="V36" i="19"/>
  <c r="W36" i="19" s="1"/>
  <c r="D40" i="17"/>
  <c r="T40" i="9"/>
  <c r="V40" i="9" s="1"/>
  <c r="E40" i="21"/>
  <c r="X38" i="19" l="1"/>
  <c r="S40" i="9"/>
  <c r="C40" i="21" s="1"/>
  <c r="W43" i="9"/>
  <c r="I14" i="21" s="1"/>
  <c r="O36" i="13"/>
  <c r="P36" i="13" s="1"/>
  <c r="V35" i="19"/>
  <c r="W35" i="19" s="1"/>
  <c r="D39" i="17"/>
  <c r="Q6" i="24"/>
  <c r="E81" i="21"/>
  <c r="E80" i="21"/>
  <c r="Q8" i="24"/>
  <c r="H12" i="17" l="1"/>
  <c r="H22" i="17" s="1"/>
  <c r="J28" i="17"/>
  <c r="C60" i="24" s="1"/>
  <c r="J24" i="17"/>
  <c r="C62" i="24" s="1"/>
  <c r="W81" i="19"/>
  <c r="W83" i="19" s="1"/>
  <c r="C73" i="24" s="1"/>
  <c r="W82" i="19"/>
  <c r="W75" i="19"/>
  <c r="W77" i="19" s="1"/>
  <c r="C75" i="24" s="1"/>
  <c r="W76" i="19"/>
  <c r="F39" i="22"/>
  <c r="J35" i="19"/>
  <c r="K35" i="19" s="1"/>
  <c r="M36" i="13"/>
  <c r="N36" i="13" s="1"/>
  <c r="C39" i="17"/>
  <c r="Q29" i="24"/>
  <c r="Q31" i="24"/>
  <c r="C80" i="21"/>
  <c r="C81" i="21"/>
  <c r="B40" i="20"/>
  <c r="BC7" i="13"/>
  <c r="Q13" i="24" s="1"/>
  <c r="BC5" i="13"/>
  <c r="Q11" i="24" s="1"/>
  <c r="L17" i="24"/>
  <c r="F12" i="17"/>
  <c r="I24" i="21"/>
  <c r="F22" i="17" s="1"/>
  <c r="I16" i="17" l="1"/>
  <c r="L6" i="24" s="1"/>
  <c r="Q16" i="24" s="1"/>
  <c r="C9" i="24"/>
  <c r="K3" i="17"/>
  <c r="C30" i="24" s="1"/>
  <c r="K5" i="17"/>
  <c r="C31" i="24" s="1"/>
  <c r="G12" i="17"/>
  <c r="B39" i="17"/>
  <c r="I3" i="17"/>
  <c r="C4" i="24" s="1"/>
  <c r="C67" i="24" s="1"/>
  <c r="I7" i="17"/>
  <c r="C6" i="24" s="1"/>
  <c r="C65" i="24" s="1"/>
  <c r="L9" i="24"/>
  <c r="L4" i="24"/>
  <c r="Q18" i="24" s="1"/>
  <c r="I12" i="17"/>
  <c r="AD37" i="13"/>
  <c r="BB7" i="13"/>
  <c r="Q23" i="24" s="1"/>
  <c r="BB5" i="13"/>
  <c r="Q21" i="24" s="1"/>
  <c r="J7" i="17"/>
  <c r="AR12" i="17"/>
  <c r="J3" i="17"/>
  <c r="P3" i="22"/>
  <c r="K4" i="22"/>
  <c r="C41" i="24" s="1"/>
  <c r="K7" i="22"/>
  <c r="C44" i="24" s="1"/>
  <c r="P4" i="22"/>
  <c r="K3" i="22"/>
  <c r="C40" i="24" s="1"/>
  <c r="P7" i="22"/>
  <c r="C40" i="20"/>
  <c r="F80" i="22"/>
  <c r="F79" i="22"/>
  <c r="F81" i="22" s="1"/>
  <c r="C36" i="24" s="1"/>
  <c r="K88" i="19"/>
  <c r="K87" i="19"/>
  <c r="K89" i="19" s="1"/>
  <c r="K76" i="19"/>
  <c r="K81" i="19"/>
  <c r="K82" i="19"/>
  <c r="K75" i="19"/>
  <c r="K77" i="19" s="1"/>
  <c r="C80" i="24" s="1"/>
  <c r="L38" i="19"/>
  <c r="AT27" i="13" l="1"/>
  <c r="AT24" i="13"/>
  <c r="Q33" i="24" s="1"/>
  <c r="Q41" i="24" s="1"/>
  <c r="AT23" i="13"/>
  <c r="Q35" i="24" s="1"/>
  <c r="Q43" i="24" s="1"/>
  <c r="AE40" i="13"/>
  <c r="K83" i="19"/>
  <c r="C78" i="24" s="1"/>
  <c r="C17" i="24"/>
  <c r="AN12" i="17"/>
  <c r="G22" i="17"/>
  <c r="AT8" i="13" l="1"/>
  <c r="AT5" i="13"/>
  <c r="AT4" i="13"/>
</calcChain>
</file>

<file path=xl/comments1.xml><?xml version="1.0" encoding="utf-8"?>
<comments xmlns="http://schemas.openxmlformats.org/spreadsheetml/2006/main">
  <authors>
    <author>Student</author>
  </authors>
  <commentList>
    <comment ref="V39" authorId="0" shapeId="0">
      <text>
        <r>
          <rPr>
            <b/>
            <sz val="9"/>
            <color indexed="81"/>
            <rFont val="Tahoma"/>
            <family val="2"/>
          </rPr>
          <t>Student:</t>
        </r>
        <r>
          <rPr>
            <sz val="9"/>
            <color indexed="81"/>
            <rFont val="Tahoma"/>
            <family val="2"/>
          </rPr>
          <t xml:space="preserve">
Numbers before this period is either not available or unreliable</t>
        </r>
      </text>
    </comment>
  </commentList>
</comments>
</file>

<file path=xl/comments2.xml><?xml version="1.0" encoding="utf-8"?>
<comments xmlns="http://schemas.openxmlformats.org/spreadsheetml/2006/main">
  <authors>
    <author>Student</author>
    <author>Vilde</author>
  </authors>
  <commentList>
    <comment ref="O19" authorId="0" shapeId="0">
      <text>
        <r>
          <rPr>
            <b/>
            <sz val="9"/>
            <color indexed="81"/>
            <rFont val="Tahoma"/>
            <family val="2"/>
          </rPr>
          <t>Student:</t>
        </r>
        <r>
          <rPr>
            <sz val="9"/>
            <color indexed="81"/>
            <rFont val="Tahoma"/>
            <family val="2"/>
          </rPr>
          <t xml:space="preserve">
Number before this period seems unreliable
</t>
        </r>
      </text>
    </comment>
    <comment ref="W20" authorId="1" shapeId="0">
      <text>
        <r>
          <rPr>
            <b/>
            <sz val="9"/>
            <color indexed="81"/>
            <rFont val="Tahoma"/>
            <family val="2"/>
          </rPr>
          <t>Vilde:</t>
        </r>
        <r>
          <rPr>
            <sz val="9"/>
            <color indexed="81"/>
            <rFont val="Tahoma"/>
            <family val="2"/>
          </rPr>
          <t xml:space="preserve">
usikker på om den 0,5 (500 mill) skal være der..
</t>
        </r>
      </text>
    </comment>
    <comment ref="W21" authorId="1" shapeId="0">
      <text>
        <r>
          <rPr>
            <b/>
            <sz val="9"/>
            <color indexed="81"/>
            <rFont val="Tahoma"/>
            <family val="2"/>
          </rPr>
          <t>Vilde:</t>
        </r>
        <r>
          <rPr>
            <sz val="9"/>
            <color indexed="81"/>
            <rFont val="Tahoma"/>
            <family val="2"/>
          </rPr>
          <t xml:space="preserve">
I 2011 ann report: performance based fees = 600 mill 
I 2010 ann report: performance based fees = 57 mill... What happened.</t>
        </r>
      </text>
    </comment>
  </commentList>
</comments>
</file>

<file path=xl/comments3.xml><?xml version="1.0" encoding="utf-8"?>
<comments xmlns="http://schemas.openxmlformats.org/spreadsheetml/2006/main">
  <authors>
    <author>Vilde</author>
    <author>Student</author>
  </authors>
  <commentList>
    <comment ref="Q5" authorId="0" shapeId="0">
      <text>
        <r>
          <rPr>
            <b/>
            <sz val="9"/>
            <color indexed="81"/>
            <rFont val="Tahoma"/>
            <family val="2"/>
          </rPr>
          <t>Vilde:</t>
        </r>
        <r>
          <rPr>
            <sz val="9"/>
            <color indexed="81"/>
            <rFont val="Tahoma"/>
            <family val="2"/>
          </rPr>
          <t xml:space="preserve">
Only for march.
</t>
        </r>
      </text>
    </comment>
    <comment ref="B10" authorId="1" shapeId="0">
      <text>
        <r>
          <rPr>
            <b/>
            <sz val="9"/>
            <color indexed="81"/>
            <rFont val="Tahoma"/>
            <family val="2"/>
          </rPr>
          <t xml:space="preserve">Student: </t>
        </r>
        <r>
          <rPr>
            <sz val="9"/>
            <color indexed="81"/>
            <rFont val="Tahoma"/>
            <family val="2"/>
          </rPr>
          <t>Figures prior to this date are unreliable.</t>
        </r>
      </text>
    </comment>
  </commentList>
</comments>
</file>

<file path=xl/comments4.xml><?xml version="1.0" encoding="utf-8"?>
<comments xmlns="http://schemas.openxmlformats.org/spreadsheetml/2006/main">
  <authors>
    <author>Vilde</author>
  </authors>
  <commentList>
    <comment ref="C39" authorId="0" shapeId="0">
      <text>
        <r>
          <rPr>
            <b/>
            <sz val="9"/>
            <color indexed="81"/>
            <rFont val="Tahoma"/>
            <family val="2"/>
          </rPr>
          <t>Vilde:</t>
        </r>
        <r>
          <rPr>
            <sz val="9"/>
            <color indexed="81"/>
            <rFont val="Tahoma"/>
            <family val="2"/>
          </rPr>
          <t xml:space="preserve">
Here stops NBIMs numbers and our numbers starts
</t>
        </r>
      </text>
    </comment>
  </commentList>
</comments>
</file>

<file path=xl/comments5.xml><?xml version="1.0" encoding="utf-8"?>
<comments xmlns="http://schemas.openxmlformats.org/spreadsheetml/2006/main">
  <authors>
    <author>Vilde</author>
  </authors>
  <commentList>
    <comment ref="AK17" authorId="0" shapeId="0">
      <text>
        <r>
          <rPr>
            <b/>
            <sz val="9"/>
            <color indexed="81"/>
            <rFont val="Tahoma"/>
            <family val="2"/>
          </rPr>
          <t>Vilde:</t>
        </r>
        <r>
          <rPr>
            <sz val="9"/>
            <color indexed="81"/>
            <rFont val="Tahoma"/>
            <family val="2"/>
          </rPr>
          <t xml:space="preserve">
Starter ikke å rapportere TC før 2011. Ganske høy i 2011, så total costs can be said to not be "true".
</t>
        </r>
      </text>
    </comment>
  </commentList>
</comments>
</file>

<file path=xl/comments6.xml><?xml version="1.0" encoding="utf-8"?>
<comments xmlns="http://schemas.openxmlformats.org/spreadsheetml/2006/main">
  <authors>
    <author>Vilde</author>
  </authors>
  <commentList>
    <comment ref="U2" authorId="0" shapeId="0">
      <text>
        <r>
          <rPr>
            <b/>
            <sz val="9"/>
            <color indexed="81"/>
            <rFont val="Tahoma"/>
            <family val="2"/>
          </rPr>
          <t>Vilde:</t>
        </r>
        <r>
          <rPr>
            <sz val="9"/>
            <color indexed="81"/>
            <rFont val="Tahoma"/>
            <family val="2"/>
          </rPr>
          <t xml:space="preserve">
Disse returnsa er market values ikke book!! Not usable</t>
        </r>
      </text>
    </comment>
  </commentList>
</comments>
</file>

<file path=xl/comments7.xml><?xml version="1.0" encoding="utf-8"?>
<comments xmlns="http://schemas.openxmlformats.org/spreadsheetml/2006/main">
  <authors>
    <author>a0510321</author>
  </authors>
  <commentList>
    <comment ref="A1" authorId="0" shapeId="0">
      <text>
        <r>
          <rPr>
            <sz val="8"/>
            <color indexed="81"/>
            <rFont val="Tahoma"/>
            <family val="2"/>
          </rPr>
          <t>Source: DATASTREAM
11.04.2017 14:53:10
Rows:79,Cols:2
Request Table</t>
        </r>
      </text>
    </comment>
  </commentList>
</comments>
</file>

<file path=xl/comments8.xml><?xml version="1.0" encoding="utf-8"?>
<comments xmlns="http://schemas.openxmlformats.org/spreadsheetml/2006/main">
  <authors>
    <author>Microsoft Office-bruker</author>
  </authors>
  <commentList>
    <comment ref="BS44" authorId="0" shapeId="0">
      <text>
        <r>
          <rPr>
            <b/>
            <sz val="10"/>
            <color indexed="81"/>
            <rFont val="Calibri"/>
            <family val="2"/>
          </rPr>
          <t>Microsoft Office-bruker:</t>
        </r>
        <r>
          <rPr>
            <sz val="10"/>
            <color indexed="81"/>
            <rFont val="Calibri"/>
            <family val="2"/>
          </rPr>
          <t xml:space="preserve">
25% Fixed income and 10% real return bonds
</t>
        </r>
      </text>
    </comment>
    <comment ref="M81" authorId="0" shapeId="0">
      <text>
        <r>
          <rPr>
            <b/>
            <sz val="10"/>
            <color indexed="81"/>
            <rFont val="Calibri"/>
            <family val="2"/>
          </rPr>
          <t>Microsoft Office-bruker:</t>
        </r>
        <r>
          <rPr>
            <sz val="10"/>
            <color indexed="81"/>
            <rFont val="Calibri"/>
            <family val="2"/>
          </rPr>
          <t xml:space="preserve">
25% Fixed income and 10% real return bonds
</t>
        </r>
      </text>
    </comment>
  </commentList>
</comments>
</file>

<file path=xl/comments9.xml><?xml version="1.0" encoding="utf-8"?>
<comments xmlns="http://schemas.openxmlformats.org/spreadsheetml/2006/main">
  <authors>
    <author>a0510321</author>
    <author>a0110923</author>
  </authors>
  <commentList>
    <comment ref="G2" authorId="0" shapeId="0">
      <text>
        <r>
          <rPr>
            <sz val="8"/>
            <color indexed="81"/>
            <rFont val="Tahoma"/>
            <family val="2"/>
          </rPr>
          <t>Source: DATASTREAM
09.05.2017 13:12:44
Rows:76,Cols:1
Request Table</t>
        </r>
      </text>
    </comment>
    <comment ref="H2" authorId="0" shapeId="0">
      <text>
        <r>
          <rPr>
            <sz val="8"/>
            <color indexed="81"/>
            <rFont val="Tahoma"/>
            <family val="2"/>
          </rPr>
          <t>Source: DATASTREAM
09.05.2017 13:12:44
Rows:76,Cols:1
Request Table</t>
        </r>
      </text>
    </comment>
    <comment ref="I2" authorId="1" shapeId="0">
      <text>
        <r>
          <rPr>
            <sz val="8"/>
            <color indexed="81"/>
            <rFont val="Tahoma"/>
            <family val="2"/>
          </rPr>
          <t>Source: DATASTREAM
09.05.2017 13:12:45
Rows:76,Cols:1
Request Table</t>
        </r>
      </text>
    </comment>
    <comment ref="J2" authorId="0" shapeId="0">
      <text>
        <r>
          <rPr>
            <sz val="8"/>
            <color indexed="81"/>
            <rFont val="Tahoma"/>
            <family val="2"/>
          </rPr>
          <t>Source: DATASTREAM
09.05.2017 13:12:45
Rows:76,Cols:1
Request Table</t>
        </r>
      </text>
    </comment>
    <comment ref="L2" authorId="0" shapeId="0">
      <text>
        <r>
          <rPr>
            <sz val="8"/>
            <color indexed="81"/>
            <rFont val="Tahoma"/>
            <family val="2"/>
          </rPr>
          <t>Source: DATASTREAM
09.05.2017 13:12:46
Rows:76,Cols:1
Request Table</t>
        </r>
      </text>
    </comment>
    <comment ref="M2" authorId="0" shapeId="0">
      <text>
        <r>
          <rPr>
            <sz val="8"/>
            <color indexed="81"/>
            <rFont val="Tahoma"/>
            <family val="2"/>
          </rPr>
          <t>Source: DATASTREAM
09.05.2017 13:12:46
Rows:76,Cols:1
Request Table</t>
        </r>
      </text>
    </comment>
    <comment ref="N2" authorId="0" shapeId="0">
      <text>
        <r>
          <rPr>
            <sz val="8"/>
            <color indexed="81"/>
            <rFont val="Tahoma"/>
            <family val="2"/>
          </rPr>
          <t>Source: DATASTREAM
09.05.2017 13:12:46
Rows:76,Cols:1
Request Table</t>
        </r>
      </text>
    </comment>
    <comment ref="O2" authorId="0" shapeId="0">
      <text>
        <r>
          <rPr>
            <sz val="8"/>
            <color indexed="81"/>
            <rFont val="Tahoma"/>
            <family val="2"/>
          </rPr>
          <t>Source: DATASTREAM
09.05.2017 13:12:47
Rows:76,Cols:1
Request Table</t>
        </r>
      </text>
    </comment>
    <comment ref="P2" authorId="0" shapeId="0">
      <text>
        <r>
          <rPr>
            <sz val="8"/>
            <color indexed="81"/>
            <rFont val="Tahoma"/>
            <family val="2"/>
          </rPr>
          <t>Source: DATASTREAM
09.05.2017 13:12:47
Rows:76,Cols:1
Request Table</t>
        </r>
      </text>
    </comment>
    <comment ref="Q2" authorId="0" shapeId="0">
      <text>
        <r>
          <rPr>
            <sz val="8"/>
            <color indexed="81"/>
            <rFont val="Tahoma"/>
            <family val="2"/>
          </rPr>
          <t>Source: DATASTREAM
09.05.2017 13:12:48
Rows:76,Cols:1
Request Table</t>
        </r>
      </text>
    </comment>
    <comment ref="R2" authorId="0" shapeId="0">
      <text>
        <r>
          <rPr>
            <sz val="8"/>
            <color indexed="81"/>
            <rFont val="Tahoma"/>
            <family val="2"/>
          </rPr>
          <t>Source: DATASTREAM
09.05.2017 13:12:49
Rows:76,Cols:1
Request Table</t>
        </r>
      </text>
    </comment>
    <comment ref="S2" authorId="0" shapeId="0">
      <text>
        <r>
          <rPr>
            <sz val="8"/>
            <color indexed="81"/>
            <rFont val="Tahoma"/>
            <family val="2"/>
          </rPr>
          <t>Source: DATASTREAM
09.05.2017 13:12:49
Rows:76,Cols:1
Request Table</t>
        </r>
      </text>
    </comment>
    <comment ref="T2" authorId="0" shapeId="0">
      <text>
        <r>
          <rPr>
            <sz val="8"/>
            <color indexed="81"/>
            <rFont val="Tahoma"/>
            <family val="2"/>
          </rPr>
          <t>Source: DATASTREAM
09.05.2017 13:11:56
Rows:76,Cols:1
Request Table</t>
        </r>
      </text>
    </comment>
    <comment ref="AG2" authorId="0" shapeId="0">
      <text>
        <r>
          <rPr>
            <sz val="8"/>
            <color indexed="81"/>
            <rFont val="Tahoma"/>
            <family val="2"/>
          </rPr>
          <t>Source: DATASTREAM
09.05.2017 13:12:44
Rows:76,Cols:1
Request Table</t>
        </r>
      </text>
    </comment>
    <comment ref="AH2" authorId="0" shapeId="0">
      <text>
        <r>
          <rPr>
            <sz val="8"/>
            <color indexed="81"/>
            <rFont val="Tahoma"/>
            <family val="2"/>
          </rPr>
          <t>Source: DATASTREAM
09.05.2017 13:12:44
Rows:76,Cols:1
Request Table</t>
        </r>
      </text>
    </comment>
    <comment ref="AI2" authorId="1" shapeId="0">
      <text>
        <r>
          <rPr>
            <sz val="8"/>
            <color indexed="81"/>
            <rFont val="Tahoma"/>
            <family val="2"/>
          </rPr>
          <t>Source: DATASTREAM
09.05.2017 13:12:45
Rows:76,Cols:1
Request Table</t>
        </r>
      </text>
    </comment>
    <comment ref="W5" authorId="0" shapeId="0">
      <text>
        <r>
          <rPr>
            <sz val="8"/>
            <color indexed="81"/>
            <rFont val="Tahoma"/>
            <family val="2"/>
          </rPr>
          <t>Source: DATASTREAM
2/16/2016 1:27:45 PM
Rows:208,Cols:1
Request Table</t>
        </r>
      </text>
    </comment>
  </commentList>
</comments>
</file>

<file path=xl/sharedStrings.xml><?xml version="1.0" encoding="utf-8"?>
<sst xmlns="http://schemas.openxmlformats.org/spreadsheetml/2006/main" count="3544" uniqueCount="884">
  <si>
    <t>3Q2015</t>
  </si>
  <si>
    <t>4Q2015</t>
  </si>
  <si>
    <t>2Q2016</t>
  </si>
  <si>
    <t>3Q2016</t>
  </si>
  <si>
    <t>2Q2015</t>
  </si>
  <si>
    <t>4Q2016</t>
  </si>
  <si>
    <t>1Q2005</t>
  </si>
  <si>
    <t>2Q2005</t>
  </si>
  <si>
    <t>3Q2005</t>
  </si>
  <si>
    <t>4Q2005</t>
  </si>
  <si>
    <t>1Q2006</t>
  </si>
  <si>
    <t>2Q2006</t>
  </si>
  <si>
    <t>3Q2006</t>
  </si>
  <si>
    <t>4Q2006</t>
  </si>
  <si>
    <t>1Q2007</t>
  </si>
  <si>
    <t>2Q2007</t>
  </si>
  <si>
    <t>3Q2007</t>
  </si>
  <si>
    <t>4Q2007</t>
  </si>
  <si>
    <t>1Q2008</t>
  </si>
  <si>
    <t>2Q2008</t>
  </si>
  <si>
    <t>3Q2008</t>
  </si>
  <si>
    <t>4Q2008</t>
  </si>
  <si>
    <t>1Q2009</t>
  </si>
  <si>
    <t>2Q2009</t>
  </si>
  <si>
    <t>3Q2009</t>
  </si>
  <si>
    <t>4Q2009</t>
  </si>
  <si>
    <t>1Q2010</t>
  </si>
  <si>
    <t>2Q2010</t>
  </si>
  <si>
    <t>3Q2010</t>
  </si>
  <si>
    <t>4Q2010</t>
  </si>
  <si>
    <t>1Q2011</t>
  </si>
  <si>
    <t>2Q2011</t>
  </si>
  <si>
    <t>3Q2011</t>
  </si>
  <si>
    <t>4Q2011</t>
  </si>
  <si>
    <t>1Q2012</t>
  </si>
  <si>
    <t>2Q2012</t>
  </si>
  <si>
    <t>3Q2012</t>
  </si>
  <si>
    <t>4Q2012</t>
  </si>
  <si>
    <t>1Q2013</t>
  </si>
  <si>
    <t>2Q2013</t>
  </si>
  <si>
    <t>3Q2013</t>
  </si>
  <si>
    <t>4Q2013</t>
  </si>
  <si>
    <t>1Q2014</t>
  </si>
  <si>
    <t>2Q2014</t>
  </si>
  <si>
    <t>3Q2014</t>
  </si>
  <si>
    <t>4Q2014</t>
  </si>
  <si>
    <t>1Q2015</t>
  </si>
  <si>
    <t>1Q2016</t>
  </si>
  <si>
    <t>Absolute returns in international currency</t>
  </si>
  <si>
    <t>Relative returns in international currency</t>
  </si>
  <si>
    <t>4Q2004</t>
  </si>
  <si>
    <t>3Q2004</t>
  </si>
  <si>
    <t>2Q2004</t>
  </si>
  <si>
    <t>1Q2004</t>
  </si>
  <si>
    <t>4Q2003</t>
  </si>
  <si>
    <t>3Q2003</t>
  </si>
  <si>
    <t>2Q2003</t>
  </si>
  <si>
    <t>1Q2003</t>
  </si>
  <si>
    <t>4Q2002</t>
  </si>
  <si>
    <t>1Q2000</t>
  </si>
  <si>
    <t>2Q2000</t>
  </si>
  <si>
    <t>3Q2000</t>
  </si>
  <si>
    <t>4Q2000</t>
  </si>
  <si>
    <t>1Q2001</t>
  </si>
  <si>
    <t>2Q2001</t>
  </si>
  <si>
    <t>3Q2001</t>
  </si>
  <si>
    <t>4Q2001</t>
  </si>
  <si>
    <t>1Q2002</t>
  </si>
  <si>
    <t>2Q2002</t>
  </si>
  <si>
    <t>3Q2002</t>
  </si>
  <si>
    <t>1Q1999</t>
  </si>
  <si>
    <t>2Q1999</t>
  </si>
  <si>
    <t>3Q1999</t>
  </si>
  <si>
    <t>4Q1999</t>
  </si>
  <si>
    <t>1Q1998</t>
  </si>
  <si>
    <t>2Q1998</t>
  </si>
  <si>
    <t>3Q1998</t>
  </si>
  <si>
    <t>4Q1998</t>
  </si>
  <si>
    <t>Return</t>
  </si>
  <si>
    <t>Net Return</t>
  </si>
  <si>
    <t>Gross Return</t>
  </si>
  <si>
    <t>&lt;-- rate of return</t>
  </si>
  <si>
    <t>&lt;-- investment income</t>
  </si>
  <si>
    <t>Benchmark</t>
  </si>
  <si>
    <t>Plus 1</t>
  </si>
  <si>
    <t>Plotted in</t>
  </si>
  <si>
    <t>Time</t>
  </si>
  <si>
    <t xml:space="preserve">Total </t>
  </si>
  <si>
    <t xml:space="preserve">Net </t>
  </si>
  <si>
    <t>Gross</t>
  </si>
  <si>
    <t>Net</t>
  </si>
  <si>
    <t>Net  total</t>
  </si>
  <si>
    <t>Gross total</t>
  </si>
  <si>
    <t>Net total</t>
  </si>
  <si>
    <t>March 31 2014</t>
  </si>
  <si>
    <t>March 31 2013</t>
  </si>
  <si>
    <t>March 31 2015</t>
  </si>
  <si>
    <t>March 31 2016</t>
  </si>
  <si>
    <t>N/A</t>
  </si>
  <si>
    <t>March 31 2012</t>
  </si>
  <si>
    <t>March 31 2011</t>
  </si>
  <si>
    <t>March 31 2010</t>
  </si>
  <si>
    <t>March 31 2008</t>
  </si>
  <si>
    <t>March 31 2009</t>
  </si>
  <si>
    <t>March 31 2007</t>
  </si>
  <si>
    <t>March 31 2006</t>
  </si>
  <si>
    <t>March 31 2005</t>
  </si>
  <si>
    <t>&lt;-- Investment ROR</t>
  </si>
  <si>
    <t>&lt;-- dette kalle de også investemnt ROR</t>
  </si>
  <si>
    <t>&lt;-- ROR</t>
  </si>
  <si>
    <t>1993 </t>
  </si>
  <si>
    <t>1994 </t>
  </si>
  <si>
    <t>1995 </t>
  </si>
  <si>
    <t>1996 </t>
  </si>
  <si>
    <t>1997 </t>
  </si>
  <si>
    <t>1998 </t>
  </si>
  <si>
    <t>1999 </t>
  </si>
  <si>
    <t>2000 </t>
  </si>
  <si>
    <t>2001 </t>
  </si>
  <si>
    <t>2003 </t>
  </si>
  <si>
    <t>2005 </t>
  </si>
  <si>
    <t>2006 </t>
  </si>
  <si>
    <t>2007 </t>
  </si>
  <si>
    <t>2008 </t>
  </si>
  <si>
    <t>2009 </t>
  </si>
  <si>
    <t>2010 </t>
  </si>
  <si>
    <t>2011 </t>
  </si>
  <si>
    <t>2012 </t>
  </si>
  <si>
    <t>2013 </t>
  </si>
  <si>
    <t>2014 </t>
  </si>
  <si>
    <t>Returns</t>
  </si>
  <si>
    <t>Quarterly</t>
  </si>
  <si>
    <t>Calculated</t>
  </si>
  <si>
    <t>March 31 2004</t>
  </si>
  <si>
    <t>March 31 2003</t>
  </si>
  <si>
    <t>March 31 2002</t>
  </si>
  <si>
    <t>March 31 2001</t>
  </si>
  <si>
    <t>March 31 2000</t>
  </si>
  <si>
    <t>March 31 1999</t>
  </si>
  <si>
    <t>March 31 1998</t>
  </si>
  <si>
    <t>Log Q net ret</t>
  </si>
  <si>
    <t xml:space="preserve">Leverage </t>
  </si>
  <si>
    <t>Net Assets</t>
  </si>
  <si>
    <t>Total Assets</t>
  </si>
  <si>
    <t>Total costs</t>
  </si>
  <si>
    <t>SUM</t>
  </si>
  <si>
    <t>2Q2015/16</t>
  </si>
  <si>
    <t>3Q2015/16</t>
  </si>
  <si>
    <t>4Q2015/16</t>
  </si>
  <si>
    <t>1Q2016/16</t>
  </si>
  <si>
    <t>2Q2016/17</t>
  </si>
  <si>
    <t>3Q2016/17</t>
  </si>
  <si>
    <t>4Q2016/17</t>
  </si>
  <si>
    <t>1Q2015/15</t>
  </si>
  <si>
    <t>4Q2014/15</t>
  </si>
  <si>
    <t>3Q2014/15</t>
  </si>
  <si>
    <t>2Q2014/15</t>
  </si>
  <si>
    <t>1Q2014/14</t>
  </si>
  <si>
    <t>4Q2013/14</t>
  </si>
  <si>
    <t>3Q2013/14</t>
  </si>
  <si>
    <t>2Q2013/14</t>
  </si>
  <si>
    <t>1Q2013/13</t>
  </si>
  <si>
    <t>4Q2012/13</t>
  </si>
  <si>
    <t>3Q2012/13</t>
  </si>
  <si>
    <t>2Q2012/13</t>
  </si>
  <si>
    <t>1Q2012/12</t>
  </si>
  <si>
    <t>4Q2011/12</t>
  </si>
  <si>
    <t>3Q2011/12</t>
  </si>
  <si>
    <t>2Q2011/12</t>
  </si>
  <si>
    <t>1Q2011/11</t>
  </si>
  <si>
    <t>4Q2010/11</t>
  </si>
  <si>
    <t>3Q2010/11</t>
  </si>
  <si>
    <t>2Q2010/11</t>
  </si>
  <si>
    <t>1Q2010/10</t>
  </si>
  <si>
    <t>4Q2009/10</t>
  </si>
  <si>
    <t>3Q2009/10</t>
  </si>
  <si>
    <t>2Q2009/10</t>
  </si>
  <si>
    <t>1Q2009/09</t>
  </si>
  <si>
    <t>4Q2008/09</t>
  </si>
  <si>
    <t>3Q2008/09</t>
  </si>
  <si>
    <t>2Q2008/09</t>
  </si>
  <si>
    <t>1Q2008/08</t>
  </si>
  <si>
    <t>4Q2007/08</t>
  </si>
  <si>
    <t>3Q2007/08</t>
  </si>
  <si>
    <t>2Q2007/08</t>
  </si>
  <si>
    <t>1Q2007/07</t>
  </si>
  <si>
    <t>4Q2006/07</t>
  </si>
  <si>
    <t>3Q2006/07</t>
  </si>
  <si>
    <t>2Q2006/07</t>
  </si>
  <si>
    <t>1Q2006/06</t>
  </si>
  <si>
    <t>4Q2005/06</t>
  </si>
  <si>
    <t>3Q2005/06</t>
  </si>
  <si>
    <t>2Q2005/06</t>
  </si>
  <si>
    <t>1Q2005/05</t>
  </si>
  <si>
    <t>4Q2004/05</t>
  </si>
  <si>
    <t>3Q2004/05</t>
  </si>
  <si>
    <t>2Q2004/05</t>
  </si>
  <si>
    <t>1Q2004/04</t>
  </si>
  <si>
    <t>4Q2003/04</t>
  </si>
  <si>
    <t>3Q2003/04</t>
  </si>
  <si>
    <t>2Q2003/04</t>
  </si>
  <si>
    <t>1Q2003/03</t>
  </si>
  <si>
    <t>4Q2002/03</t>
  </si>
  <si>
    <t>3Q2002/03</t>
  </si>
  <si>
    <t>2Q2002/03</t>
  </si>
  <si>
    <t>1Q2002/02</t>
  </si>
  <si>
    <t>4Q2001/02</t>
  </si>
  <si>
    <t>3Q2001/02</t>
  </si>
  <si>
    <t>2Q2001/02</t>
  </si>
  <si>
    <t>1Q2001/01</t>
  </si>
  <si>
    <t>4Q2000/01</t>
  </si>
  <si>
    <t>3Q2000/01</t>
  </si>
  <si>
    <t>2Q2000/01</t>
  </si>
  <si>
    <t>1Q2000/00</t>
  </si>
  <si>
    <t>4Q1999/00</t>
  </si>
  <si>
    <t>3Q1999/00</t>
  </si>
  <si>
    <t>2Q1999/00</t>
  </si>
  <si>
    <t>1Q1999/99</t>
  </si>
  <si>
    <t>4Q1998/99</t>
  </si>
  <si>
    <t>-</t>
  </si>
  <si>
    <t>Market value end  of quarter</t>
  </si>
  <si>
    <t>LOG RETURN</t>
  </si>
  <si>
    <t>Total assets</t>
  </si>
  <si>
    <t>Total liabilities</t>
  </si>
  <si>
    <t>Inflow</t>
  </si>
  <si>
    <t>Net assets</t>
  </si>
  <si>
    <t>Date</t>
  </si>
  <si>
    <t>NOK</t>
  </si>
  <si>
    <t>Date quarterly</t>
  </si>
  <si>
    <t>USD</t>
  </si>
  <si>
    <t>Log returns</t>
  </si>
  <si>
    <t>Operational expenses</t>
  </si>
  <si>
    <t>Leverage</t>
  </si>
  <si>
    <t>**Formel: (Profit/loss)/net assets</t>
  </si>
  <si>
    <t>Inflow during the period</t>
  </si>
  <si>
    <t>Total management costs</t>
  </si>
  <si>
    <t>Cost % per quarter</t>
  </si>
  <si>
    <t>External management fee</t>
  </si>
  <si>
    <t>NOK USD</t>
  </si>
  <si>
    <t>NBIM</t>
  </si>
  <si>
    <t>OVL</t>
  </si>
  <si>
    <t>LDT</t>
  </si>
  <si>
    <t>FIT</t>
  </si>
  <si>
    <t>ILB</t>
  </si>
  <si>
    <t>EMD</t>
  </si>
  <si>
    <t>CRD</t>
  </si>
  <si>
    <t>RE</t>
  </si>
  <si>
    <t>PEQ</t>
  </si>
  <si>
    <t>OPF</t>
  </si>
  <si>
    <t>INF</t>
  </si>
  <si>
    <t>HEF</t>
  </si>
  <si>
    <t>EQE</t>
  </si>
  <si>
    <t>EQD</t>
  </si>
  <si>
    <t>COM</t>
  </si>
  <si>
    <t>ABP</t>
  </si>
  <si>
    <t>Plus 1 of log</t>
  </si>
  <si>
    <t>Quarterly returns</t>
  </si>
  <si>
    <t>Year</t>
  </si>
  <si>
    <t>Yearly returns</t>
  </si>
  <si>
    <t>Returns quarterly check</t>
  </si>
  <si>
    <t>Log return quarterly</t>
  </si>
  <si>
    <t>Yearly return check</t>
  </si>
  <si>
    <t>Yearly returns check again</t>
  </si>
  <si>
    <t>EUR</t>
  </si>
  <si>
    <t xml:space="preserve">Net assets </t>
  </si>
  <si>
    <t>CAD</t>
  </si>
  <si>
    <t>CPPIB</t>
  </si>
  <si>
    <t>Transaction costs</t>
  </si>
  <si>
    <t>Q4 2016</t>
  </si>
  <si>
    <t>Q3 2016</t>
  </si>
  <si>
    <t>Q2 2016</t>
  </si>
  <si>
    <t>Q1 2016</t>
  </si>
  <si>
    <t>Q4 2015</t>
  </si>
  <si>
    <t>Q3 2015</t>
  </si>
  <si>
    <t>Q2 2015</t>
  </si>
  <si>
    <t>Q1 2015</t>
  </si>
  <si>
    <t>Q4 2014</t>
  </si>
  <si>
    <t>Q3 2014</t>
  </si>
  <si>
    <t>Q2 2014</t>
  </si>
  <si>
    <t>Q1 2014</t>
  </si>
  <si>
    <t>Q4 2013</t>
  </si>
  <si>
    <t>Q3 2013</t>
  </si>
  <si>
    <t>Q2 2013</t>
  </si>
  <si>
    <t>Q1 2013</t>
  </si>
  <si>
    <t>Q4 2012</t>
  </si>
  <si>
    <t>Q3 2012</t>
  </si>
  <si>
    <t>Q2 2012</t>
  </si>
  <si>
    <t>Q1 2012</t>
  </si>
  <si>
    <t>Q4 2011</t>
  </si>
  <si>
    <t>Q3 2011</t>
  </si>
  <si>
    <t>Q2 2011</t>
  </si>
  <si>
    <t>Q1 2011</t>
  </si>
  <si>
    <t>Q4 2010</t>
  </si>
  <si>
    <t>Q3 2010</t>
  </si>
  <si>
    <t>Q2 2010</t>
  </si>
  <si>
    <t>Q1 2010</t>
  </si>
  <si>
    <t>Q4 2009</t>
  </si>
  <si>
    <t>Q3 2009</t>
  </si>
  <si>
    <t>Q2 2009</t>
  </si>
  <si>
    <t>Q1 2009</t>
  </si>
  <si>
    <t>Q4 2008</t>
  </si>
  <si>
    <t>Q3 2008</t>
  </si>
  <si>
    <t>Q2 2008</t>
  </si>
  <si>
    <t>Q1 2008</t>
  </si>
  <si>
    <t>Q4 2007</t>
  </si>
  <si>
    <t>Q3 2007</t>
  </si>
  <si>
    <t>Q2 2007</t>
  </si>
  <si>
    <t>Q1 2007</t>
  </si>
  <si>
    <t>Q4 2006</t>
  </si>
  <si>
    <t>Q3 2006</t>
  </si>
  <si>
    <t>Q2 2006</t>
  </si>
  <si>
    <t>Q1 2006</t>
  </si>
  <si>
    <t>Q4 2005</t>
  </si>
  <si>
    <t>Q3 2005</t>
  </si>
  <si>
    <t>Q2 2005</t>
  </si>
  <si>
    <t>Q1 2005</t>
  </si>
  <si>
    <t>Q4 2004</t>
  </si>
  <si>
    <t>Q3 2004</t>
  </si>
  <si>
    <t>Q2 2004</t>
  </si>
  <si>
    <t>Q1 2004</t>
  </si>
  <si>
    <t>Q4 2003</t>
  </si>
  <si>
    <t>Q3 2003</t>
  </si>
  <si>
    <t>Q2 2003</t>
  </si>
  <si>
    <t>Q1 2003</t>
  </si>
  <si>
    <t>Q4 2002</t>
  </si>
  <si>
    <t>Q3 2002</t>
  </si>
  <si>
    <t>Q2 2002</t>
  </si>
  <si>
    <t>Q1 2002</t>
  </si>
  <si>
    <t>Q4 2001</t>
  </si>
  <si>
    <t>Q3 2001</t>
  </si>
  <si>
    <t>Q2 2001</t>
  </si>
  <si>
    <t>Q1 2001</t>
  </si>
  <si>
    <t>Q4 2000</t>
  </si>
  <si>
    <t>Q3 2000</t>
  </si>
  <si>
    <t>Q2 2000</t>
  </si>
  <si>
    <t>Q1 2000</t>
  </si>
  <si>
    <t>Q4 1999</t>
  </si>
  <si>
    <t>Q3 1999</t>
  </si>
  <si>
    <t>Q2 1999</t>
  </si>
  <si>
    <t>Q1 1999</t>
  </si>
  <si>
    <t>Q4 1998</t>
  </si>
  <si>
    <t>U$</t>
  </si>
  <si>
    <t>CURRENCY</t>
  </si>
  <si>
    <t>FREDD1M</t>
  </si>
  <si>
    <t>MSERNOK</t>
  </si>
  <si>
    <t>MSERCAD</t>
  </si>
  <si>
    <t>MSEREUR</t>
  </si>
  <si>
    <t>MSWRLD$(RI)</t>
  </si>
  <si>
    <t>MSWRLD$(PI)</t>
  </si>
  <si>
    <t>BBUSD1M</t>
  </si>
  <si>
    <t>Code</t>
  </si>
  <si>
    <t>US EURO$ DEP 1 MONTH (BID,LDN) (D) - MIDDLE RATE</t>
  </si>
  <si>
    <t>MSCI NOK TO 1 USD - EXCHANGE RATE</t>
  </si>
  <si>
    <t>MSCI CAD TO 1 USD - EXCHANGE RATE</t>
  </si>
  <si>
    <t>MSCI EURO TO 1 USD - EXCHANGE RATE</t>
  </si>
  <si>
    <t>MSCI WORLD U$ - TOT RETURN IND</t>
  </si>
  <si>
    <t>MSCI WORLD U$ - PRICE INDEX</t>
  </si>
  <si>
    <t>IBA USD IBK. LIBOR 1M DELAYED - OFFERED RATE</t>
  </si>
  <si>
    <t>Name</t>
  </si>
  <si>
    <t>Q</t>
  </si>
  <si>
    <t>Frequency</t>
  </si>
  <si>
    <t>End</t>
  </si>
  <si>
    <t>Start</t>
  </si>
  <si>
    <t>CPP</t>
  </si>
  <si>
    <t>Beyond</t>
  </si>
  <si>
    <t>Average</t>
  </si>
  <si>
    <t>Profit</t>
  </si>
  <si>
    <t>Government</t>
  </si>
  <si>
    <t>EM</t>
  </si>
  <si>
    <t>Equities</t>
  </si>
  <si>
    <t>DM</t>
  </si>
  <si>
    <t>PE</t>
  </si>
  <si>
    <t>Infrastructure</t>
  </si>
  <si>
    <t>Overlay</t>
  </si>
  <si>
    <t>Equity</t>
  </si>
  <si>
    <t>Canada</t>
  </si>
  <si>
    <t>CPI</t>
  </si>
  <si>
    <t>Type</t>
  </si>
  <si>
    <t>EUR USD quarterly</t>
  </si>
  <si>
    <t>EUR USD     yearly</t>
  </si>
  <si>
    <t>Total cost</t>
  </si>
  <si>
    <t>Internal</t>
  </si>
  <si>
    <t>External change</t>
  </si>
  <si>
    <t>External</t>
  </si>
  <si>
    <t>Internal change</t>
  </si>
  <si>
    <t>Operational costs (internal)</t>
  </si>
  <si>
    <t>3Q1998/99</t>
  </si>
  <si>
    <t>2Q1998/99</t>
  </si>
  <si>
    <t>1Q1998/98</t>
  </si>
  <si>
    <t>Returns Y</t>
  </si>
  <si>
    <t>Returns Q</t>
  </si>
  <si>
    <t>Beyond Q</t>
  </si>
  <si>
    <t>Inflation Q</t>
  </si>
  <si>
    <t>CPI yearly</t>
  </si>
  <si>
    <t>Inflation Y</t>
  </si>
  <si>
    <t>Beyond Y</t>
  </si>
  <si>
    <t>Std</t>
  </si>
  <si>
    <t>Yearly STD</t>
  </si>
  <si>
    <t>Value</t>
  </si>
  <si>
    <t>USGBILL3</t>
  </si>
  <si>
    <t>NLCONPRCF</t>
  </si>
  <si>
    <t>NWCONPRCF</t>
  </si>
  <si>
    <t>CNCONPRCF</t>
  </si>
  <si>
    <t>FTSE EPRA NAREIT GLO REITS $ - TOT RETURN IND</t>
  </si>
  <si>
    <t>HFRI FUND WEIGHTED COMPOSITE E - TOTAL RETURN MTD</t>
  </si>
  <si>
    <t>S&amp;P GSCI Commodity Total Return - RETURN IND. (OFCL)</t>
  </si>
  <si>
    <t>Barclays Global Inflation-Linked USD - Month-to-Date Rtn</t>
  </si>
  <si>
    <t>Barclays EM USD Aggregate USD - Month-to-Date Rtn</t>
  </si>
  <si>
    <t>Barclays Global Aggregate - Sovereign USD - Month-to-Date Rtn</t>
  </si>
  <si>
    <t>Barclays Global Aggregate - Corporate USD - Month-to-Date Rtn</t>
  </si>
  <si>
    <t>S&amp;P DEVELOPED BMI U$ - TOT RETURN IND</t>
  </si>
  <si>
    <t>MSCI EM U$ - TOT RETURN IND</t>
  </si>
  <si>
    <t>US TREASURY BILL RATE - 3 MONTH (EP) NADJ</t>
  </si>
  <si>
    <t>NL CPI NADJ</t>
  </si>
  <si>
    <t>NW CPI NADJ</t>
  </si>
  <si>
    <t>CN CPI NADJ</t>
  </si>
  <si>
    <t>Canadian CPI in C$</t>
  </si>
  <si>
    <t>Norwegian CPI in NOK</t>
  </si>
  <si>
    <t>Netherland CPI in EURO</t>
  </si>
  <si>
    <t>RF rate US $</t>
  </si>
  <si>
    <t>CPI CANADA USD</t>
  </si>
  <si>
    <t>CPI NORWAY USD</t>
  </si>
  <si>
    <t>CPI NETHERLAND USD</t>
  </si>
  <si>
    <t>CPI Netherland</t>
  </si>
  <si>
    <t>CPI Canada</t>
  </si>
  <si>
    <t>Inflation</t>
  </si>
  <si>
    <t>CPI Norway</t>
  </si>
  <si>
    <t>Q42016</t>
  </si>
  <si>
    <t>Excess return</t>
  </si>
  <si>
    <t>Sharpe ratio</t>
  </si>
  <si>
    <t>Regression</t>
  </si>
  <si>
    <t>Regression Statistics</t>
  </si>
  <si>
    <t>Multiple R</t>
  </si>
  <si>
    <t>R Square</t>
  </si>
  <si>
    <t>Adjusted R Square</t>
  </si>
  <si>
    <t>Standard Error</t>
  </si>
  <si>
    <t>Observations</t>
  </si>
  <si>
    <t>ANOVA</t>
  </si>
  <si>
    <t>Residual</t>
  </si>
  <si>
    <t>Total</t>
  </si>
  <si>
    <t>Intercept</t>
  </si>
  <si>
    <t>df</t>
  </si>
  <si>
    <t>SS</t>
  </si>
  <si>
    <t>MS</t>
  </si>
  <si>
    <t>F</t>
  </si>
  <si>
    <t>Significance F</t>
  </si>
  <si>
    <t>Coefficients</t>
  </si>
  <si>
    <t>t Stat</t>
  </si>
  <si>
    <t>P-value</t>
  </si>
  <si>
    <t>Lower 95%</t>
  </si>
  <si>
    <t>Upper 95%</t>
  </si>
  <si>
    <t>X Variable 1</t>
  </si>
  <si>
    <t>Beta</t>
  </si>
  <si>
    <t>Performance based fees</t>
  </si>
  <si>
    <t>Performance based in relation to total costs</t>
  </si>
  <si>
    <t>Performance based fee</t>
  </si>
  <si>
    <t>InFlows</t>
  </si>
  <si>
    <t>External compared til total assets</t>
  </si>
  <si>
    <t>Inflows</t>
  </si>
  <si>
    <t>External compared to total assets Y</t>
  </si>
  <si>
    <t>External compared to total assets Q</t>
  </si>
  <si>
    <t>Change</t>
  </si>
  <si>
    <t>Lower 95,0%</t>
  </si>
  <si>
    <t>Upper 95,0%</t>
  </si>
  <si>
    <t>External compared to total costs</t>
  </si>
  <si>
    <t>Yearly</t>
  </si>
  <si>
    <t>Yearly return</t>
  </si>
  <si>
    <t>Date Yearly</t>
  </si>
  <si>
    <t>CAD USD Quarterly</t>
  </si>
  <si>
    <t>CPP's numbers: Returns  Fiscal Yearly</t>
  </si>
  <si>
    <t>Time REAL years</t>
  </si>
  <si>
    <t>Yearly FISCAL</t>
  </si>
  <si>
    <t>Yearly REAL</t>
  </si>
  <si>
    <t>Benchmarks</t>
  </si>
  <si>
    <t>Returns-Benchmark</t>
  </si>
  <si>
    <t>Tracking error</t>
  </si>
  <si>
    <t>2006-2015</t>
  </si>
  <si>
    <t>2011-2015</t>
  </si>
  <si>
    <t>2006-2010</t>
  </si>
  <si>
    <t>Total management costs change</t>
  </si>
  <si>
    <t>Total costs change</t>
  </si>
  <si>
    <t>Standard dev</t>
  </si>
  <si>
    <t>IR</t>
  </si>
  <si>
    <t>Returns b/inflation</t>
  </si>
  <si>
    <t>Benchmark b/inflation</t>
  </si>
  <si>
    <t>Real Estate</t>
  </si>
  <si>
    <t>Commodities</t>
  </si>
  <si>
    <t>Funds</t>
  </si>
  <si>
    <t xml:space="preserve">Q STD past 16 </t>
  </si>
  <si>
    <t>Y STD past 16</t>
  </si>
  <si>
    <t>2011-2016</t>
  </si>
  <si>
    <t>2001-2005</t>
  </si>
  <si>
    <t>STD</t>
  </si>
  <si>
    <t>2001-2016 in local currency</t>
  </si>
  <si>
    <t>2001-2016 in USD</t>
  </si>
  <si>
    <t>NOK YEARLY RETURNS EX</t>
  </si>
  <si>
    <t>NOK Calculated</t>
  </si>
  <si>
    <t>NOK returns +1</t>
  </si>
  <si>
    <t>NOK USD delta</t>
  </si>
  <si>
    <t>2001-2016</t>
  </si>
  <si>
    <t>Annual Operational costs</t>
  </si>
  <si>
    <t>Operational expenses annually</t>
  </si>
  <si>
    <t>Operational change</t>
  </si>
  <si>
    <t>Annual operational costs change</t>
  </si>
  <si>
    <t>Operational expense ann. Change</t>
  </si>
  <si>
    <t>Operational expenses change</t>
  </si>
  <si>
    <t>Total costs annual</t>
  </si>
  <si>
    <t>Total cost change</t>
  </si>
  <si>
    <t>Operating cost change</t>
  </si>
  <si>
    <t>Transaction cost change</t>
  </si>
  <si>
    <t>External cost change</t>
  </si>
  <si>
    <t>Transaction cost annual</t>
  </si>
  <si>
    <t>Transaction cost change annual</t>
  </si>
  <si>
    <t xml:space="preserve">External change annual </t>
  </si>
  <si>
    <t>External fees annual</t>
  </si>
  <si>
    <t>External change yearly</t>
  </si>
  <si>
    <t>Total management costs Yearly</t>
  </si>
  <si>
    <t>Total management cost change annual</t>
  </si>
  <si>
    <t>Transacton cost compared to assets</t>
  </si>
  <si>
    <t>2002-2016</t>
  </si>
  <si>
    <t>Beta 2006-2010</t>
  </si>
  <si>
    <t>Information ratio</t>
  </si>
  <si>
    <t>Yearly returns CAD real years</t>
  </si>
  <si>
    <t>Quarterly standard deviation</t>
  </si>
  <si>
    <t>Beta 2011-2015</t>
  </si>
  <si>
    <t>ANN ex. Returns</t>
  </si>
  <si>
    <t>PBF/external</t>
  </si>
  <si>
    <t>Total cost over total assets</t>
  </si>
  <si>
    <t>External/total yearly</t>
  </si>
  <si>
    <t>Internal/total</t>
  </si>
  <si>
    <t>Externa/total yearly</t>
  </si>
  <si>
    <t>Operating</t>
  </si>
  <si>
    <t>Transation cost</t>
  </si>
  <si>
    <t>Transaction</t>
  </si>
  <si>
    <t xml:space="preserve">NOK </t>
  </si>
  <si>
    <t>Basket</t>
  </si>
  <si>
    <t>Net accumulated inflow</t>
  </si>
  <si>
    <t>NOK RETURNS CHECK</t>
  </si>
  <si>
    <t>NOK returns Yearly CHECK</t>
  </si>
  <si>
    <t>NOK YEARLY RETURSN ANN.REPORT</t>
  </si>
  <si>
    <t>NOK returns yearly calculated</t>
  </si>
  <si>
    <t>Performance based fee annual</t>
  </si>
  <si>
    <t>External management fee annual</t>
  </si>
  <si>
    <t>Performance based/external Quarterly</t>
  </si>
  <si>
    <t>Yearly returns from ann. Report</t>
  </si>
  <si>
    <t>Plus one</t>
  </si>
  <si>
    <t>All numbers are in EUR</t>
  </si>
  <si>
    <t>Returns received</t>
  </si>
  <si>
    <t>Total Liabilities</t>
  </si>
  <si>
    <t>NOK PLUS 1 fra NBIM</t>
  </si>
  <si>
    <t>Return BASKET fra NBIM</t>
  </si>
  <si>
    <t>Return USD fra NBIM</t>
  </si>
  <si>
    <t>Operating expenses</t>
  </si>
  <si>
    <t>External management costs</t>
  </si>
  <si>
    <t>Annual expenses</t>
  </si>
  <si>
    <t xml:space="preserve">Date  Fiscal </t>
  </si>
  <si>
    <t>All numbers are reported in CAD</t>
  </si>
  <si>
    <t>Annual returns from CPPIB</t>
  </si>
  <si>
    <t>Not going to use: Market value end  of quarter</t>
  </si>
  <si>
    <t>Not going to use: Quarterly return from market value</t>
  </si>
  <si>
    <t>Not going to use: Log of market value returns</t>
  </si>
  <si>
    <t>Going to use: ABP return Yearly in USD</t>
  </si>
  <si>
    <t>Not going to use: Market value end of quarter</t>
  </si>
  <si>
    <t>Not going to use: Log of market returns</t>
  </si>
  <si>
    <t>Net accumulated inflows</t>
  </si>
  <si>
    <t>Returns USD Check</t>
  </si>
  <si>
    <t>Annual returns calculated</t>
  </si>
  <si>
    <t>Quarterly returns NBIM+calculated</t>
  </si>
  <si>
    <t>Quarterly returns EUR</t>
  </si>
  <si>
    <t>RETURN</t>
  </si>
  <si>
    <t>Quarterly returns USD</t>
  </si>
  <si>
    <t>Calculated log Returns annual USD</t>
  </si>
  <si>
    <t>EUR USD DELTA ANNUAL</t>
  </si>
  <si>
    <t>EUR USD DELTA QUARTERLY</t>
  </si>
  <si>
    <t>Log returns plus 1</t>
  </si>
  <si>
    <t>Market values received - not going to use</t>
  </si>
  <si>
    <t>CAD USD DELTA YEARLY</t>
  </si>
  <si>
    <t>CAD USD YEARLY</t>
  </si>
  <si>
    <t>Calculated returns REAL Yearly</t>
  </si>
  <si>
    <t>Calculated  returns REAL Yearly</t>
  </si>
  <si>
    <t>Calculated quarterly log returns</t>
  </si>
  <si>
    <t>Calculated Yearly Fiscal</t>
  </si>
  <si>
    <t>CAD USD DELTA QUARTERLY</t>
  </si>
  <si>
    <t>CAD USD QUARTERLY</t>
  </si>
  <si>
    <t>FEIL!</t>
  </si>
  <si>
    <t>Returns calculated USD</t>
  </si>
  <si>
    <t>Q STD First period</t>
  </si>
  <si>
    <t>Q STD Second period</t>
  </si>
  <si>
    <t>Q STD Third period</t>
  </si>
  <si>
    <t>Q MEAN past 16</t>
  </si>
  <si>
    <t>Q MEAN Third period</t>
  </si>
  <si>
    <t>Q MEAN Second period</t>
  </si>
  <si>
    <t>Q MEAN First period</t>
  </si>
  <si>
    <t>Y STD Third period</t>
  </si>
  <si>
    <t>Y STD Second period</t>
  </si>
  <si>
    <t>Y STD First period</t>
  </si>
  <si>
    <t>Operational cost change quarterly</t>
  </si>
  <si>
    <t>Operational cost quarterly</t>
  </si>
  <si>
    <t>External compared to total costs quarterly</t>
  </si>
  <si>
    <t>Operational cost compared til total cost</t>
  </si>
  <si>
    <t>External Management Fee quarterly</t>
  </si>
  <si>
    <t>External Management fee yearly</t>
  </si>
  <si>
    <t>External change quarterly</t>
  </si>
  <si>
    <t>Annual operational cost over total assets</t>
  </si>
  <si>
    <t>Operational/total yearly</t>
  </si>
  <si>
    <t>Operational cost over total assets quarterly</t>
  </si>
  <si>
    <t>External / total cost</t>
  </si>
  <si>
    <t>Transaction costs compared to total cost</t>
  </si>
  <si>
    <t>Operational / total cost</t>
  </si>
  <si>
    <t>Performance based in relation to external cost</t>
  </si>
  <si>
    <t>Internal Yearly</t>
  </si>
  <si>
    <t>Transaction cost change quarterly</t>
  </si>
  <si>
    <t>Transaction cost quarterly</t>
  </si>
  <si>
    <t>Transaction cost compared to assets annual</t>
  </si>
  <si>
    <t>Operationa expenses over total assets annually</t>
  </si>
  <si>
    <t>Transction costs compared to total quarterly</t>
  </si>
  <si>
    <t>Internal compared to total costs quarterly</t>
  </si>
  <si>
    <t>Operational compared to total quarterly</t>
  </si>
  <si>
    <t>Transaction/ total annual</t>
  </si>
  <si>
    <t>Operational/total annual</t>
  </si>
  <si>
    <t>Internal/ total annual</t>
  </si>
  <si>
    <t>Total costs change annual</t>
  </si>
  <si>
    <t>Total costs change quarterly</t>
  </si>
  <si>
    <t>Operational exp. Over total assets quarterly</t>
  </si>
  <si>
    <t>Their figures</t>
  </si>
  <si>
    <t>Our figures</t>
  </si>
  <si>
    <t>Returns b/ infl. ANN</t>
  </si>
  <si>
    <t>Benchmark b/infl. ANN</t>
  </si>
  <si>
    <t>RISK</t>
  </si>
  <si>
    <t>Operational  cost change</t>
  </si>
  <si>
    <t>Performance based fee change</t>
  </si>
  <si>
    <t>Average excess return without inflation</t>
  </si>
  <si>
    <t>Performance based over external costs</t>
  </si>
  <si>
    <t>Fiscal Year</t>
  </si>
  <si>
    <t>100% i DM</t>
  </si>
  <si>
    <t>2% i EM</t>
  </si>
  <si>
    <t>98% i DM</t>
  </si>
  <si>
    <t>IGNORE</t>
  </si>
  <si>
    <t>En egen</t>
  </si>
  <si>
    <t>Inkl. Infrast.</t>
  </si>
  <si>
    <t>EGEN post</t>
  </si>
  <si>
    <t>Less 100%</t>
  </si>
  <si>
    <t>Opp.Funds + P.E.</t>
  </si>
  <si>
    <t>Hedge Funds</t>
  </si>
  <si>
    <t>Opp. Fund</t>
  </si>
  <si>
    <t xml:space="preserve">Corporate </t>
  </si>
  <si>
    <t>Allocation of Opp.Funds + P.E.</t>
  </si>
  <si>
    <t>Total SUM</t>
  </si>
  <si>
    <t>Alternative Investments</t>
  </si>
  <si>
    <t>Inflation Linked Bonds</t>
  </si>
  <si>
    <t>Fixed Income</t>
  </si>
  <si>
    <t>Benchmark Returns ABP</t>
  </si>
  <si>
    <t>Emerging</t>
  </si>
  <si>
    <t>Developed</t>
  </si>
  <si>
    <t>Total SUM Benchmark Returns</t>
  </si>
  <si>
    <t xml:space="preserve">Benchmark Returns </t>
  </si>
  <si>
    <r>
      <t xml:space="preserve">The </t>
    </r>
    <r>
      <rPr>
        <b/>
        <sz val="12"/>
        <color theme="1"/>
        <rFont val="Calibri"/>
        <family val="2"/>
        <scheme val="minor"/>
      </rPr>
      <t>TSE 300 Index</t>
    </r>
    <r>
      <rPr>
        <sz val="11"/>
        <color theme="1"/>
        <rFont val="Calibri"/>
        <family val="2"/>
        <scheme val="minor"/>
      </rPr>
      <t xml:space="preserve"> was a Canadian stock market index that tracked the prices of 300 influential stocks which were traded on the Toronto Stock Exchange. Since May 1, 2002, it has been replaced by the S&amp;P/TSX Composite Index.</t>
    </r>
  </si>
  <si>
    <t>TSE 300:</t>
  </si>
  <si>
    <t>Beginning in fiscal 2006, the near-term asset-mix target of the CPP Investment Board was refined to 60 per cent equity, 30 per cent fixed income and 10 per cent real return assets. At the end of the fiscal year, the CPP fund had made good progress in achieving this near-term asset mix.   At March 31, 2006, equities totalled $61.7 billion or 63 per cent of the CPP fund. This consisted of publicly traded stocks valued at $57.3 billion or 58.5 per cent of the total fund plus private equity valued at $4.4 billion or 4.5 per cent of the total fund. The fixed income component was comprised of government bonds and money market securities totalling $27.8 billion or 28.3 per cent of the fund. Real return assets represented $8.5 billion or 8.7 per cent. This consisted of real estate valued at $4.2 billion or 4.3 per cent of the fund, inflation-linked bonds valued at $4 billion or 4 per cent of the fund and infrastructure investments valued at $350 million or 0.4 per cent of the fund.  </t>
  </si>
  <si>
    <t>At June 30, 2005, the CPP reserve fund consisted of 55.2 per cent ($48.1 billion) of publicly traded stocks, 33.1 per cent ($28.8 billion) of government bonds, 4.1 per cent ($3.6 billion) in cash and money market securities, 4 per cent ($3.4 billion) of real return assets and 3.6 per cent ($3.1 billion) of private equity.</t>
  </si>
  <si>
    <t>*2006</t>
  </si>
  <si>
    <t>At March 31, 56.2 per cent or $45.7 billion of the $81.3 billion CPP reserve fund consisted of publicly traded stocks, 39 per cent or $31.7 billion of fixed income securities, 3.6 per cent or $2.9 billion of private equity, and 1.2 per cent or $1 billion of real estate and infrastructure.  </t>
  </si>
  <si>
    <t>*2005</t>
  </si>
  <si>
    <t>The equity portfolio was: 9% Private Equities, 2% Real Return Assets, 89% Public Equities</t>
  </si>
  <si>
    <t xml:space="preserve">Benchmark returns are based upon the S&amp;P/TSX Composite for Canadian equity investments, a combination of the S&amp;P 500 and the MSCI EAFE for Non-Canadian equity investments, and CPI + 4.5% for real return assets. </t>
  </si>
  <si>
    <t>The fixed-income securities were comprised of $31.0 billion in federal and provincial government bonds and $7.1 billion in an interest earning cash deposit. The equity portfolio consisted 89% of public equities, 9% in private equity portfolios and 2% in real estate (a combination of private real estate holdings and investments in publicly-traded real estate companies.)</t>
  </si>
  <si>
    <r>
      <rPr>
        <sz val="10"/>
        <color theme="1"/>
        <rFont val="Avenir"/>
      </rPr>
      <t>Performance versus Benchmarks:</t>
    </r>
    <r>
      <rPr>
        <b/>
        <sz val="10"/>
        <color theme="1"/>
        <rFont val="Avenir"/>
      </rPr>
      <t xml:space="preserve"> </t>
    </r>
    <r>
      <rPr>
        <sz val="10"/>
        <color theme="1"/>
        <rFont val="Avenir"/>
      </rPr>
      <t xml:space="preserve">The performance of </t>
    </r>
    <r>
      <rPr>
        <b/>
        <sz val="10"/>
        <color theme="1"/>
        <rFont val="Avenir"/>
      </rPr>
      <t>Canadian and non- Canadian equities</t>
    </r>
    <r>
      <rPr>
        <sz val="10"/>
        <color theme="1"/>
        <rFont val="Avenir"/>
      </rPr>
      <t xml:space="preserve"> are measured against composite benchmarks that are based on the returns for market indexes for publicly traded equities. Real estate is measured against the Consumer Price Index (a measure of inflation) plus 4.5 percent. </t>
    </r>
  </si>
  <si>
    <t>*2003</t>
  </si>
  <si>
    <t>(from 4q report 2003)</t>
  </si>
  <si>
    <t>Of the total assets, 69% consisted of about $38.1 billion in fixed-income securities held by the Canada Pension Plan and administered by the Department of Finance in Ottawa, and 31% of the total portfolio included $17.5 billion in equities and real estate managed by the CPP Investment Board in Toronto.</t>
  </si>
  <si>
    <t xml:space="preserve">The Reference Portfolio comprises only public market equities and bonds represented by broad market indexes that can be invested in at minimal expense. While it has maintained a 65% equity/35% total debt mix throughout, its Canadian equity content has steadily diminished as we have developed global capabilities to deliver soundly based diversification of the Fund in a wider variety of asset classes. </t>
  </si>
  <si>
    <t>At year end, 70% of equity assets were Canadian and 30% foreign, compared with 82% and 18% respectively a year earlier.  "</t>
  </si>
  <si>
    <t>*2001</t>
  </si>
  <si>
    <t xml:space="preserve">In fiscal 2015, the Reference Portfolio had a composition of 65% equities and 35% debt. The actual Investment Portfolio risk, including active risk, mirrored that of a portfolio with 72% equity and 28% debt. </t>
  </si>
  <si>
    <t>Approximately 80 percent of the Canada Pension Plan assets under our management are invested in the shares of major Canadian companies and the remainder in foreign equities. The Canadian investments substantially replicate the Toronto Stock Exchange 300 Composite Index. The foreign investments substantially replicate the Standard and Poor's 500 Index of leading U.S. companies and the EAFE (Europe, Australasia and Far East) Index of about 1,000 overseas companies.</t>
  </si>
  <si>
    <t>*2000</t>
  </si>
  <si>
    <t>(from the 2006-report)</t>
  </si>
  <si>
    <t>Fiscal Years:</t>
  </si>
  <si>
    <t xml:space="preserve">"On April 1, 2006, we introduced a performance measurement framework called the CPP Reference Portfolio. This is a notional portfolio comprised of 40 per cent global equities, 25 per cent Canadian equities, 25 per cent fixed income and 10 per cent real return bonds. The CPP Reference Portfolio is designed to reflect the liabilities specific to the CPP. Furthermore, it reflects the systematic risk assumptions incorporated in the 1997 CPP reforms and the CPP’s 9.9 per cent contribution rate. " </t>
  </si>
  <si>
    <t>Emerging Markets</t>
  </si>
  <si>
    <t>Asia (excl. Japan)</t>
  </si>
  <si>
    <t>Japan</t>
  </si>
  <si>
    <t>Asia Pacific Developed Markets</t>
  </si>
  <si>
    <t>Australia</t>
  </si>
  <si>
    <t>Other</t>
  </si>
  <si>
    <t>UK</t>
  </si>
  <si>
    <t>Europe (exckl. UK)</t>
  </si>
  <si>
    <t>UK and Europe</t>
  </si>
  <si>
    <t>Europe, Middle East and Africa Developed Markets</t>
  </si>
  <si>
    <t>Other Developed</t>
  </si>
  <si>
    <t>North America (excl. Canada)</t>
  </si>
  <si>
    <t>US</t>
  </si>
  <si>
    <t>Americas Developed Markets</t>
  </si>
  <si>
    <t>Developed Markets</t>
  </si>
  <si>
    <t>Cash and Absolute Return Strategies</t>
  </si>
  <si>
    <t>Real Return Assets</t>
  </si>
  <si>
    <t>Cash and Money Market Securities</t>
  </si>
  <si>
    <t>Real Assets (incl.real estate)</t>
  </si>
  <si>
    <t>Credit Investments</t>
  </si>
  <si>
    <t>Aggregate (Cred.Inv.+Cash&amp;Money Securities + Cash&amp;Abs.Ret.Strategies)</t>
  </si>
  <si>
    <t>Aggregate</t>
  </si>
  <si>
    <t>Equities and Real Estate</t>
  </si>
  <si>
    <t>"the CPP Investment Board Portfolio" (92% public equities, 5% Private Equities and 2% Real Estate&amp;Infrastrcture and 1% Cash</t>
  </si>
  <si>
    <t>Nominal Fixed Income</t>
  </si>
  <si>
    <t>Canadian Nominal Fixed Income</t>
  </si>
  <si>
    <t>Canadian Fixed Income</t>
  </si>
  <si>
    <t>Canadian Nominal Bonds</t>
  </si>
  <si>
    <t>Canadian Real Return Bonds</t>
  </si>
  <si>
    <t>Public Fixed Income</t>
  </si>
  <si>
    <t>Government Bonds</t>
  </si>
  <si>
    <t>Foreign Sovereign Bonds (Hedged)</t>
  </si>
  <si>
    <t>Debt (J+K+L = Debt)</t>
  </si>
  <si>
    <t>Aggregate (Corp+DM+EM)</t>
  </si>
  <si>
    <t>Emerging Market Equities</t>
  </si>
  <si>
    <t>Global Equities/Foreign Equities</t>
  </si>
  <si>
    <t>Foreign Developed  Market Equities</t>
  </si>
  <si>
    <t>Canadian Equities (D + E + F = Equity)</t>
  </si>
  <si>
    <t>Private Equity</t>
  </si>
  <si>
    <t>Public Equity</t>
  </si>
  <si>
    <t>Publicly Traded Stocks</t>
  </si>
  <si>
    <t>Blend of the "S&amp;P 500 Index for US equities" and the "MSCI EAFE Index" for international equities</t>
  </si>
  <si>
    <t>Standard &amp; Poor's 500 Index of leading US comp. and EAFE</t>
  </si>
  <si>
    <t>Canadian Government Nominal Bonds (FTSE TMX + CPP Legacy Bonds)</t>
  </si>
  <si>
    <t>MSCI World Index (excl. Canada)</t>
  </si>
  <si>
    <t>Citigroup G7 Bonds</t>
  </si>
  <si>
    <t>Canadian Equity (S&amp;P Broad Market)</t>
  </si>
  <si>
    <t>Toronto Stock Exchange 300 Composite Index</t>
  </si>
  <si>
    <t>Global Equity Excluding Canada (S&amp;P LargeMid)</t>
  </si>
  <si>
    <t>Total Investments</t>
  </si>
  <si>
    <t>Georgraphic Region</t>
  </si>
  <si>
    <t xml:space="preserve">Alternative Investments </t>
  </si>
  <si>
    <t>Canadian - Aggregate</t>
  </si>
  <si>
    <t>Quarter</t>
  </si>
  <si>
    <t>Inflation - Linked</t>
  </si>
  <si>
    <t>Fixed Income - Emerging</t>
  </si>
  <si>
    <t>Fixed Income - Government</t>
  </si>
  <si>
    <t>Fixed Income - Corporate</t>
  </si>
  <si>
    <t>Equities - Emerging</t>
  </si>
  <si>
    <t>Equities - Developed</t>
  </si>
  <si>
    <t>Datastream %-change</t>
  </si>
  <si>
    <t>CPI - Netherland USD</t>
  </si>
  <si>
    <t>CPI - Norway USD</t>
  </si>
  <si>
    <t>CPI - Canada USD</t>
  </si>
  <si>
    <t>CPI - Netherland EUR</t>
  </si>
  <si>
    <t>CPI - Norway NOK</t>
  </si>
  <si>
    <t>CPI - Canada CAD</t>
  </si>
  <si>
    <t>Datastream</t>
  </si>
  <si>
    <t>FX-rate EUR/USD</t>
  </si>
  <si>
    <t>FX-rate CAD/USD</t>
  </si>
  <si>
    <t>FX-rate NOK/USD</t>
  </si>
  <si>
    <t>Commodities           (Index Value)</t>
  </si>
  <si>
    <t>Real Estate           (Index Value)</t>
  </si>
  <si>
    <t>Hedge Funds               (%)</t>
  </si>
  <si>
    <t>Inflation - Linked                (%)</t>
  </si>
  <si>
    <t>Fixed Income - Emerging        (%)</t>
  </si>
  <si>
    <t>Fixed Income - Government        (%)</t>
  </si>
  <si>
    <t>Fixed Income - Corporate         (%)</t>
  </si>
  <si>
    <t>Equities - Emerging        (Index Value)</t>
  </si>
  <si>
    <t>Equities - Developed    (Index Value)</t>
  </si>
  <si>
    <t>Risk-free Rate</t>
  </si>
  <si>
    <t>CPI:            Netherland         (EUR)</t>
  </si>
  <si>
    <t>CPI:           Norway      (NOK)</t>
  </si>
  <si>
    <t>CPI:            Canada          (CAD)</t>
  </si>
  <si>
    <t>CPI:           Netherland USD</t>
  </si>
  <si>
    <t>CPI:           Norway USD</t>
  </si>
  <si>
    <t>CPI:            Canada           (USD)</t>
  </si>
  <si>
    <t>a. Local currency - nominal quarterly total returns</t>
  </si>
  <si>
    <t>Overall: 2001-2016</t>
  </si>
  <si>
    <t>b. Local currency - inflation adjusted quarterly total returns</t>
  </si>
  <si>
    <t>c. USD denominated - nominal quarterly total returns</t>
  </si>
  <si>
    <t>d. USD denominated - inflation adjusted quarterly total returns</t>
  </si>
  <si>
    <t>Their figure</t>
  </si>
  <si>
    <t>NOK Their figure</t>
  </si>
  <si>
    <t>CAD Our figure</t>
  </si>
  <si>
    <t>NOK Our figures</t>
  </si>
  <si>
    <t>NOK Returns</t>
  </si>
  <si>
    <t>NOK Beyond</t>
  </si>
  <si>
    <t>EUR Returns</t>
  </si>
  <si>
    <t>CAD returns</t>
  </si>
  <si>
    <t>CAD beyond</t>
  </si>
  <si>
    <t>EUR beyond</t>
  </si>
  <si>
    <t>Annual</t>
  </si>
  <si>
    <t xml:space="preserve"> Returns beyond USD</t>
  </si>
  <si>
    <t xml:space="preserve"> Returns beyond NOK</t>
  </si>
  <si>
    <t xml:space="preserve"> Returns beyond EUR</t>
  </si>
  <si>
    <t xml:space="preserve"> Returns beyond CAD</t>
  </si>
  <si>
    <t>Average quarterly returns beyond</t>
  </si>
  <si>
    <t xml:space="preserve">Average quarterly </t>
  </si>
  <si>
    <t>b. USD denominated - standard deviation</t>
  </si>
  <si>
    <t>a. Local currency - standard deviation</t>
  </si>
  <si>
    <t>b. USD denominated - sharpe ratio</t>
  </si>
  <si>
    <t>Returns Q NOK</t>
  </si>
  <si>
    <t>Returns Q EUR</t>
  </si>
  <si>
    <t>Returns Q CAD</t>
  </si>
  <si>
    <t>Yearly STD NOK</t>
  </si>
  <si>
    <t>Yearly STD EUR</t>
  </si>
  <si>
    <t>Yearly STD CAD</t>
  </si>
  <si>
    <t>Overall: 2008-2016</t>
  </si>
  <si>
    <t>%Start</t>
  </si>
  <si>
    <t>Net assets Yearly</t>
  </si>
  <si>
    <t>n.a</t>
  </si>
  <si>
    <t>Costs</t>
  </si>
  <si>
    <t xml:space="preserve">Sub period 1: 2007-2010 </t>
  </si>
  <si>
    <t xml:space="preserve">Sub period 2: 2011-2016 </t>
  </si>
  <si>
    <t>Overall: 2007-2016</t>
  </si>
  <si>
    <t>Beta 2006-2016</t>
  </si>
  <si>
    <t>Beta 2011-2016</t>
  </si>
  <si>
    <t>Overall: 2006-2016</t>
  </si>
  <si>
    <t>2006-2016</t>
  </si>
  <si>
    <t>Total assets Yearly</t>
  </si>
  <si>
    <t>Risk Free Return US</t>
  </si>
  <si>
    <t>Excess returns</t>
  </si>
  <si>
    <t>Ann. Ex. Returns</t>
  </si>
  <si>
    <t>Rf US</t>
  </si>
  <si>
    <t>Rf NO</t>
  </si>
  <si>
    <t>Rf CA</t>
  </si>
  <si>
    <t>Rf NL</t>
  </si>
  <si>
    <t>2003-2005</t>
  </si>
  <si>
    <t>Return beyond benchmark</t>
  </si>
  <si>
    <t>External fee/total assets</t>
  </si>
  <si>
    <t>Y=returns, X=external fee/total assets</t>
  </si>
  <si>
    <t>Y=returns b/benchmark, X=external fee/total assets</t>
  </si>
  <si>
    <t>Regression 1</t>
  </si>
  <si>
    <t>Regression 2</t>
  </si>
  <si>
    <t>Standard error</t>
  </si>
  <si>
    <t>tStat</t>
  </si>
  <si>
    <t>R-Square</t>
  </si>
  <si>
    <t>Correlation</t>
  </si>
  <si>
    <t>Variable X</t>
  </si>
  <si>
    <t>b. Returns beyond inflation</t>
  </si>
  <si>
    <t>c. Benchmark beyond inflation</t>
  </si>
  <si>
    <t>d. Returns beyond inflation beyond respective benchmark</t>
  </si>
  <si>
    <t>a. Returns</t>
  </si>
  <si>
    <t>APG</t>
  </si>
  <si>
    <t>Inflow Yearly</t>
  </si>
  <si>
    <t>Operating expenses / total assets</t>
  </si>
  <si>
    <t>NBIM (USD)</t>
  </si>
  <si>
    <t>APG (USD)</t>
  </si>
  <si>
    <t>CPPIB (USD)</t>
  </si>
  <si>
    <t>SUMMARY OUTPUT NBIM</t>
  </si>
  <si>
    <t>SUMMARY OUTPUT CPPIB</t>
  </si>
  <si>
    <t>SUMMARY OUTPUT APG</t>
  </si>
  <si>
    <t>Local currency NBIM</t>
  </si>
  <si>
    <t>Local currency CPPIB</t>
  </si>
  <si>
    <t>Local currency APG</t>
  </si>
  <si>
    <t xml:space="preserve">Sub-period 1: 2001-2005 </t>
  </si>
  <si>
    <t xml:space="preserve">Sub-period 2: 2006-2010 </t>
  </si>
  <si>
    <t xml:space="preserve">Sub-period 3: 2011-2016 </t>
  </si>
  <si>
    <t xml:space="preserve">Sub-period 1: 2006-2010 </t>
  </si>
  <si>
    <t>Sub-period 2: 2011-2016</t>
  </si>
  <si>
    <t>Sub-period 1: 2006-2010</t>
  </si>
  <si>
    <t>Sub-period 1: 2008-2011</t>
  </si>
  <si>
    <t>Sub-period 2: 2012-2016</t>
  </si>
  <si>
    <t>Summary report: sharpe ratio</t>
  </si>
  <si>
    <t>Summary regression table</t>
  </si>
  <si>
    <t>Summary report: quarterly standard deviation</t>
  </si>
  <si>
    <t>Summary report: quarterly returns beyond inflation</t>
  </si>
  <si>
    <t>Average return (quarterly)</t>
  </si>
  <si>
    <t>Summary report: quarterly total returns</t>
  </si>
  <si>
    <t>Summary report: yearly costs in million USD</t>
  </si>
  <si>
    <t>Summary report: net assets and inflows in million USD</t>
  </si>
  <si>
    <t>Summary report: average annual change in operating expenses</t>
  </si>
  <si>
    <t>Summary report: average annual change in transaction costs</t>
  </si>
  <si>
    <t xml:space="preserve">Summary report: average annual change in external costs </t>
  </si>
  <si>
    <t>Summary report: average annual cost over total cost</t>
  </si>
  <si>
    <t>Summary report: average annual cost over total assets</t>
  </si>
  <si>
    <t>Summary report: annual changes in costs</t>
  </si>
  <si>
    <t>Summary report: annual total cost over total assets</t>
  </si>
  <si>
    <t>Summary report: annual cost over total cost</t>
  </si>
  <si>
    <t>Summary report: annual cost over total assets</t>
  </si>
  <si>
    <t>NBIM (USD) i millions</t>
  </si>
  <si>
    <t>CPPIB (USD) i millions</t>
  </si>
  <si>
    <t>APG (USD) in millions</t>
  </si>
  <si>
    <t>Summary report: annual standard deviation - US denominated currency</t>
  </si>
  <si>
    <t>Summary report: annual returns - US denominated currency</t>
  </si>
  <si>
    <t>Summary report: annual total costs in USD</t>
  </si>
  <si>
    <t xml:space="preserve">Sub-period 1: 2001-2007 </t>
  </si>
  <si>
    <t>Sub-period 2: 2008-2011</t>
  </si>
  <si>
    <t>Sub-period 3: 2012-2016</t>
  </si>
  <si>
    <t>&lt;</t>
  </si>
  <si>
    <t>Average annual transaction costs in relation to total assets.</t>
  </si>
  <si>
    <t>Average annual change in total cost</t>
  </si>
  <si>
    <t>a. Local currency - sharpe ratio</t>
  </si>
  <si>
    <t>Summary report: average annual total costs over total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</si>
</sst>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 #,##0.00_ ;_ * \-#,##0.00_ ;_ * &quot;-&quot;??_ ;_ @_ "/>
    <numFmt numFmtId="164" formatCode="0.0000"/>
    <numFmt numFmtId="165" formatCode="0.0000000"/>
    <numFmt numFmtId="166" formatCode="0.0000\ %"/>
    <numFmt numFmtId="167" formatCode="0.0\ %"/>
    <numFmt numFmtId="168" formatCode="0.000\ %"/>
    <numFmt numFmtId="169" formatCode="0.000000\ %"/>
    <numFmt numFmtId="170" formatCode="0.000"/>
    <numFmt numFmtId="171" formatCode="0.000000"/>
    <numFmt numFmtId="172" formatCode="0.00000\ %"/>
    <numFmt numFmtId="173" formatCode="_-* #,##0.00_-;_-* #,##0.00\-;_-* &quot;-&quot;??_-;_-@_-"/>
    <numFmt numFmtId="174" formatCode="m/d/yyyy;@"/>
    <numFmt numFmtId="175" formatCode="0.00000"/>
    <numFmt numFmtId="176" formatCode="0.0"/>
    <numFmt numFmtId="177" formatCode="0.000E+00"/>
    <numFmt numFmtId="178" formatCode="0.0000000\ %"/>
    <numFmt numFmtId="179" formatCode="0.000000000\ %"/>
    <numFmt numFmtId="180" formatCode="0.000000000"/>
  </numFmts>
  <fonts count="55">
    <font>
      <sz val="11"/>
      <color theme="1"/>
      <name val="Calibri"/>
      <family val="2"/>
      <scheme val="minor"/>
    </font>
    <font>
      <sz val="11"/>
      <color rgb="FFFF0000"/>
      <name val="Calibri"/>
      <family val="2"/>
      <scheme val="minor"/>
    </font>
    <font>
      <sz val="11"/>
      <color theme="1"/>
      <name val="Calibri"/>
      <family val="2"/>
      <scheme val="minor"/>
    </font>
    <font>
      <sz val="10"/>
      <name val="Arial"/>
      <family val="2"/>
    </font>
    <font>
      <sz val="11"/>
      <name val="Calibri"/>
      <family val="2"/>
      <scheme val="minor"/>
    </font>
    <font>
      <b/>
      <sz val="11"/>
      <color theme="0"/>
      <name val="Calibri"/>
      <family val="2"/>
      <scheme val="minor"/>
    </font>
    <font>
      <sz val="11"/>
      <color rgb="FF7030A0"/>
      <name val="Calibri"/>
      <family val="2"/>
      <scheme val="minor"/>
    </font>
    <font>
      <b/>
      <sz val="11"/>
      <color theme="1"/>
      <name val="Calibri"/>
      <family val="2"/>
      <scheme val="minor"/>
    </font>
    <font>
      <u/>
      <sz val="11"/>
      <color rgb="FF7030A0"/>
      <name val="Calibri"/>
      <family val="2"/>
      <scheme val="minor"/>
    </font>
    <font>
      <u/>
      <sz val="11"/>
      <color theme="1"/>
      <name val="Calibri"/>
      <family val="2"/>
      <scheme val="minor"/>
    </font>
    <font>
      <b/>
      <sz val="11"/>
      <name val="Calibri"/>
      <family val="2"/>
      <scheme val="minor"/>
    </font>
    <font>
      <b/>
      <sz val="20"/>
      <name val="Calibri"/>
      <family val="2"/>
      <scheme val="minor"/>
    </font>
    <font>
      <sz val="8"/>
      <color theme="1"/>
      <name val="Arial"/>
      <family val="2"/>
    </font>
    <font>
      <sz val="11"/>
      <color rgb="FF0070C0"/>
      <name val="Calibri"/>
      <family val="2"/>
      <scheme val="minor"/>
    </font>
    <font>
      <sz val="12"/>
      <color theme="1"/>
      <name val="Calibri"/>
      <family val="2"/>
      <scheme val="minor"/>
    </font>
    <font>
      <b/>
      <sz val="16"/>
      <color theme="1"/>
      <name val="Calibri"/>
      <family val="2"/>
      <scheme val="minor"/>
    </font>
    <font>
      <sz val="9"/>
      <color indexed="81"/>
      <name val="Tahoma"/>
      <family val="2"/>
    </font>
    <font>
      <b/>
      <sz val="9"/>
      <color indexed="81"/>
      <name val="Tahoma"/>
      <family val="2"/>
    </font>
    <font>
      <b/>
      <sz val="22"/>
      <color theme="0"/>
      <name val="Calibri"/>
      <family val="2"/>
      <scheme val="minor"/>
    </font>
    <font>
      <b/>
      <sz val="12"/>
      <color theme="1"/>
      <name val="Calibri"/>
      <family val="2"/>
      <scheme val="minor"/>
    </font>
    <font>
      <sz val="8"/>
      <color indexed="81"/>
      <name val="Tahoma"/>
      <family val="2"/>
    </font>
    <font>
      <sz val="11"/>
      <color theme="0"/>
      <name val="Calibri"/>
      <family val="2"/>
      <scheme val="minor"/>
    </font>
    <font>
      <u/>
      <sz val="10"/>
      <color theme="10"/>
      <name val="Arial"/>
      <family val="2"/>
    </font>
    <font>
      <sz val="12"/>
      <name val="Calibri"/>
      <family val="2"/>
      <scheme val="minor"/>
    </font>
    <font>
      <sz val="12"/>
      <name val="Arial"/>
      <family val="2"/>
    </font>
    <font>
      <sz val="10"/>
      <color rgb="FFFF0000"/>
      <name val="Arial"/>
      <family val="2"/>
    </font>
    <font>
      <sz val="20"/>
      <color theme="1"/>
      <name val="Calibri"/>
      <family val="2"/>
      <scheme val="minor"/>
    </font>
    <font>
      <sz val="24"/>
      <color theme="1"/>
      <name val="Calibri"/>
      <family val="2"/>
      <scheme val="minor"/>
    </font>
    <font>
      <b/>
      <sz val="16"/>
      <color theme="0"/>
      <name val="Calibri"/>
      <family val="2"/>
      <scheme val="minor"/>
    </font>
    <font>
      <i/>
      <sz val="11"/>
      <color theme="1"/>
      <name val="Calibri"/>
      <family val="2"/>
      <scheme val="minor"/>
    </font>
    <font>
      <sz val="22"/>
      <color theme="0"/>
      <name val="Calibri"/>
      <family val="2"/>
      <scheme val="minor"/>
    </font>
    <font>
      <sz val="12"/>
      <color rgb="FF000000"/>
      <name val="Calibri"/>
      <family val="2"/>
      <scheme val="minor"/>
    </font>
    <font>
      <b/>
      <sz val="12"/>
      <color theme="0"/>
      <name val="Calibri"/>
      <family val="2"/>
      <scheme val="minor"/>
    </font>
    <font>
      <b/>
      <sz val="10"/>
      <name val="Arial"/>
      <family val="2"/>
    </font>
    <font>
      <sz val="16"/>
      <color theme="1"/>
      <name val="Calibri"/>
      <family val="2"/>
      <scheme val="minor"/>
    </font>
    <font>
      <sz val="22"/>
      <name val="Calibri"/>
      <family val="2"/>
      <scheme val="minor"/>
    </font>
    <font>
      <b/>
      <sz val="20"/>
      <color theme="0"/>
      <name val="Calibri"/>
      <family val="2"/>
      <scheme val="minor"/>
    </font>
    <font>
      <sz val="20"/>
      <color theme="0"/>
      <name val="Calibri"/>
      <family val="2"/>
      <scheme val="minor"/>
    </font>
    <font>
      <b/>
      <sz val="18"/>
      <color theme="0"/>
      <name val="Calibri"/>
      <family val="2"/>
      <scheme val="minor"/>
    </font>
    <font>
      <b/>
      <sz val="24"/>
      <color theme="0"/>
      <name val="Calibri"/>
      <family val="2"/>
      <scheme val="minor"/>
    </font>
    <font>
      <sz val="18"/>
      <color theme="0"/>
      <name val="Arial"/>
      <family val="2"/>
    </font>
    <font>
      <b/>
      <sz val="10"/>
      <color theme="0"/>
      <name val="Arial"/>
      <family val="2"/>
    </font>
    <font>
      <sz val="12"/>
      <color theme="0"/>
      <name val="Calibri"/>
      <family val="2"/>
      <scheme val="minor"/>
    </font>
    <font>
      <sz val="11"/>
      <color rgb="FFC00000"/>
      <name val="Calibri"/>
      <family val="2"/>
      <scheme val="minor"/>
    </font>
    <font>
      <b/>
      <sz val="10"/>
      <color indexed="81"/>
      <name val="Calibri"/>
      <family val="2"/>
    </font>
    <font>
      <sz val="10"/>
      <color indexed="81"/>
      <name val="Calibri"/>
      <family val="2"/>
    </font>
    <font>
      <sz val="10"/>
      <color theme="1"/>
      <name val="Avenir"/>
    </font>
    <font>
      <b/>
      <sz val="10"/>
      <color theme="1"/>
      <name val="Avenir"/>
    </font>
    <font>
      <sz val="10"/>
      <color theme="1"/>
      <name val="GillSansMTStd"/>
    </font>
    <font>
      <sz val="10"/>
      <color rgb="FF211E1E"/>
      <name val="MrsEavesRoman"/>
    </font>
    <font>
      <b/>
      <sz val="15"/>
      <color theme="0"/>
      <name val="Calibri"/>
      <family val="2"/>
      <scheme val="minor"/>
    </font>
    <font>
      <sz val="12"/>
      <color theme="6"/>
      <name val="Calibri"/>
      <family val="2"/>
      <scheme val="minor"/>
    </font>
    <font>
      <b/>
      <sz val="10"/>
      <color rgb="FFFF0000"/>
      <name val="Arial"/>
      <family val="2"/>
    </font>
    <font>
      <b/>
      <sz val="10"/>
      <color theme="1"/>
      <name val="Arial"/>
      <family val="2"/>
    </font>
    <font>
      <sz val="12"/>
      <color indexed="10"/>
      <name val="Calibri"/>
      <family val="2"/>
      <scheme val="minor"/>
    </font>
  </fonts>
  <fills count="21">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rgb="FF002060"/>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0070C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5"/>
      </patternFill>
    </fill>
    <fill>
      <patternFill patternType="solid">
        <fgColor rgb="FF003C67"/>
        <bgColor indexed="64"/>
      </patternFill>
    </fill>
    <fill>
      <patternFill patternType="solid">
        <fgColor indexed="51"/>
        <bgColor indexed="64"/>
      </patternFill>
    </fill>
    <fill>
      <patternFill patternType="solid">
        <fgColor rgb="FF7030A0"/>
        <bgColor indexed="64"/>
      </patternFill>
    </fill>
  </fills>
  <borders count="63">
    <border>
      <left/>
      <right/>
      <top/>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s>
  <cellStyleXfs count="10">
    <xf numFmtId="0" fontId="0" fillId="0" borderId="0"/>
    <xf numFmtId="9" fontId="2"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0" fontId="14" fillId="0" borderId="0"/>
    <xf numFmtId="9" fontId="14" fillId="0" borderId="0" applyFont="0" applyFill="0" applyBorder="0" applyAlignment="0" applyProtection="0"/>
    <xf numFmtId="0" fontId="3" fillId="0" borderId="0"/>
    <xf numFmtId="0" fontId="22" fillId="0" borderId="0" applyNumberFormat="0" applyFill="0" applyBorder="0" applyAlignment="0" applyProtection="0"/>
    <xf numFmtId="0" fontId="2" fillId="0" borderId="0"/>
    <xf numFmtId="0" fontId="14" fillId="17" borderId="0" applyNumberFormat="0" applyBorder="0" applyAlignment="0" applyProtection="0"/>
  </cellStyleXfs>
  <cellXfs count="1012">
    <xf numFmtId="0" fontId="0" fillId="0" borderId="0" xfId="0"/>
    <xf numFmtId="0" fontId="1" fillId="0" borderId="0" xfId="0" applyFont="1"/>
    <xf numFmtId="0" fontId="0" fillId="2" borderId="0" xfId="0" applyFill="1"/>
    <xf numFmtId="0" fontId="0" fillId="3" borderId="0" xfId="0" applyFill="1"/>
    <xf numFmtId="0" fontId="0" fillId="0" borderId="0" xfId="0" applyBorder="1"/>
    <xf numFmtId="164" fontId="0" fillId="0" borderId="0" xfId="0" applyNumberFormat="1" applyBorder="1"/>
    <xf numFmtId="0" fontId="0" fillId="0" borderId="0" xfId="0" applyFill="1"/>
    <xf numFmtId="0" fontId="0" fillId="3" borderId="0" xfId="0" applyFill="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xf numFmtId="0" fontId="1" fillId="0" borderId="14" xfId="0" applyFon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4" fillId="0" borderId="14" xfId="0" applyFont="1" applyBorder="1"/>
    <xf numFmtId="0" fontId="0" fillId="0" borderId="15" xfId="0" applyNumberFormat="1" applyBorder="1"/>
    <xf numFmtId="0" fontId="0" fillId="0" borderId="1" xfId="0" applyNumberFormat="1" applyBorder="1"/>
    <xf numFmtId="0" fontId="0" fillId="0" borderId="0" xfId="0" applyFont="1" applyFill="1"/>
    <xf numFmtId="0" fontId="1" fillId="0" borderId="18" xfId="0" applyFont="1" applyBorder="1"/>
    <xf numFmtId="10" fontId="0" fillId="0" borderId="0" xfId="1" applyNumberFormat="1" applyFont="1"/>
    <xf numFmtId="10" fontId="0" fillId="0" borderId="0" xfId="0" applyNumberFormat="1"/>
    <xf numFmtId="0" fontId="0" fillId="0" borderId="0" xfId="0" applyNumberFormat="1"/>
    <xf numFmtId="0" fontId="0" fillId="0" borderId="11" xfId="0" applyBorder="1"/>
    <xf numFmtId="0" fontId="0" fillId="0" borderId="10" xfId="0" applyFill="1" applyBorder="1"/>
    <xf numFmtId="0" fontId="0" fillId="0" borderId="13" xfId="0" applyFill="1" applyBorder="1"/>
    <xf numFmtId="0" fontId="0" fillId="0" borderId="15" xfId="0" applyFill="1" applyBorder="1"/>
    <xf numFmtId="0" fontId="0" fillId="0" borderId="1" xfId="0" applyFill="1" applyBorder="1"/>
    <xf numFmtId="0" fontId="0" fillId="0" borderId="0" xfId="0" applyFill="1" applyBorder="1"/>
    <xf numFmtId="0" fontId="0" fillId="0" borderId="11"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0" fillId="0" borderId="1" xfId="0" applyFill="1" applyBorder="1" applyAlignment="1">
      <alignment horizontal="right"/>
    </xf>
    <xf numFmtId="0" fontId="4" fillId="0" borderId="0" xfId="0" applyFont="1"/>
    <xf numFmtId="0" fontId="4" fillId="0" borderId="0" xfId="0" applyFont="1" applyBorder="1"/>
    <xf numFmtId="0" fontId="0" fillId="0" borderId="0" xfId="0" applyFill="1" applyBorder="1" applyAlignment="1">
      <alignment horizontal="right"/>
    </xf>
    <xf numFmtId="0" fontId="1" fillId="0" borderId="1" xfId="0" applyFont="1" applyBorder="1"/>
    <xf numFmtId="167" fontId="0" fillId="0" borderId="0" xfId="1" applyNumberFormat="1" applyFont="1"/>
    <xf numFmtId="0" fontId="0" fillId="0" borderId="0" xfId="1" applyNumberFormat="1" applyFont="1"/>
    <xf numFmtId="3" fontId="0" fillId="0" borderId="0" xfId="2" applyNumberFormat="1" applyFont="1" applyFill="1" applyBorder="1" applyAlignment="1">
      <alignment horizontal="center"/>
    </xf>
    <xf numFmtId="10" fontId="1" fillId="0" borderId="0" xfId="1" applyNumberFormat="1" applyFont="1"/>
    <xf numFmtId="169" fontId="0" fillId="0" borderId="0" xfId="1" applyNumberFormat="1" applyFont="1"/>
    <xf numFmtId="166" fontId="0" fillId="0" borderId="0" xfId="0" applyNumberFormat="1"/>
    <xf numFmtId="166" fontId="4" fillId="0" borderId="0" xfId="0" applyNumberFormat="1" applyFont="1"/>
    <xf numFmtId="0" fontId="4" fillId="0" borderId="0" xfId="0" applyFont="1" applyFill="1" applyBorder="1"/>
    <xf numFmtId="0" fontId="6" fillId="0" borderId="0" xfId="0" applyFont="1" applyBorder="1"/>
    <xf numFmtId="0" fontId="4" fillId="0" borderId="11" xfId="0" applyFont="1" applyBorder="1"/>
    <xf numFmtId="0" fontId="4" fillId="0" borderId="1" xfId="0" applyFont="1" applyFill="1" applyBorder="1"/>
    <xf numFmtId="0" fontId="0" fillId="0" borderId="0" xfId="0" applyFont="1"/>
    <xf numFmtId="10" fontId="4" fillId="0" borderId="0" xfId="1" applyNumberFormat="1" applyFont="1" applyFill="1" applyBorder="1" applyAlignment="1">
      <alignment horizontal="center"/>
    </xf>
    <xf numFmtId="17" fontId="5" fillId="7" borderId="0" xfId="0" applyNumberFormat="1" applyFont="1" applyFill="1" applyBorder="1"/>
    <xf numFmtId="0" fontId="5" fillId="7" borderId="0" xfId="0" applyFont="1" applyFill="1" applyAlignment="1">
      <alignment horizontal="center" vertical="center"/>
    </xf>
    <xf numFmtId="0" fontId="4" fillId="0" borderId="0" xfId="1" applyNumberFormat="1" applyFont="1" applyFill="1" applyBorder="1" applyAlignment="1">
      <alignment horizontal="center"/>
    </xf>
    <xf numFmtId="0" fontId="0" fillId="0" borderId="0" xfId="0" applyFont="1" applyBorder="1"/>
    <xf numFmtId="10" fontId="4" fillId="0" borderId="0" xfId="1" applyNumberFormat="1" applyFont="1" applyFill="1" applyBorder="1" applyAlignment="1">
      <alignment horizontal="right"/>
    </xf>
    <xf numFmtId="10" fontId="0" fillId="0" borderId="0" xfId="1" applyNumberFormat="1" applyFont="1" applyFill="1" applyAlignment="1">
      <alignment horizontal="right"/>
    </xf>
    <xf numFmtId="10" fontId="5" fillId="7" borderId="0" xfId="1" applyNumberFormat="1" applyFont="1" applyFill="1" applyBorder="1" applyAlignment="1">
      <alignment horizontal="center" vertical="center" wrapText="1"/>
    </xf>
    <xf numFmtId="0" fontId="0" fillId="0" borderId="1" xfId="0" applyBorder="1"/>
    <xf numFmtId="0" fontId="4" fillId="0" borderId="1" xfId="1" applyNumberFormat="1" applyFont="1" applyFill="1" applyBorder="1" applyAlignment="1">
      <alignment horizontal="center"/>
    </xf>
    <xf numFmtId="0" fontId="0" fillId="0" borderId="1" xfId="0" applyFont="1" applyBorder="1"/>
    <xf numFmtId="10" fontId="4" fillId="0" borderId="1" xfId="1" applyNumberFormat="1" applyFont="1" applyFill="1" applyBorder="1" applyAlignment="1">
      <alignment horizontal="right"/>
    </xf>
    <xf numFmtId="0" fontId="0" fillId="0" borderId="1" xfId="1" applyNumberFormat="1" applyFont="1" applyBorder="1"/>
    <xf numFmtId="0" fontId="6" fillId="0" borderId="0" xfId="0" applyFont="1" applyFill="1" applyBorder="1"/>
    <xf numFmtId="0" fontId="6" fillId="0" borderId="1" xfId="0" applyFont="1" applyBorder="1"/>
    <xf numFmtId="166" fontId="4" fillId="0" borderId="0" xfId="1" applyNumberFormat="1" applyFont="1"/>
    <xf numFmtId="166" fontId="0" fillId="0" borderId="1" xfId="1" applyNumberFormat="1" applyFont="1" applyBorder="1"/>
    <xf numFmtId="166" fontId="0" fillId="0" borderId="0" xfId="1" applyNumberFormat="1" applyFont="1" applyBorder="1"/>
    <xf numFmtId="0" fontId="4" fillId="8" borderId="0" xfId="0" applyFont="1" applyFill="1" applyAlignment="1">
      <alignment horizontal="center" vertical="center" wrapText="1"/>
    </xf>
    <xf numFmtId="0" fontId="4" fillId="0" borderId="1" xfId="0" applyFont="1" applyBorder="1"/>
    <xf numFmtId="166" fontId="4" fillId="0" borderId="1" xfId="1" applyNumberFormat="1" applyFont="1" applyBorder="1"/>
    <xf numFmtId="166" fontId="4" fillId="0" borderId="0" xfId="1" applyNumberFormat="1" applyFont="1" applyBorder="1"/>
    <xf numFmtId="171" fontId="4" fillId="0" borderId="0" xfId="1" applyNumberFormat="1" applyFont="1" applyBorder="1"/>
    <xf numFmtId="0" fontId="4" fillId="0" borderId="0" xfId="0" applyFont="1" applyFill="1"/>
    <xf numFmtId="0" fontId="4" fillId="10" borderId="1" xfId="0" applyFont="1" applyFill="1" applyBorder="1"/>
    <xf numFmtId="172" fontId="4" fillId="0" borderId="0" xfId="1" applyNumberFormat="1" applyFont="1"/>
    <xf numFmtId="3" fontId="12" fillId="12" borderId="0" xfId="3" applyNumberFormat="1" applyFont="1" applyFill="1" applyBorder="1" applyAlignment="1">
      <alignment horizontal="center"/>
    </xf>
    <xf numFmtId="174" fontId="0" fillId="0" borderId="0" xfId="0" applyNumberFormat="1"/>
    <xf numFmtId="3" fontId="12" fillId="9" borderId="0" xfId="3" applyNumberFormat="1" applyFont="1" applyFill="1" applyBorder="1" applyAlignment="1">
      <alignment horizontal="center"/>
    </xf>
    <xf numFmtId="10" fontId="12" fillId="12" borderId="0" xfId="1" applyNumberFormat="1" applyFont="1" applyFill="1"/>
    <xf numFmtId="10" fontId="12" fillId="9" borderId="0" xfId="1" applyNumberFormat="1" applyFont="1" applyFill="1"/>
    <xf numFmtId="166" fontId="0" fillId="0" borderId="0" xfId="1" applyNumberFormat="1" applyFont="1" applyFill="1" applyBorder="1" applyAlignment="1">
      <alignment horizontal="center"/>
    </xf>
    <xf numFmtId="10" fontId="1" fillId="0" borderId="0" xfId="1" applyNumberFormat="1" applyFont="1" applyBorder="1"/>
    <xf numFmtId="3" fontId="1" fillId="0" borderId="0" xfId="2" applyNumberFormat="1" applyFont="1" applyFill="1" applyBorder="1" applyAlignment="1">
      <alignment horizontal="center"/>
    </xf>
    <xf numFmtId="0" fontId="0" fillId="0" borderId="0" xfId="1" applyNumberFormat="1" applyFont="1" applyFill="1" applyBorder="1" applyAlignment="1">
      <alignment horizontal="center"/>
    </xf>
    <xf numFmtId="0" fontId="13" fillId="0" borderId="0" xfId="0" applyFont="1" applyBorder="1"/>
    <xf numFmtId="3" fontId="4" fillId="0" borderId="0" xfId="2" applyNumberFormat="1" applyFont="1" applyFill="1" applyBorder="1" applyAlignment="1">
      <alignment horizontal="center"/>
    </xf>
    <xf numFmtId="168" fontId="4" fillId="0" borderId="0" xfId="1" applyNumberFormat="1" applyFont="1" applyFill="1" applyBorder="1" applyAlignment="1">
      <alignment horizontal="center"/>
    </xf>
    <xf numFmtId="10" fontId="4" fillId="0" borderId="0" xfId="1" applyNumberFormat="1" applyFont="1"/>
    <xf numFmtId="0" fontId="14" fillId="0" borderId="0" xfId="4"/>
    <xf numFmtId="0" fontId="0" fillId="0" borderId="3" xfId="0" applyBorder="1"/>
    <xf numFmtId="0" fontId="0" fillId="0" borderId="4" xfId="0" applyBorder="1"/>
    <xf numFmtId="0" fontId="0" fillId="0" borderId="5" xfId="0" applyBorder="1"/>
    <xf numFmtId="10" fontId="0" fillId="0" borderId="0" xfId="1" applyNumberFormat="1" applyFont="1" applyFill="1"/>
    <xf numFmtId="10" fontId="1" fillId="0" borderId="0" xfId="0" applyNumberFormat="1" applyFont="1"/>
    <xf numFmtId="10" fontId="0" fillId="0" borderId="1" xfId="1" applyNumberFormat="1" applyFont="1" applyBorder="1"/>
    <xf numFmtId="10" fontId="0" fillId="0" borderId="1" xfId="0" applyNumberFormat="1" applyBorder="1"/>
    <xf numFmtId="0" fontId="0" fillId="10" borderId="0" xfId="0" applyFill="1"/>
    <xf numFmtId="2" fontId="4" fillId="0" borderId="0" xfId="0" applyNumberFormat="1" applyFont="1" applyBorder="1"/>
    <xf numFmtId="0" fontId="11" fillId="0" borderId="0" xfId="0" applyFont="1" applyFill="1" applyAlignment="1"/>
    <xf numFmtId="0" fontId="0" fillId="0" borderId="0" xfId="1" applyNumberFormat="1" applyFont="1" applyBorder="1"/>
    <xf numFmtId="10" fontId="0" fillId="0" borderId="0" xfId="1" applyNumberFormat="1" applyFont="1" applyBorder="1"/>
    <xf numFmtId="10" fontId="4" fillId="0" borderId="0" xfId="1" applyNumberFormat="1" applyFont="1" applyBorder="1"/>
    <xf numFmtId="0" fontId="4" fillId="0" borderId="1" xfId="1" applyNumberFormat="1" applyFont="1" applyBorder="1"/>
    <xf numFmtId="10" fontId="0" fillId="0" borderId="13" xfId="0" applyNumberFormat="1" applyFont="1" applyBorder="1"/>
    <xf numFmtId="10" fontId="0" fillId="0" borderId="0" xfId="0" applyNumberFormat="1" applyFont="1" applyBorder="1"/>
    <xf numFmtId="10" fontId="0" fillId="0" borderId="14" xfId="0" applyNumberFormat="1" applyFont="1" applyBorder="1"/>
    <xf numFmtId="0" fontId="1" fillId="0" borderId="13" xfId="0" applyFont="1" applyBorder="1"/>
    <xf numFmtId="10" fontId="0" fillId="0" borderId="14" xfId="1" applyNumberFormat="1" applyFont="1" applyBorder="1"/>
    <xf numFmtId="0" fontId="0" fillId="0" borderId="13" xfId="0" applyFont="1" applyBorder="1"/>
    <xf numFmtId="10" fontId="0" fillId="0" borderId="16" xfId="1" applyNumberFormat="1" applyFont="1" applyBorder="1"/>
    <xf numFmtId="0" fontId="0" fillId="0" borderId="14" xfId="0" applyFont="1" applyBorder="1"/>
    <xf numFmtId="0" fontId="0" fillId="0" borderId="0" xfId="0" applyFont="1" applyFill="1" applyBorder="1"/>
    <xf numFmtId="0" fontId="0" fillId="0" borderId="0" xfId="0" applyFont="1" applyFill="1" applyBorder="1" applyAlignment="1">
      <alignment horizontal="right"/>
    </xf>
    <xf numFmtId="0" fontId="0" fillId="0" borderId="0" xfId="0" applyNumberFormat="1" applyFont="1"/>
    <xf numFmtId="2" fontId="0" fillId="0" borderId="0" xfId="1" applyNumberFormat="1" applyFont="1"/>
    <xf numFmtId="10" fontId="0" fillId="0" borderId="0" xfId="1" applyNumberFormat="1" applyFont="1" applyFill="1" applyBorder="1" applyAlignment="1">
      <alignment horizontal="right"/>
    </xf>
    <xf numFmtId="0" fontId="5" fillId="0" borderId="0" xfId="0" applyFont="1" applyFill="1" applyAlignment="1"/>
    <xf numFmtId="0" fontId="1" fillId="0" borderId="0" xfId="1" applyNumberFormat="1" applyFont="1"/>
    <xf numFmtId="10" fontId="0" fillId="0" borderId="0" xfId="0" applyNumberFormat="1" applyBorder="1"/>
    <xf numFmtId="164" fontId="0" fillId="0" borderId="0" xfId="0" applyNumberFormat="1" applyFill="1"/>
    <xf numFmtId="164" fontId="0" fillId="0" borderId="0" xfId="0" applyNumberFormat="1" applyFont="1" applyFill="1"/>
    <xf numFmtId="10" fontId="4" fillId="0" borderId="0" xfId="1" applyNumberFormat="1" applyFont="1" applyFill="1" applyAlignment="1">
      <alignment horizontal="right"/>
    </xf>
    <xf numFmtId="0" fontId="11" fillId="0" borderId="0" xfId="0" applyFont="1" applyFill="1" applyAlignment="1">
      <alignment wrapText="1"/>
    </xf>
    <xf numFmtId="164" fontId="4" fillId="0" borderId="0" xfId="1" applyNumberFormat="1" applyFont="1" applyFill="1" applyBorder="1" applyAlignment="1">
      <alignment horizontal="center"/>
    </xf>
    <xf numFmtId="0" fontId="1" fillId="0" borderId="0" xfId="0" applyNumberFormat="1" applyFont="1" applyFill="1"/>
    <xf numFmtId="0" fontId="1" fillId="0" borderId="0" xfId="1" applyNumberFormat="1" applyFont="1" applyFill="1" applyAlignment="1">
      <alignment horizontal="right"/>
    </xf>
    <xf numFmtId="0" fontId="3" fillId="0" borderId="0" xfId="6"/>
    <xf numFmtId="10" fontId="3" fillId="0" borderId="0" xfId="1" applyNumberFormat="1" applyFont="1"/>
    <xf numFmtId="2" fontId="0" fillId="0" borderId="13" xfId="4" applyNumberFormat="1" applyFont="1" applyBorder="1"/>
    <xf numFmtId="10" fontId="0" fillId="0" borderId="13" xfId="1" applyNumberFormat="1" applyFont="1" applyBorder="1"/>
    <xf numFmtId="0" fontId="14" fillId="0" borderId="0" xfId="4" applyFont="1"/>
    <xf numFmtId="0" fontId="23" fillId="0" borderId="0" xfId="4" applyFont="1" applyFill="1"/>
    <xf numFmtId="14" fontId="14" fillId="0" borderId="0" xfId="4" applyNumberFormat="1" applyFont="1"/>
    <xf numFmtId="0" fontId="14" fillId="0" borderId="0" xfId="4" applyFont="1" applyAlignment="1">
      <alignment horizontal="center" wrapText="1"/>
    </xf>
    <xf numFmtId="14" fontId="24" fillId="0" borderId="0" xfId="4" applyNumberFormat="1" applyFont="1" applyFill="1"/>
    <xf numFmtId="0" fontId="3" fillId="0" borderId="0" xfId="1" applyNumberFormat="1" applyFont="1"/>
    <xf numFmtId="0" fontId="1" fillId="0" borderId="0" xfId="1" applyNumberFormat="1" applyFont="1" applyBorder="1"/>
    <xf numFmtId="0" fontId="1" fillId="0" borderId="14" xfId="1" applyNumberFormat="1" applyFont="1" applyBorder="1"/>
    <xf numFmtId="10" fontId="1" fillId="0" borderId="1" xfId="1" applyNumberFormat="1" applyFont="1" applyBorder="1"/>
    <xf numFmtId="164" fontId="4" fillId="0" borderId="0" xfId="0" applyNumberFormat="1" applyFont="1" applyFill="1"/>
    <xf numFmtId="10" fontId="3" fillId="0" borderId="13" xfId="6" applyNumberFormat="1" applyBorder="1"/>
    <xf numFmtId="10" fontId="3" fillId="0" borderId="14" xfId="6" applyNumberFormat="1" applyBorder="1"/>
    <xf numFmtId="10" fontId="3" fillId="0" borderId="15" xfId="6" applyNumberFormat="1" applyBorder="1"/>
    <xf numFmtId="10" fontId="3" fillId="0" borderId="16" xfId="6" applyNumberFormat="1" applyBorder="1"/>
    <xf numFmtId="10" fontId="25" fillId="0" borderId="13" xfId="1" applyNumberFormat="1" applyFont="1" applyBorder="1"/>
    <xf numFmtId="10" fontId="25" fillId="0" borderId="14" xfId="6" applyNumberFormat="1" applyFont="1" applyBorder="1"/>
    <xf numFmtId="10" fontId="3" fillId="0" borderId="13" xfId="1" applyNumberFormat="1" applyFont="1" applyBorder="1"/>
    <xf numFmtId="10" fontId="3" fillId="0" borderId="15" xfId="1" applyNumberFormat="1" applyFont="1" applyBorder="1"/>
    <xf numFmtId="0" fontId="27" fillId="0" borderId="0" xfId="0" applyFont="1"/>
    <xf numFmtId="0" fontId="0" fillId="14" borderId="0" xfId="0" applyFill="1"/>
    <xf numFmtId="0" fontId="0" fillId="0" borderId="0" xfId="0" applyFill="1" applyBorder="1" applyAlignment="1"/>
    <xf numFmtId="0" fontId="0" fillId="0" borderId="27" xfId="0" applyFill="1" applyBorder="1" applyAlignment="1"/>
    <xf numFmtId="0" fontId="29" fillId="0" borderId="28" xfId="0" applyFont="1" applyFill="1" applyBorder="1" applyAlignment="1">
      <alignment horizontal="center"/>
    </xf>
    <xf numFmtId="0" fontId="29" fillId="0" borderId="28" xfId="0" applyFont="1" applyFill="1" applyBorder="1" applyAlignment="1">
      <alignment horizontal="centerContinuous"/>
    </xf>
    <xf numFmtId="0" fontId="26" fillId="0" borderId="2" xfId="0" applyFont="1" applyBorder="1"/>
    <xf numFmtId="0" fontId="0" fillId="0" borderId="26" xfId="0" applyBorder="1"/>
    <xf numFmtId="0" fontId="29" fillId="0" borderId="29" xfId="0" applyFont="1" applyFill="1" applyBorder="1" applyAlignment="1">
      <alignment horizontal="centerContinuous"/>
    </xf>
    <xf numFmtId="0" fontId="0" fillId="0" borderId="4" xfId="0" applyFill="1" applyBorder="1" applyAlignment="1"/>
    <xf numFmtId="0" fontId="0" fillId="0" borderId="8" xfId="0" applyFill="1" applyBorder="1" applyAlignment="1"/>
    <xf numFmtId="0" fontId="29" fillId="0" borderId="29" xfId="0" applyFont="1" applyFill="1" applyBorder="1" applyAlignment="1">
      <alignment horizontal="center"/>
    </xf>
    <xf numFmtId="0" fontId="29" fillId="0" borderId="30" xfId="0" applyFont="1" applyFill="1" applyBorder="1" applyAlignment="1">
      <alignment horizontal="center"/>
    </xf>
    <xf numFmtId="0" fontId="0" fillId="0" borderId="5" xfId="0" applyFill="1" applyBorder="1" applyAlignment="1"/>
    <xf numFmtId="0" fontId="0" fillId="0" borderId="9" xfId="0" applyFill="1" applyBorder="1" applyAlignment="1"/>
    <xf numFmtId="10" fontId="1" fillId="0" borderId="13" xfId="0" applyNumberFormat="1" applyFont="1" applyBorder="1"/>
    <xf numFmtId="10" fontId="0" fillId="0" borderId="13" xfId="0" applyNumberFormat="1" applyBorder="1"/>
    <xf numFmtId="10" fontId="0" fillId="0" borderId="15" xfId="1" applyNumberFormat="1" applyFont="1" applyBorder="1"/>
    <xf numFmtId="10" fontId="0" fillId="0" borderId="0" xfId="0" applyNumberFormat="1" applyFill="1"/>
    <xf numFmtId="0" fontId="4" fillId="0" borderId="0" xfId="1" applyNumberFormat="1" applyFont="1" applyBorder="1"/>
    <xf numFmtId="164" fontId="0" fillId="0" borderId="0" xfId="0" applyNumberFormat="1" applyFill="1" applyBorder="1"/>
    <xf numFmtId="164" fontId="0" fillId="0" borderId="1" xfId="0" applyNumberFormat="1" applyFill="1" applyBorder="1"/>
    <xf numFmtId="1" fontId="0" fillId="0" borderId="0" xfId="0" applyNumberFormat="1" applyFill="1" applyBorder="1"/>
    <xf numFmtId="1" fontId="0" fillId="0" borderId="1" xfId="0" applyNumberFormat="1" applyFill="1" applyBorder="1"/>
    <xf numFmtId="0" fontId="0" fillId="0" borderId="0" xfId="1" applyNumberFormat="1" applyFont="1" applyFill="1" applyBorder="1"/>
    <xf numFmtId="10" fontId="0" fillId="0" borderId="0" xfId="1" applyNumberFormat="1" applyFont="1" applyFill="1" applyBorder="1"/>
    <xf numFmtId="10" fontId="4" fillId="0" borderId="0" xfId="1" applyNumberFormat="1" applyFont="1" applyFill="1" applyBorder="1"/>
    <xf numFmtId="0" fontId="0" fillId="0" borderId="0" xfId="0" applyNumberFormat="1" applyFill="1" applyBorder="1"/>
    <xf numFmtId="167" fontId="0" fillId="0" borderId="0" xfId="1" applyNumberFormat="1" applyFont="1" applyFill="1" applyBorder="1"/>
    <xf numFmtId="166" fontId="0" fillId="0" borderId="0" xfId="1" applyNumberFormat="1" applyFont="1" applyFill="1" applyBorder="1"/>
    <xf numFmtId="10" fontId="0" fillId="0" borderId="1" xfId="1" applyNumberFormat="1" applyFont="1" applyFill="1" applyBorder="1"/>
    <xf numFmtId="167" fontId="0" fillId="0" borderId="1" xfId="1" applyNumberFormat="1" applyFont="1" applyFill="1" applyBorder="1"/>
    <xf numFmtId="0" fontId="0" fillId="0" borderId="1" xfId="1" applyNumberFormat="1" applyFont="1" applyFill="1" applyBorder="1"/>
    <xf numFmtId="0" fontId="4" fillId="0" borderId="0" xfId="0" applyFont="1" applyFill="1" applyBorder="1" applyAlignment="1">
      <alignment horizontal="center" vertical="center" wrapText="1"/>
    </xf>
    <xf numFmtId="1" fontId="4" fillId="0" borderId="0" xfId="1" applyNumberFormat="1" applyFont="1" applyFill="1" applyBorder="1" applyAlignment="1">
      <alignment horizontal="center"/>
    </xf>
    <xf numFmtId="164" fontId="4"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0" fontId="4" fillId="0" borderId="1" xfId="1" applyNumberFormat="1" applyFont="1" applyBorder="1"/>
    <xf numFmtId="0" fontId="0" fillId="0" borderId="1" xfId="0" applyNumberFormat="1" applyFill="1" applyBorder="1"/>
    <xf numFmtId="0" fontId="1" fillId="0" borderId="0" xfId="0" applyFont="1" applyBorder="1"/>
    <xf numFmtId="172" fontId="1" fillId="0" borderId="1" xfId="1" applyNumberFormat="1" applyFont="1" applyBorder="1"/>
    <xf numFmtId="0" fontId="1" fillId="0" borderId="0" xfId="0" applyFont="1" applyFill="1" applyBorder="1"/>
    <xf numFmtId="0" fontId="1" fillId="0" borderId="1" xfId="0" applyFont="1" applyFill="1" applyBorder="1"/>
    <xf numFmtId="166" fontId="1" fillId="0" borderId="1" xfId="1" applyNumberFormat="1" applyFont="1" applyBorder="1"/>
    <xf numFmtId="0" fontId="1" fillId="0" borderId="1" xfId="0" applyFont="1" applyFill="1" applyBorder="1" applyAlignment="1">
      <alignment horizontal="center" vertical="center" wrapText="1"/>
    </xf>
    <xf numFmtId="10" fontId="4" fillId="0" borderId="16" xfId="1" applyNumberFormat="1" applyFont="1" applyBorder="1"/>
    <xf numFmtId="10" fontId="4" fillId="0" borderId="13" xfId="1" applyNumberFormat="1" applyFont="1" applyBorder="1"/>
    <xf numFmtId="10" fontId="4" fillId="0" borderId="15" xfId="1" applyNumberFormat="1" applyFont="1" applyBorder="1"/>
    <xf numFmtId="0" fontId="4" fillId="0" borderId="0" xfId="0" applyNumberFormat="1" applyFont="1" applyFill="1" applyBorder="1"/>
    <xf numFmtId="10" fontId="4" fillId="0" borderId="0" xfId="0" applyNumberFormat="1" applyFont="1" applyFill="1"/>
    <xf numFmtId="10" fontId="6" fillId="0" borderId="0" xfId="1" applyNumberFormat="1" applyFont="1" applyBorder="1"/>
    <xf numFmtId="168" fontId="4" fillId="0" borderId="0" xfId="1" applyNumberFormat="1" applyFont="1" applyBorder="1"/>
    <xf numFmtId="0" fontId="0" fillId="10" borderId="1" xfId="0" applyFill="1" applyBorder="1"/>
    <xf numFmtId="10" fontId="4" fillId="0" borderId="14" xfId="1" applyNumberFormat="1" applyFont="1" applyBorder="1"/>
    <xf numFmtId="10" fontId="0" fillId="14" borderId="0" xfId="0" applyNumberFormat="1" applyFill="1"/>
    <xf numFmtId="0" fontId="0" fillId="16" borderId="0" xfId="0" applyFill="1"/>
    <xf numFmtId="10" fontId="0" fillId="16" borderId="0" xfId="1" applyNumberFormat="1" applyFont="1" applyFill="1"/>
    <xf numFmtId="10" fontId="0" fillId="2" borderId="32" xfId="0" applyNumberFormat="1" applyFill="1" applyBorder="1"/>
    <xf numFmtId="10" fontId="0" fillId="2" borderId="33" xfId="0" applyNumberFormat="1" applyFill="1" applyBorder="1"/>
    <xf numFmtId="0" fontId="7" fillId="2" borderId="31" xfId="0" applyFont="1" applyFill="1" applyBorder="1"/>
    <xf numFmtId="10" fontId="0" fillId="0" borderId="0" xfId="1" applyNumberFormat="1" applyFont="1" applyBorder="1" applyAlignment="1">
      <alignment wrapText="1"/>
    </xf>
    <xf numFmtId="10" fontId="0" fillId="0" borderId="1" xfId="0" applyNumberFormat="1" applyFont="1" applyBorder="1"/>
    <xf numFmtId="10" fontId="0" fillId="0" borderId="24" xfId="0" applyNumberFormat="1" applyBorder="1"/>
    <xf numFmtId="10" fontId="0" fillId="0" borderId="19" xfId="0" applyNumberFormat="1" applyBorder="1"/>
    <xf numFmtId="10" fontId="0" fillId="0" borderId="34" xfId="0" applyNumberFormat="1" applyBorder="1"/>
    <xf numFmtId="10" fontId="0" fillId="0" borderId="35" xfId="0" applyNumberFormat="1" applyBorder="1"/>
    <xf numFmtId="10" fontId="0" fillId="0" borderId="36" xfId="0" applyNumberFormat="1" applyBorder="1"/>
    <xf numFmtId="10" fontId="0" fillId="0" borderId="17" xfId="0" applyNumberFormat="1" applyBorder="1"/>
    <xf numFmtId="10" fontId="0" fillId="0" borderId="37" xfId="0" applyNumberFormat="1" applyBorder="1"/>
    <xf numFmtId="10" fontId="0" fillId="0" borderId="38" xfId="0" applyNumberFormat="1" applyBorder="1"/>
    <xf numFmtId="10" fontId="4" fillId="0" borderId="0" xfId="0" applyNumberFormat="1" applyFont="1"/>
    <xf numFmtId="10" fontId="1" fillId="0" borderId="1" xfId="0" applyNumberFormat="1" applyFont="1" applyBorder="1"/>
    <xf numFmtId="10" fontId="1" fillId="0" borderId="0" xfId="0" applyNumberFormat="1" applyFont="1" applyBorder="1"/>
    <xf numFmtId="10" fontId="4" fillId="0" borderId="0" xfId="0" applyNumberFormat="1" applyFont="1" applyBorder="1"/>
    <xf numFmtId="10" fontId="0" fillId="0" borderId="0" xfId="0" applyNumberFormat="1" applyFill="1" applyBorder="1"/>
    <xf numFmtId="10" fontId="0" fillId="0" borderId="39" xfId="0" applyNumberFormat="1" applyBorder="1"/>
    <xf numFmtId="10" fontId="0" fillId="0" borderId="18" xfId="0" applyNumberFormat="1" applyBorder="1"/>
    <xf numFmtId="10" fontId="0" fillId="0" borderId="5" xfId="1" applyNumberFormat="1" applyFont="1" applyBorder="1"/>
    <xf numFmtId="10" fontId="0" fillId="0" borderId="27" xfId="1" applyNumberFormat="1" applyFont="1" applyBorder="1"/>
    <xf numFmtId="10" fontId="0" fillId="0" borderId="9" xfId="1" applyNumberFormat="1" applyFont="1" applyBorder="1"/>
    <xf numFmtId="172" fontId="4" fillId="0" borderId="0" xfId="1" applyNumberFormat="1" applyFont="1" applyBorder="1"/>
    <xf numFmtId="0" fontId="5" fillId="0" borderId="0" xfId="0" applyFont="1" applyFill="1" applyBorder="1" applyAlignment="1"/>
    <xf numFmtId="0" fontId="5" fillId="0" borderId="0" xfId="0" applyFont="1" applyFill="1" applyBorder="1" applyAlignment="1">
      <alignment horizontal="center" vertical="center" wrapText="1"/>
    </xf>
    <xf numFmtId="166" fontId="0" fillId="0" borderId="19" xfId="0" applyNumberFormat="1" applyBorder="1"/>
    <xf numFmtId="0" fontId="0" fillId="0" borderId="24" xfId="0" applyNumberFormat="1" applyBorder="1" applyAlignment="1">
      <alignment horizontal="center" vertical="center"/>
    </xf>
    <xf numFmtId="0" fontId="0" fillId="0" borderId="24" xfId="0" applyNumberFormat="1" applyBorder="1" applyAlignment="1">
      <alignment horizontal="center"/>
    </xf>
    <xf numFmtId="0" fontId="0" fillId="0" borderId="48" xfId="0" applyFill="1" applyBorder="1"/>
    <xf numFmtId="0" fontId="0" fillId="0" borderId="49" xfId="0" applyFill="1" applyBorder="1"/>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10" fontId="0" fillId="0" borderId="4" xfId="1" applyNumberFormat="1" applyFont="1" applyFill="1" applyBorder="1"/>
    <xf numFmtId="10" fontId="0" fillId="0" borderId="8" xfId="1" applyNumberFormat="1" applyFont="1" applyFill="1" applyBorder="1"/>
    <xf numFmtId="10" fontId="0" fillId="0" borderId="27" xfId="1" applyNumberFormat="1" applyFont="1" applyFill="1" applyBorder="1"/>
    <xf numFmtId="10" fontId="0" fillId="0" borderId="5" xfId="1" applyNumberFormat="1" applyFont="1" applyFill="1" applyBorder="1"/>
    <xf numFmtId="10" fontId="0" fillId="0" borderId="9" xfId="1" applyNumberFormat="1" applyFont="1" applyFill="1" applyBorder="1"/>
    <xf numFmtId="0" fontId="0" fillId="0" borderId="0" xfId="1" applyNumberFormat="1" applyFont="1" applyFill="1" applyBorder="1" applyAlignment="1">
      <alignment horizontal="center" vertical="center"/>
    </xf>
    <xf numFmtId="0" fontId="0" fillId="0" borderId="27" xfId="1" applyNumberFormat="1" applyFont="1" applyFill="1" applyBorder="1" applyAlignment="1">
      <alignment horizontal="center" vertical="center"/>
    </xf>
    <xf numFmtId="0" fontId="0" fillId="0" borderId="0" xfId="0" applyNumberFormat="1" applyBorder="1" applyAlignment="1">
      <alignment horizontal="center" vertical="center"/>
    </xf>
    <xf numFmtId="10" fontId="0" fillId="0" borderId="5" xfId="0" applyNumberFormat="1" applyBorder="1"/>
    <xf numFmtId="168" fontId="0" fillId="0" borderId="40" xfId="1" applyNumberFormat="1" applyFont="1" applyBorder="1" applyAlignment="1"/>
    <xf numFmtId="168" fontId="0" fillId="0" borderId="41" xfId="1" applyNumberFormat="1" applyFont="1" applyBorder="1" applyAlignment="1"/>
    <xf numFmtId="10" fontId="0" fillId="0" borderId="24" xfId="0" applyNumberFormat="1" applyBorder="1" applyAlignment="1">
      <alignment horizontal="right"/>
    </xf>
    <xf numFmtId="10" fontId="0" fillId="0" borderId="1" xfId="1" applyNumberFormat="1" applyFont="1" applyFill="1" applyBorder="1" applyAlignment="1">
      <alignment horizontal="right"/>
    </xf>
    <xf numFmtId="164" fontId="0" fillId="0" borderId="1" xfId="0" applyNumberFormat="1" applyFont="1" applyFill="1" applyBorder="1"/>
    <xf numFmtId="10" fontId="0" fillId="0" borderId="24" xfId="0" applyNumberFormat="1" applyFill="1" applyBorder="1"/>
    <xf numFmtId="10" fontId="0" fillId="0" borderId="38" xfId="0" applyNumberFormat="1" applyFill="1" applyBorder="1"/>
    <xf numFmtId="0" fontId="0" fillId="0" borderId="0" xfId="0" applyFill="1" applyBorder="1" applyAlignment="1">
      <alignment horizontal="center" vertical="center"/>
    </xf>
    <xf numFmtId="0" fontId="3" fillId="15" borderId="27" xfId="6" applyFill="1" applyBorder="1"/>
    <xf numFmtId="10" fontId="3" fillId="15" borderId="40" xfId="1" applyNumberFormat="1" applyFont="1" applyFill="1" applyBorder="1"/>
    <xf numFmtId="10" fontId="3" fillId="15" borderId="41" xfId="1" applyNumberFormat="1" applyFont="1" applyFill="1" applyBorder="1"/>
    <xf numFmtId="10" fontId="0" fillId="0" borderId="19" xfId="1" applyNumberFormat="1" applyFont="1" applyBorder="1" applyAlignment="1">
      <alignment horizontal="right"/>
    </xf>
    <xf numFmtId="10" fontId="0" fillId="0" borderId="37" xfId="1" applyNumberFormat="1" applyFont="1" applyBorder="1" applyAlignment="1">
      <alignment horizontal="right"/>
    </xf>
    <xf numFmtId="10" fontId="0" fillId="0" borderId="24" xfId="1" applyNumberFormat="1" applyFont="1" applyBorder="1" applyAlignment="1">
      <alignment horizontal="right"/>
    </xf>
    <xf numFmtId="10" fontId="0" fillId="0" borderId="38" xfId="1" applyNumberFormat="1" applyFont="1" applyBorder="1" applyAlignment="1">
      <alignment horizontal="right"/>
    </xf>
    <xf numFmtId="10" fontId="0" fillId="0" borderId="40" xfId="1" applyNumberFormat="1" applyFont="1" applyBorder="1" applyAlignment="1">
      <alignment horizontal="right"/>
    </xf>
    <xf numFmtId="10" fontId="0" fillId="0" borderId="41" xfId="1" applyNumberFormat="1" applyFont="1" applyBorder="1" applyAlignment="1">
      <alignment horizontal="right"/>
    </xf>
    <xf numFmtId="10" fontId="0" fillId="0" borderId="40" xfId="0" applyNumberFormat="1" applyFill="1" applyBorder="1"/>
    <xf numFmtId="10" fontId="0" fillId="0" borderId="41" xfId="0" applyNumberFormat="1" applyFill="1" applyBorder="1"/>
    <xf numFmtId="0" fontId="0" fillId="0" borderId="0" xfId="0" applyFill="1" applyBorder="1" applyAlignment="1">
      <alignment horizontal="left"/>
    </xf>
    <xf numFmtId="10" fontId="0" fillId="0" borderId="50" xfId="0" applyNumberFormat="1" applyBorder="1"/>
    <xf numFmtId="10" fontId="0" fillId="0" borderId="51" xfId="0" applyNumberFormat="1" applyBorder="1"/>
    <xf numFmtId="10" fontId="0" fillId="0" borderId="19" xfId="0" applyNumberFormat="1" applyFill="1" applyBorder="1"/>
    <xf numFmtId="10" fontId="0" fillId="0" borderId="23" xfId="0" applyNumberFormat="1" applyBorder="1"/>
    <xf numFmtId="10" fontId="0" fillId="0" borderId="37" xfId="0" applyNumberFormat="1" applyFill="1" applyBorder="1"/>
    <xf numFmtId="170" fontId="0" fillId="0" borderId="40" xfId="1" applyNumberFormat="1" applyFont="1" applyBorder="1" applyAlignment="1">
      <alignment horizontal="right"/>
    </xf>
    <xf numFmtId="170" fontId="0" fillId="0" borderId="41" xfId="1" applyNumberFormat="1" applyFont="1" applyBorder="1" applyAlignment="1">
      <alignment horizontal="right"/>
    </xf>
    <xf numFmtId="164" fontId="0" fillId="0" borderId="0" xfId="1" applyNumberFormat="1" applyFont="1" applyBorder="1"/>
    <xf numFmtId="10" fontId="3" fillId="0" borderId="0" xfId="6" applyNumberFormat="1" applyBorder="1"/>
    <xf numFmtId="10" fontId="3" fillId="0" borderId="1" xfId="6" applyNumberFormat="1" applyBorder="1"/>
    <xf numFmtId="10" fontId="3" fillId="15" borderId="27" xfId="1" applyNumberFormat="1" applyFont="1" applyFill="1" applyBorder="1"/>
    <xf numFmtId="10" fontId="25" fillId="0" borderId="0" xfId="6" applyNumberFormat="1" applyFont="1" applyBorder="1"/>
    <xf numFmtId="0" fontId="3" fillId="14" borderId="0" xfId="6" applyFill="1" applyBorder="1"/>
    <xf numFmtId="10" fontId="3" fillId="15" borderId="0" xfId="1" applyNumberFormat="1" applyFont="1" applyFill="1" applyBorder="1"/>
    <xf numFmtId="170" fontId="0" fillId="0" borderId="0" xfId="0" applyNumberFormat="1" applyFill="1" applyBorder="1"/>
    <xf numFmtId="2" fontId="0" fillId="0" borderId="0" xfId="0" applyNumberFormat="1" applyFill="1" applyBorder="1"/>
    <xf numFmtId="168" fontId="0" fillId="0" borderId="5" xfId="1" applyNumberFormat="1" applyFont="1" applyBorder="1"/>
    <xf numFmtId="168" fontId="0" fillId="0" borderId="9" xfId="1" applyNumberFormat="1" applyFont="1" applyBorder="1"/>
    <xf numFmtId="168" fontId="0" fillId="0" borderId="0" xfId="1" applyNumberFormat="1" applyFont="1" applyBorder="1" applyAlignment="1"/>
    <xf numFmtId="0" fontId="0" fillId="0" borderId="35" xfId="0" applyBorder="1"/>
    <xf numFmtId="10" fontId="0" fillId="0" borderId="36" xfId="0" applyNumberFormat="1" applyFill="1" applyBorder="1"/>
    <xf numFmtId="168" fontId="0" fillId="0" borderId="0" xfId="0" applyNumberFormat="1"/>
    <xf numFmtId="10" fontId="0" fillId="0" borderId="9" xfId="0" applyNumberFormat="1" applyBorder="1"/>
    <xf numFmtId="10" fontId="0" fillId="0" borderId="45" xfId="0" applyNumberFormat="1" applyBorder="1"/>
    <xf numFmtId="10" fontId="0" fillId="0" borderId="46" xfId="0" applyNumberFormat="1" applyBorder="1"/>
    <xf numFmtId="10" fontId="0" fillId="0" borderId="24" xfId="0" applyNumberFormat="1" applyBorder="1" applyAlignment="1">
      <alignment horizontal="center"/>
    </xf>
    <xf numFmtId="166" fontId="4" fillId="0" borderId="19" xfId="0" applyNumberFormat="1" applyFont="1" applyBorder="1" applyAlignment="1">
      <alignment horizontal="center"/>
    </xf>
    <xf numFmtId="10" fontId="0" fillId="0" borderId="40" xfId="0" applyNumberFormat="1" applyBorder="1"/>
    <xf numFmtId="10" fontId="0" fillId="0" borderId="41" xfId="0" applyNumberFormat="1" applyBorder="1"/>
    <xf numFmtId="166" fontId="0" fillId="0" borderId="35" xfId="0" applyNumberFormat="1" applyBorder="1"/>
    <xf numFmtId="166" fontId="4" fillId="0" borderId="35" xfId="0" applyNumberFormat="1" applyFont="1" applyBorder="1" applyAlignment="1">
      <alignment horizontal="center"/>
    </xf>
    <xf numFmtId="166" fontId="0" fillId="0" borderId="36" xfId="0" applyNumberFormat="1" applyBorder="1"/>
    <xf numFmtId="10" fontId="0" fillId="0" borderId="54" xfId="0" applyNumberFormat="1" applyBorder="1"/>
    <xf numFmtId="0" fontId="0" fillId="0" borderId="35" xfId="0" applyFill="1" applyBorder="1" applyAlignment="1">
      <alignment horizontal="center"/>
    </xf>
    <xf numFmtId="0" fontId="10" fillId="5" borderId="0" xfId="0" applyFont="1" applyFill="1" applyBorder="1" applyAlignment="1">
      <alignment horizontal="center" wrapText="1"/>
    </xf>
    <xf numFmtId="0" fontId="0" fillId="0" borderId="0" xfId="0" applyFill="1" applyBorder="1" applyAlignment="1">
      <alignment horizontal="center"/>
    </xf>
    <xf numFmtId="0" fontId="5" fillId="7" borderId="0" xfId="0" applyFont="1" applyFill="1" applyBorder="1" applyAlignment="1">
      <alignment horizontal="center" vertical="center"/>
    </xf>
    <xf numFmtId="165" fontId="4" fillId="0" borderId="0" xfId="1" applyNumberFormat="1" applyFont="1" applyFill="1" applyBorder="1" applyAlignment="1">
      <alignment horizontal="center"/>
    </xf>
    <xf numFmtId="165" fontId="0" fillId="0" borderId="0" xfId="0" applyNumberFormat="1" applyFont="1" applyBorder="1"/>
    <xf numFmtId="164" fontId="4" fillId="0" borderId="0" xfId="0" applyNumberFormat="1" applyFont="1" applyBorder="1"/>
    <xf numFmtId="0" fontId="8" fillId="0" borderId="0" xfId="0" applyFont="1" applyBorder="1"/>
    <xf numFmtId="0" fontId="9" fillId="0" borderId="0" xfId="0" applyFont="1" applyBorder="1"/>
    <xf numFmtId="9" fontId="0" fillId="0" borderId="0" xfId="1" applyFont="1" applyBorder="1"/>
    <xf numFmtId="10" fontId="1" fillId="0" borderId="0" xfId="1" applyNumberFormat="1" applyFont="1" applyFill="1" applyBorder="1"/>
    <xf numFmtId="0" fontId="7" fillId="0" borderId="0" xfId="0" applyFont="1" applyBorder="1"/>
    <xf numFmtId="165" fontId="0" fillId="0" borderId="0" xfId="1" applyNumberFormat="1" applyFont="1" applyFill="1" applyBorder="1" applyAlignment="1">
      <alignment horizontal="center"/>
    </xf>
    <xf numFmtId="0" fontId="21" fillId="7" borderId="0" xfId="0" applyFont="1" applyFill="1" applyBorder="1"/>
    <xf numFmtId="0" fontId="5" fillId="7" borderId="0" xfId="0" applyFont="1" applyFill="1" applyBorder="1"/>
    <xf numFmtId="0" fontId="0" fillId="10" borderId="0" xfId="0" applyFill="1" applyBorder="1"/>
    <xf numFmtId="0" fontId="0" fillId="10" borderId="0" xfId="0" applyFill="1" applyBorder="1" applyAlignment="1">
      <alignment horizontal="center" vertical="center"/>
    </xf>
    <xf numFmtId="0" fontId="21" fillId="7" borderId="0" xfId="0" applyFont="1" applyFill="1" applyBorder="1" applyAlignment="1">
      <alignment horizontal="center" vertical="center" wrapText="1"/>
    </xf>
    <xf numFmtId="0" fontId="21" fillId="7" borderId="0" xfId="0" applyFont="1" applyFill="1" applyBorder="1" applyAlignment="1">
      <alignment horizontal="center" vertical="center"/>
    </xf>
    <xf numFmtId="0" fontId="5" fillId="7" borderId="0" xfId="0" applyFont="1" applyFill="1" applyBorder="1" applyAlignment="1">
      <alignment horizontal="center" wrapText="1"/>
    </xf>
    <xf numFmtId="0" fontId="5" fillId="7" borderId="0" xfId="0" applyFont="1" applyFill="1" applyBorder="1" applyAlignment="1">
      <alignment horizontal="center" vertical="center" wrapText="1"/>
    </xf>
    <xf numFmtId="0" fontId="5" fillId="7" borderId="0" xfId="0" applyFont="1" applyFill="1" applyBorder="1" applyAlignment="1">
      <alignment horizontal="center"/>
    </xf>
    <xf numFmtId="10" fontId="5" fillId="7" borderId="0" xfId="1" applyNumberFormat="1" applyFont="1" applyFill="1" applyBorder="1" applyAlignment="1">
      <alignment horizontal="center" vertical="center"/>
    </xf>
    <xf numFmtId="0" fontId="5" fillId="7" borderId="0" xfId="1" applyNumberFormat="1" applyFont="1" applyFill="1" applyBorder="1" applyAlignment="1">
      <alignment horizontal="center" vertical="center" wrapText="1"/>
    </xf>
    <xf numFmtId="0" fontId="21" fillId="7" borderId="0" xfId="0" applyFont="1" applyFill="1" applyBorder="1" applyAlignment="1">
      <alignment horizontal="center"/>
    </xf>
    <xf numFmtId="0" fontId="5" fillId="7" borderId="0" xfId="1" applyNumberFormat="1" applyFont="1" applyFill="1" applyBorder="1"/>
    <xf numFmtId="0" fontId="5" fillId="7" borderId="0" xfId="0" applyFont="1" applyFill="1" applyAlignment="1">
      <alignment horizontal="center" vertical="center" wrapText="1"/>
    </xf>
    <xf numFmtId="0" fontId="5" fillId="7" borderId="13" xfId="0" applyFont="1" applyFill="1" applyBorder="1" applyAlignment="1">
      <alignment horizontal="center" vertical="center"/>
    </xf>
    <xf numFmtId="0" fontId="0" fillId="7" borderId="0" xfId="0" applyFill="1"/>
    <xf numFmtId="0" fontId="21" fillId="7" borderId="0" xfId="0" applyFont="1" applyFill="1"/>
    <xf numFmtId="0" fontId="5" fillId="7" borderId="0" xfId="0" applyFont="1" applyFill="1"/>
    <xf numFmtId="170" fontId="4" fillId="0" borderId="0" xfId="0" applyNumberFormat="1" applyFont="1" applyBorder="1"/>
    <xf numFmtId="0" fontId="4" fillId="0" borderId="0" xfId="0" applyNumberFormat="1" applyFont="1" applyBorder="1"/>
    <xf numFmtId="0" fontId="4" fillId="0" borderId="0" xfId="0" applyFont="1" applyFill="1" applyBorder="1" applyAlignment="1">
      <alignment horizontal="center"/>
    </xf>
    <xf numFmtId="0" fontId="21" fillId="7" borderId="0" xfId="0" applyFont="1" applyFill="1" applyBorder="1" applyAlignment="1">
      <alignment horizontal="center" vertical="top" wrapText="1"/>
    </xf>
    <xf numFmtId="0" fontId="5" fillId="7" borderId="0" xfId="0" applyFont="1" applyFill="1" applyBorder="1" applyAlignment="1">
      <alignment horizontal="center" vertical="top" wrapText="1"/>
    </xf>
    <xf numFmtId="0" fontId="15" fillId="0" borderId="0" xfId="0" applyFont="1" applyBorder="1" applyAlignment="1"/>
    <xf numFmtId="0" fontId="14" fillId="0" borderId="0" xfId="0" applyFont="1" applyBorder="1"/>
    <xf numFmtId="165" fontId="5" fillId="7" borderId="0" xfId="1" applyNumberFormat="1" applyFont="1" applyFill="1" applyBorder="1" applyAlignment="1">
      <alignment horizontal="center" vertical="center" wrapText="1"/>
    </xf>
    <xf numFmtId="0" fontId="5" fillId="7" borderId="20" xfId="0" applyFont="1" applyFill="1" applyBorder="1"/>
    <xf numFmtId="167" fontId="0" fillId="0" borderId="0" xfId="1" applyNumberFormat="1" applyFont="1" applyBorder="1"/>
    <xf numFmtId="169" fontId="0" fillId="0" borderId="0" xfId="1" applyNumberFormat="1" applyFont="1" applyBorder="1"/>
    <xf numFmtId="166" fontId="0" fillId="0" borderId="0" xfId="0" applyNumberFormat="1" applyBorder="1"/>
    <xf numFmtId="167" fontId="1" fillId="0" borderId="0" xfId="1" applyNumberFormat="1" applyFont="1" applyBorder="1"/>
    <xf numFmtId="167" fontId="0" fillId="0" borderId="0" xfId="1" applyNumberFormat="1" applyFont="1" applyBorder="1" applyAlignment="1">
      <alignment horizontal="center"/>
    </xf>
    <xf numFmtId="169" fontId="6" fillId="0" borderId="0" xfId="1" applyNumberFormat="1" applyFont="1" applyBorder="1"/>
    <xf numFmtId="0" fontId="0" fillId="0" borderId="1" xfId="0" applyBorder="1" applyAlignment="1">
      <alignment horizontal="center"/>
    </xf>
    <xf numFmtId="167" fontId="0" fillId="0" borderId="1" xfId="1" applyNumberFormat="1" applyFont="1" applyBorder="1" applyAlignment="1">
      <alignment horizontal="center"/>
    </xf>
    <xf numFmtId="169" fontId="0" fillId="0" borderId="1" xfId="1" applyNumberFormat="1" applyFont="1" applyBorder="1"/>
    <xf numFmtId="166" fontId="0" fillId="0" borderId="1" xfId="0" applyNumberFormat="1" applyBorder="1"/>
    <xf numFmtId="0" fontId="0" fillId="10" borderId="15" xfId="0" applyFill="1" applyBorder="1"/>
    <xf numFmtId="0" fontId="0" fillId="10" borderId="1" xfId="0" applyFill="1" applyBorder="1" applyAlignment="1">
      <alignment horizontal="center"/>
    </xf>
    <xf numFmtId="164" fontId="0" fillId="10" borderId="15" xfId="0" applyNumberFormat="1" applyFill="1" applyBorder="1"/>
    <xf numFmtId="0" fontId="0" fillId="10" borderId="16" xfId="0" applyFill="1" applyBorder="1"/>
    <xf numFmtId="0" fontId="0" fillId="10" borderId="15" xfId="0" applyFont="1" applyFill="1" applyBorder="1"/>
    <xf numFmtId="170" fontId="0" fillId="10" borderId="15" xfId="0" applyNumberFormat="1" applyFill="1" applyBorder="1"/>
    <xf numFmtId="0" fontId="4" fillId="10" borderId="16" xfId="0" applyFont="1" applyFill="1" applyBorder="1"/>
    <xf numFmtId="0" fontId="0" fillId="10" borderId="1" xfId="0" applyFill="1" applyBorder="1" applyAlignment="1">
      <alignment horizontal="center" vertical="center"/>
    </xf>
    <xf numFmtId="0" fontId="4" fillId="10" borderId="15" xfId="0" applyFont="1" applyFill="1" applyBorder="1"/>
    <xf numFmtId="14" fontId="5" fillId="7" borderId="0" xfId="0" applyNumberFormat="1" applyFont="1" applyFill="1" applyAlignment="1">
      <alignment horizontal="center" vertical="center" wrapText="1"/>
    </xf>
    <xf numFmtId="14" fontId="5" fillId="7" borderId="0" xfId="0" applyNumberFormat="1" applyFont="1" applyFill="1"/>
    <xf numFmtId="0" fontId="34" fillId="0" borderId="0" xfId="0" applyFont="1"/>
    <xf numFmtId="0" fontId="11" fillId="2" borderId="0" xfId="0" applyFont="1" applyFill="1" applyBorder="1" applyAlignment="1">
      <alignment horizontal="center"/>
    </xf>
    <xf numFmtId="0" fontId="11" fillId="2" borderId="0" xfId="0" applyFont="1" applyFill="1" applyBorder="1" applyAlignment="1">
      <alignment horizontal="center" wrapText="1"/>
    </xf>
    <xf numFmtId="0" fontId="10" fillId="11" borderId="0" xfId="0" applyFont="1" applyFill="1" applyBorder="1" applyAlignment="1">
      <alignment horizontal="center"/>
    </xf>
    <xf numFmtId="0" fontId="4" fillId="11" borderId="0" xfId="0" applyFont="1" applyFill="1" applyBorder="1"/>
    <xf numFmtId="0" fontId="10" fillId="5" borderId="0" xfId="0" applyFont="1" applyFill="1" applyBorder="1"/>
    <xf numFmtId="0" fontId="4" fillId="0" borderId="0" xfId="0" applyFont="1" applyBorder="1" applyAlignment="1">
      <alignment horizontal="center" vertical="center"/>
    </xf>
    <xf numFmtId="0" fontId="1" fillId="0" borderId="0" xfId="0" applyFont="1" applyFill="1" applyBorder="1" applyAlignment="1">
      <alignment horizontal="center" vertical="center" wrapText="1"/>
    </xf>
    <xf numFmtId="1" fontId="4" fillId="0" borderId="0" xfId="1" applyNumberFormat="1" applyFont="1" applyBorder="1"/>
    <xf numFmtId="168" fontId="6" fillId="0" borderId="0" xfId="1" applyNumberFormat="1" applyFont="1" applyFill="1" applyBorder="1" applyAlignment="1">
      <alignment horizontal="center"/>
    </xf>
    <xf numFmtId="10" fontId="4" fillId="0" borderId="0" xfId="0" applyNumberFormat="1" applyFont="1" applyFill="1" applyBorder="1"/>
    <xf numFmtId="168" fontId="4" fillId="0" borderId="0" xfId="0" applyNumberFormat="1" applyFont="1" applyBorder="1"/>
    <xf numFmtId="172" fontId="1" fillId="0" borderId="0" xfId="1" applyNumberFormat="1" applyFont="1" applyFill="1" applyBorder="1"/>
    <xf numFmtId="166" fontId="1" fillId="0" borderId="0" xfId="1" applyNumberFormat="1" applyFont="1" applyBorder="1"/>
    <xf numFmtId="164" fontId="4" fillId="0" borderId="0" xfId="1" applyNumberFormat="1" applyFont="1" applyBorder="1"/>
    <xf numFmtId="14" fontId="1" fillId="0" borderId="0" xfId="0" applyNumberFormat="1" applyFont="1" applyBorder="1"/>
    <xf numFmtId="170" fontId="4" fillId="0" borderId="0" xfId="1" applyNumberFormat="1" applyFont="1" applyBorder="1"/>
    <xf numFmtId="177" fontId="4" fillId="0" borderId="0" xfId="0" applyNumberFormat="1" applyFont="1" applyBorder="1"/>
    <xf numFmtId="179" fontId="4" fillId="0" borderId="0" xfId="0" applyNumberFormat="1" applyFont="1" applyBorder="1"/>
    <xf numFmtId="178" fontId="4" fillId="0" borderId="0" xfId="0" applyNumberFormat="1" applyFont="1" applyFill="1" applyBorder="1"/>
    <xf numFmtId="176" fontId="4" fillId="0" borderId="0" xfId="0" applyNumberFormat="1" applyFont="1" applyBorder="1"/>
    <xf numFmtId="0" fontId="10" fillId="0" borderId="0" xfId="0" applyFont="1" applyBorder="1"/>
    <xf numFmtId="1" fontId="4" fillId="0" borderId="1" xfId="1" applyNumberFormat="1" applyFont="1" applyBorder="1"/>
    <xf numFmtId="10" fontId="6" fillId="0" borderId="1" xfId="1" applyNumberFormat="1" applyFont="1" applyBorder="1"/>
    <xf numFmtId="0" fontId="5" fillId="7" borderId="1" xfId="0" applyFont="1" applyFill="1" applyBorder="1"/>
    <xf numFmtId="175" fontId="4" fillId="0" borderId="0" xfId="1" applyNumberFormat="1" applyFont="1" applyBorder="1"/>
    <xf numFmtId="170" fontId="4" fillId="0" borderId="1" xfId="1" applyNumberFormat="1" applyFont="1" applyBorder="1"/>
    <xf numFmtId="0" fontId="5" fillId="7" borderId="47" xfId="0" applyFont="1" applyFill="1" applyBorder="1" applyAlignment="1">
      <alignment horizontal="center" vertical="center" wrapText="1"/>
    </xf>
    <xf numFmtId="10" fontId="4" fillId="0" borderId="48" xfId="1" applyNumberFormat="1" applyFont="1" applyBorder="1"/>
    <xf numFmtId="10" fontId="4" fillId="0" borderId="55" xfId="1" applyNumberFormat="1" applyFont="1" applyBorder="1"/>
    <xf numFmtId="10" fontId="4" fillId="0" borderId="49" xfId="1" applyNumberFormat="1" applyFont="1" applyBorder="1"/>
    <xf numFmtId="0" fontId="4" fillId="5" borderId="0" xfId="0" applyFont="1" applyFill="1" applyBorder="1" applyAlignment="1">
      <alignment wrapText="1"/>
    </xf>
    <xf numFmtId="168" fontId="1" fillId="0" borderId="0" xfId="1" applyNumberFormat="1" applyFont="1" applyFill="1" applyBorder="1" applyAlignment="1">
      <alignment horizontal="right"/>
    </xf>
    <xf numFmtId="168" fontId="4" fillId="0" borderId="0" xfId="1" applyNumberFormat="1" applyFont="1" applyFill="1" applyBorder="1" applyAlignment="1">
      <alignment horizontal="right"/>
    </xf>
    <xf numFmtId="168" fontId="1" fillId="0" borderId="1" xfId="1" applyNumberFormat="1" applyFont="1" applyFill="1" applyBorder="1" applyAlignment="1">
      <alignment horizontal="right"/>
    </xf>
    <xf numFmtId="10" fontId="4" fillId="0" borderId="1" xfId="1" applyNumberFormat="1" applyFont="1" applyFill="1" applyBorder="1" applyAlignment="1">
      <alignment horizontal="center"/>
    </xf>
    <xf numFmtId="164" fontId="4" fillId="0" borderId="48" xfId="1" applyNumberFormat="1" applyFont="1" applyFill="1" applyBorder="1" applyAlignment="1">
      <alignment horizontal="center"/>
    </xf>
    <xf numFmtId="10" fontId="4" fillId="0" borderId="48" xfId="1" applyNumberFormat="1" applyFont="1" applyFill="1" applyBorder="1" applyAlignment="1">
      <alignment horizontal="center"/>
    </xf>
    <xf numFmtId="10" fontId="4" fillId="0" borderId="55" xfId="1" applyNumberFormat="1" applyFont="1" applyFill="1" applyBorder="1" applyAlignment="1">
      <alignment horizontal="center"/>
    </xf>
    <xf numFmtId="10" fontId="4" fillId="0" borderId="49" xfId="1" applyNumberFormat="1" applyFont="1" applyFill="1" applyBorder="1" applyAlignment="1">
      <alignment horizontal="center"/>
    </xf>
    <xf numFmtId="0" fontId="5" fillId="7" borderId="0" xfId="1" applyNumberFormat="1" applyFont="1" applyFill="1" applyBorder="1" applyAlignment="1">
      <alignment horizontal="center"/>
    </xf>
    <xf numFmtId="171" fontId="5" fillId="7" borderId="0" xfId="1" applyNumberFormat="1" applyFont="1" applyFill="1" applyBorder="1" applyAlignment="1">
      <alignment horizontal="center"/>
    </xf>
    <xf numFmtId="170" fontId="5" fillId="7" borderId="0" xfId="0" applyNumberFormat="1" applyFont="1" applyFill="1" applyBorder="1"/>
    <xf numFmtId="170" fontId="5" fillId="7" borderId="0" xfId="1" applyNumberFormat="1" applyFont="1" applyFill="1" applyBorder="1" applyAlignment="1">
      <alignment horizontal="center"/>
    </xf>
    <xf numFmtId="0" fontId="4" fillId="0" borderId="48" xfId="0" applyFont="1" applyBorder="1"/>
    <xf numFmtId="0" fontId="4" fillId="0" borderId="48" xfId="1" applyNumberFormat="1" applyFont="1" applyBorder="1"/>
    <xf numFmtId="164" fontId="4" fillId="0" borderId="1" xfId="0" applyNumberFormat="1" applyFont="1" applyBorder="1"/>
    <xf numFmtId="14" fontId="5" fillId="7" borderId="0" xfId="0" applyNumberFormat="1" applyFont="1" applyFill="1" applyBorder="1"/>
    <xf numFmtId="0" fontId="5" fillId="7" borderId="0" xfId="0" applyNumberFormat="1" applyFont="1" applyFill="1" applyBorder="1"/>
    <xf numFmtId="0" fontId="1" fillId="0" borderId="48" xfId="0" applyFont="1" applyBorder="1"/>
    <xf numFmtId="168" fontId="1" fillId="0" borderId="48" xfId="1" applyNumberFormat="1" applyFont="1" applyBorder="1"/>
    <xf numFmtId="168" fontId="1" fillId="0" borderId="55" xfId="1" applyNumberFormat="1" applyFont="1" applyBorder="1"/>
    <xf numFmtId="168" fontId="4" fillId="0" borderId="48" xfId="1" applyNumberFormat="1" applyFont="1" applyBorder="1"/>
    <xf numFmtId="171" fontId="5" fillId="7" borderId="0" xfId="1" applyNumberFormat="1" applyFont="1" applyFill="1" applyBorder="1"/>
    <xf numFmtId="166" fontId="4" fillId="0" borderId="0" xfId="1" applyNumberFormat="1" applyFont="1" applyFill="1" applyBorder="1" applyAlignment="1">
      <alignment horizontal="center"/>
    </xf>
    <xf numFmtId="0" fontId="35" fillId="6" borderId="0" xfId="0" applyFont="1" applyFill="1" applyAlignment="1">
      <alignment horizontal="center"/>
    </xf>
    <xf numFmtId="0" fontId="4" fillId="13" borderId="0" xfId="0" applyFont="1" applyFill="1" applyAlignment="1">
      <alignment horizontal="center"/>
    </xf>
    <xf numFmtId="0" fontId="4" fillId="0" borderId="0" xfId="0" applyFont="1" applyFill="1" applyAlignment="1">
      <alignment horizontal="left"/>
    </xf>
    <xf numFmtId="10" fontId="4" fillId="0" borderId="0" xfId="0" applyNumberFormat="1" applyFont="1" applyFill="1" applyAlignment="1">
      <alignment horizontal="left"/>
    </xf>
    <xf numFmtId="0" fontId="5" fillId="7" borderId="0" xfId="0" applyFont="1" applyFill="1" applyAlignment="1">
      <alignment horizontal="left"/>
    </xf>
    <xf numFmtId="10" fontId="21" fillId="7" borderId="0" xfId="0" applyNumberFormat="1" applyFont="1" applyFill="1"/>
    <xf numFmtId="10" fontId="5" fillId="7" borderId="0" xfId="0" applyNumberFormat="1" applyFont="1" applyFill="1"/>
    <xf numFmtId="0" fontId="5" fillId="7" borderId="0" xfId="0" applyFont="1" applyFill="1" applyAlignment="1"/>
    <xf numFmtId="0" fontId="5" fillId="7" borderId="0" xfId="0" applyFont="1" applyFill="1" applyAlignment="1">
      <alignment horizontal="center"/>
    </xf>
    <xf numFmtId="14" fontId="21" fillId="7" borderId="0" xfId="0" applyNumberFormat="1" applyFont="1" applyFill="1" applyAlignment="1">
      <alignment horizontal="left"/>
    </xf>
    <xf numFmtId="10" fontId="5" fillId="7" borderId="0" xfId="1" applyNumberFormat="1" applyFont="1" applyFill="1"/>
    <xf numFmtId="0" fontId="5" fillId="7" borderId="0" xfId="0" applyFont="1" applyFill="1" applyAlignment="1">
      <alignment horizontal="right"/>
    </xf>
    <xf numFmtId="10" fontId="5" fillId="7" borderId="0" xfId="1" applyNumberFormat="1" applyFont="1" applyFill="1" applyAlignment="1">
      <alignment horizontal="right"/>
    </xf>
    <xf numFmtId="1" fontId="5" fillId="7" borderId="0" xfId="0" applyNumberFormat="1" applyFont="1" applyFill="1" applyAlignment="1">
      <alignment horizontal="left"/>
    </xf>
    <xf numFmtId="164" fontId="4" fillId="0" borderId="1" xfId="0" applyNumberFormat="1" applyFont="1" applyFill="1" applyBorder="1"/>
    <xf numFmtId="168" fontId="0" fillId="0" borderId="0" xfId="1" applyNumberFormat="1" applyFont="1" applyFill="1" applyBorder="1"/>
    <xf numFmtId="168" fontId="0" fillId="0" borderId="1" xfId="1" applyNumberFormat="1" applyFont="1" applyFill="1" applyBorder="1"/>
    <xf numFmtId="164" fontId="0" fillId="0" borderId="0" xfId="1" applyNumberFormat="1" applyFont="1" applyFill="1" applyBorder="1"/>
    <xf numFmtId="0" fontId="1" fillId="0" borderId="0" xfId="1" applyNumberFormat="1" applyFont="1" applyFill="1" applyBorder="1"/>
    <xf numFmtId="0" fontId="4" fillId="0" borderId="0" xfId="1" applyNumberFormat="1" applyFont="1" applyFill="1" applyBorder="1"/>
    <xf numFmtId="0" fontId="0" fillId="0" borderId="33" xfId="0" applyFill="1" applyBorder="1" applyAlignment="1">
      <alignment horizontal="center" wrapText="1"/>
    </xf>
    <xf numFmtId="0" fontId="0" fillId="0" borderId="0" xfId="0" applyFill="1" applyBorder="1" applyAlignment="1">
      <alignment horizontal="center" wrapText="1"/>
    </xf>
    <xf numFmtId="0" fontId="11" fillId="0" borderId="0" xfId="0" applyFont="1" applyFill="1" applyBorder="1" applyAlignment="1">
      <alignment horizontal="center"/>
    </xf>
    <xf numFmtId="0" fontId="11" fillId="0" borderId="0" xfId="0" applyFont="1" applyFill="1" applyBorder="1" applyAlignment="1"/>
    <xf numFmtId="164" fontId="4" fillId="0" borderId="0" xfId="0" applyNumberFormat="1" applyFont="1" applyFill="1" applyBorder="1"/>
    <xf numFmtId="166" fontId="0" fillId="0" borderId="0" xfId="0" applyNumberFormat="1" applyFill="1" applyBorder="1"/>
    <xf numFmtId="10" fontId="21" fillId="0" borderId="0" xfId="0" applyNumberFormat="1" applyFont="1" applyFill="1" applyBorder="1"/>
    <xf numFmtId="0" fontId="21" fillId="0" borderId="0" xfId="0" applyNumberFormat="1" applyFont="1" applyFill="1" applyBorder="1"/>
    <xf numFmtId="0" fontId="5" fillId="7" borderId="0" xfId="0" applyFont="1" applyFill="1" applyBorder="1" applyAlignment="1">
      <alignment horizontal="right"/>
    </xf>
    <xf numFmtId="0" fontId="36" fillId="7" borderId="0" xfId="0" applyFont="1" applyFill="1" applyBorder="1" applyAlignment="1">
      <alignment horizontal="center" wrapText="1"/>
    </xf>
    <xf numFmtId="10" fontId="0" fillId="0" borderId="0" xfId="0" applyNumberFormat="1" applyFont="1" applyFill="1" applyBorder="1"/>
    <xf numFmtId="0" fontId="0" fillId="0" borderId="1" xfId="0" applyFont="1" applyFill="1" applyBorder="1"/>
    <xf numFmtId="0" fontId="0" fillId="0" borderId="0" xfId="0" applyNumberFormat="1" applyFont="1" applyFill="1" applyBorder="1"/>
    <xf numFmtId="0" fontId="5" fillId="7" borderId="0" xfId="4" applyFont="1" applyFill="1"/>
    <xf numFmtId="10" fontId="4" fillId="0" borderId="13" xfId="0" applyNumberFormat="1" applyFont="1" applyBorder="1"/>
    <xf numFmtId="10" fontId="4" fillId="0" borderId="15" xfId="0" applyNumberFormat="1" applyFont="1" applyBorder="1"/>
    <xf numFmtId="2" fontId="0" fillId="0" borderId="15" xfId="4" applyNumberFormat="1" applyFont="1" applyBorder="1"/>
    <xf numFmtId="0" fontId="0" fillId="0" borderId="15" xfId="0" applyFont="1" applyBorder="1"/>
    <xf numFmtId="0" fontId="0" fillId="0" borderId="10" xfId="0" applyFont="1" applyBorder="1"/>
    <xf numFmtId="0" fontId="5" fillId="7" borderId="47" xfId="0" applyFont="1" applyFill="1" applyBorder="1"/>
    <xf numFmtId="10" fontId="4" fillId="0" borderId="48" xfId="0" applyNumberFormat="1" applyFont="1" applyBorder="1"/>
    <xf numFmtId="10" fontId="4" fillId="0" borderId="55" xfId="0" applyNumberFormat="1" applyFont="1" applyBorder="1"/>
    <xf numFmtId="10" fontId="4" fillId="0" borderId="49" xfId="0" applyNumberFormat="1" applyFont="1" applyBorder="1"/>
    <xf numFmtId="10" fontId="5" fillId="7" borderId="49" xfId="0" applyNumberFormat="1" applyFont="1" applyFill="1" applyBorder="1"/>
    <xf numFmtId="10" fontId="1" fillId="0" borderId="13" xfId="1" applyNumberFormat="1" applyFont="1" applyBorder="1"/>
    <xf numFmtId="10" fontId="0" fillId="0" borderId="16" xfId="0" applyNumberFormat="1" applyFont="1" applyBorder="1"/>
    <xf numFmtId="0" fontId="38" fillId="0" borderId="0" xfId="0" applyFont="1" applyFill="1" applyBorder="1" applyAlignment="1">
      <alignment horizontal="center" vertical="center"/>
    </xf>
    <xf numFmtId="0" fontId="0" fillId="0" borderId="0" xfId="0" applyFont="1" applyFill="1" applyBorder="1" applyAlignment="1">
      <alignment vertical="center"/>
    </xf>
    <xf numFmtId="0" fontId="30" fillId="7" borderId="0" xfId="0" applyFont="1" applyFill="1"/>
    <xf numFmtId="0" fontId="28" fillId="7" borderId="0" xfId="0" applyFont="1" applyFill="1" applyAlignment="1">
      <alignment horizontal="center" vertical="center"/>
    </xf>
    <xf numFmtId="0" fontId="39" fillId="7" borderId="0" xfId="0" applyFont="1" applyFill="1"/>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10" fontId="1" fillId="0" borderId="15" xfId="0" applyNumberFormat="1" applyFont="1" applyBorder="1"/>
    <xf numFmtId="0" fontId="1" fillId="0" borderId="15" xfId="0" applyFont="1" applyBorder="1"/>
    <xf numFmtId="0" fontId="0" fillId="10" borderId="4" xfId="0" applyFill="1" applyBorder="1"/>
    <xf numFmtId="10" fontId="0" fillId="10" borderId="0" xfId="0" applyNumberFormat="1" applyFill="1" applyBorder="1" applyAlignment="1">
      <alignment horizontal="center"/>
    </xf>
    <xf numFmtId="10" fontId="0" fillId="10" borderId="5" xfId="0" applyNumberFormat="1" applyFill="1" applyBorder="1" applyAlignment="1">
      <alignment horizontal="center"/>
    </xf>
    <xf numFmtId="0" fontId="0" fillId="10" borderId="31" xfId="0" applyFill="1" applyBorder="1"/>
    <xf numFmtId="0" fontId="0" fillId="10" borderId="8" xfId="0" applyFill="1" applyBorder="1"/>
    <xf numFmtId="0" fontId="4" fillId="10" borderId="4" xfId="0" applyFont="1" applyFill="1" applyBorder="1" applyAlignment="1">
      <alignment horizontal="left"/>
    </xf>
    <xf numFmtId="0" fontId="4" fillId="10" borderId="8" xfId="0" applyFont="1" applyFill="1" applyBorder="1" applyAlignment="1">
      <alignment horizontal="left"/>
    </xf>
    <xf numFmtId="0" fontId="4" fillId="10" borderId="34" xfId="0" applyFont="1" applyFill="1" applyBorder="1"/>
    <xf numFmtId="0" fontId="4" fillId="10" borderId="4" xfId="0" applyFont="1" applyFill="1" applyBorder="1"/>
    <xf numFmtId="0" fontId="4" fillId="10" borderId="52" xfId="0" applyFont="1" applyFill="1" applyBorder="1"/>
    <xf numFmtId="0" fontId="4" fillId="10" borderId="31" xfId="0" applyFont="1" applyFill="1" applyBorder="1"/>
    <xf numFmtId="0" fontId="0" fillId="10" borderId="4" xfId="0" applyFill="1" applyBorder="1" applyAlignment="1">
      <alignment horizontal="left"/>
    </xf>
    <xf numFmtId="0" fontId="0" fillId="10" borderId="8" xfId="0" applyFill="1" applyBorder="1" applyAlignment="1">
      <alignment horizontal="left"/>
    </xf>
    <xf numFmtId="0" fontId="0" fillId="10" borderId="5" xfId="0" applyFill="1" applyBorder="1" applyAlignment="1">
      <alignment horizontal="center" vertical="center"/>
    </xf>
    <xf numFmtId="0" fontId="0" fillId="10" borderId="2" xfId="0" applyFill="1" applyBorder="1"/>
    <xf numFmtId="0" fontId="0" fillId="10" borderId="52" xfId="0" applyFill="1" applyBorder="1"/>
    <xf numFmtId="0" fontId="0" fillId="10" borderId="5" xfId="0" applyFill="1" applyBorder="1"/>
    <xf numFmtId="10" fontId="0" fillId="14" borderId="0" xfId="0" applyNumberFormat="1" applyFont="1" applyFill="1" applyBorder="1"/>
    <xf numFmtId="0" fontId="0" fillId="10" borderId="45" xfId="0" applyFill="1" applyBorder="1"/>
    <xf numFmtId="0" fontId="0" fillId="10" borderId="46" xfId="0" applyFill="1" applyBorder="1"/>
    <xf numFmtId="0" fontId="0" fillId="10" borderId="24" xfId="0" applyFill="1" applyBorder="1" applyAlignment="1">
      <alignment horizontal="center"/>
    </xf>
    <xf numFmtId="10" fontId="0" fillId="0" borderId="1" xfId="0" applyNumberFormat="1" applyFont="1" applyFill="1" applyBorder="1"/>
    <xf numFmtId="0" fontId="40" fillId="7" borderId="0" xfId="7" applyFont="1" applyFill="1"/>
    <xf numFmtId="0" fontId="40" fillId="7" borderId="0" xfId="6" applyFont="1" applyFill="1"/>
    <xf numFmtId="0" fontId="5" fillId="7" borderId="0" xfId="6" applyNumberFormat="1" applyFont="1" applyFill="1" applyBorder="1" applyAlignment="1" applyProtection="1">
      <alignment horizontal="left"/>
    </xf>
    <xf numFmtId="0" fontId="5" fillId="7" borderId="0" xfId="6" applyFont="1" applyFill="1"/>
    <xf numFmtId="0" fontId="41" fillId="7" borderId="0" xfId="6" applyFont="1" applyFill="1"/>
    <xf numFmtId="0" fontId="41" fillId="7" borderId="13" xfId="6" applyFont="1" applyFill="1" applyBorder="1"/>
    <xf numFmtId="0" fontId="41" fillId="7" borderId="14" xfId="6" applyFont="1" applyFill="1" applyBorder="1"/>
    <xf numFmtId="0" fontId="41" fillId="7" borderId="0" xfId="6" applyFont="1" applyFill="1" applyBorder="1"/>
    <xf numFmtId="0" fontId="41" fillId="7" borderId="10" xfId="6" applyFont="1" applyFill="1" applyBorder="1"/>
    <xf numFmtId="10" fontId="3" fillId="0" borderId="56" xfId="6" applyNumberFormat="1" applyBorder="1"/>
    <xf numFmtId="10" fontId="3" fillId="0" borderId="57" xfId="6" applyNumberFormat="1" applyBorder="1"/>
    <xf numFmtId="10" fontId="3" fillId="0" borderId="27" xfId="6" applyNumberFormat="1" applyBorder="1"/>
    <xf numFmtId="10" fontId="3" fillId="0" borderId="56" xfId="1" applyNumberFormat="1" applyFont="1" applyBorder="1"/>
    <xf numFmtId="0" fontId="3" fillId="2" borderId="26" xfId="6" applyFill="1" applyBorder="1"/>
    <xf numFmtId="0" fontId="3" fillId="2" borderId="0" xfId="6" applyFill="1" applyBorder="1"/>
    <xf numFmtId="10" fontId="3" fillId="2" borderId="19" xfId="1" applyNumberFormat="1" applyFont="1" applyFill="1" applyBorder="1"/>
    <xf numFmtId="10" fontId="3" fillId="2" borderId="0" xfId="1" applyNumberFormat="1" applyFont="1" applyFill="1" applyBorder="1"/>
    <xf numFmtId="166" fontId="3" fillId="2" borderId="0" xfId="6" applyNumberFormat="1" applyFill="1" applyBorder="1"/>
    <xf numFmtId="10" fontId="3" fillId="2" borderId="19" xfId="6" applyNumberFormat="1" applyFill="1" applyBorder="1"/>
    <xf numFmtId="10" fontId="3" fillId="2" borderId="0" xfId="6" applyNumberFormat="1" applyFill="1" applyBorder="1"/>
    <xf numFmtId="10" fontId="3" fillId="2" borderId="37" xfId="1" applyNumberFormat="1" applyFont="1" applyFill="1" applyBorder="1"/>
    <xf numFmtId="10" fontId="3" fillId="14" borderId="0" xfId="1" applyNumberFormat="1" applyFont="1" applyFill="1" applyBorder="1"/>
    <xf numFmtId="10" fontId="3" fillId="14" borderId="24" xfId="1" applyNumberFormat="1" applyFont="1" applyFill="1" applyBorder="1"/>
    <xf numFmtId="10" fontId="3" fillId="14" borderId="38" xfId="1" applyNumberFormat="1" applyFont="1" applyFill="1" applyBorder="1"/>
    <xf numFmtId="10" fontId="3" fillId="2" borderId="43" xfId="1" applyNumberFormat="1" applyFont="1" applyFill="1" applyBorder="1"/>
    <xf numFmtId="10" fontId="3" fillId="2" borderId="26" xfId="1" applyNumberFormat="1" applyFont="1" applyFill="1" applyBorder="1"/>
    <xf numFmtId="166" fontId="3" fillId="2" borderId="26" xfId="6" applyNumberFormat="1" applyFill="1" applyBorder="1"/>
    <xf numFmtId="0" fontId="5" fillId="7" borderId="0" xfId="0" applyFont="1" applyFill="1" applyBorder="1" applyAlignment="1">
      <alignment horizontal="center" vertical="center" wrapText="1"/>
    </xf>
    <xf numFmtId="168" fontId="0" fillId="0" borderId="34" xfId="0" applyNumberFormat="1" applyBorder="1"/>
    <xf numFmtId="168" fontId="0" fillId="0" borderId="19" xfId="0" applyNumberFormat="1" applyBorder="1"/>
    <xf numFmtId="168" fontId="0" fillId="0" borderId="37" xfId="0" applyNumberFormat="1" applyBorder="1"/>
    <xf numFmtId="168" fontId="0" fillId="0" borderId="24" xfId="0" applyNumberFormat="1" applyBorder="1"/>
    <xf numFmtId="168" fontId="0" fillId="0" borderId="38" xfId="0" applyNumberFormat="1" applyBorder="1"/>
    <xf numFmtId="168" fontId="0" fillId="0" borderId="35" xfId="0" applyNumberFormat="1" applyBorder="1"/>
    <xf numFmtId="168" fontId="0" fillId="0" borderId="36" xfId="0" applyNumberFormat="1" applyBorder="1"/>
    <xf numFmtId="0" fontId="29" fillId="0" borderId="0" xfId="0" applyFont="1" applyFill="1" applyBorder="1" applyAlignment="1">
      <alignment horizontal="center"/>
    </xf>
    <xf numFmtId="10" fontId="0" fillId="16" borderId="0" xfId="0" applyNumberFormat="1" applyFont="1" applyFill="1" applyBorder="1"/>
    <xf numFmtId="10" fontId="0" fillId="16" borderId="5" xfId="0" applyNumberFormat="1" applyFont="1" applyFill="1" applyBorder="1"/>
    <xf numFmtId="0" fontId="5" fillId="7" borderId="0" xfId="0" applyFont="1" applyFill="1" applyBorder="1" applyAlignment="1">
      <alignment horizontal="center" vertical="center" wrapText="1"/>
    </xf>
    <xf numFmtId="10" fontId="0" fillId="0" borderId="34" xfId="0" applyNumberFormat="1" applyFont="1" applyBorder="1"/>
    <xf numFmtId="10" fontId="0" fillId="0" borderId="35" xfId="0" applyNumberFormat="1" applyFont="1" applyBorder="1"/>
    <xf numFmtId="10" fontId="0" fillId="0" borderId="36" xfId="0" applyNumberFormat="1" applyFont="1" applyBorder="1"/>
    <xf numFmtId="0" fontId="5" fillId="7" borderId="0" xfId="0" applyFont="1" applyFill="1" applyAlignment="1">
      <alignment horizontal="center"/>
    </xf>
    <xf numFmtId="0" fontId="32" fillId="7" borderId="0" xfId="4" applyFont="1" applyFill="1" applyAlignment="1">
      <alignment horizontal="center" vertical="center"/>
    </xf>
    <xf numFmtId="0" fontId="32" fillId="7" borderId="0" xfId="4" applyFont="1" applyFill="1" applyAlignment="1">
      <alignment horizontal="center" vertical="center" wrapText="1"/>
    </xf>
    <xf numFmtId="0" fontId="32" fillId="7" borderId="0" xfId="4" applyFont="1" applyFill="1"/>
    <xf numFmtId="10" fontId="32" fillId="7" borderId="0" xfId="5" applyNumberFormat="1" applyFont="1" applyFill="1"/>
    <xf numFmtId="0" fontId="19" fillId="0" borderId="0" xfId="4" applyFont="1" applyFill="1" applyAlignment="1">
      <alignment horizontal="center" vertical="center"/>
    </xf>
    <xf numFmtId="0" fontId="32" fillId="18" borderId="0" xfId="4" applyFont="1" applyFill="1" applyAlignment="1">
      <alignment horizontal="center" vertical="center"/>
    </xf>
    <xf numFmtId="0" fontId="32" fillId="18" borderId="0" xfId="4" applyFont="1" applyFill="1" applyBorder="1" applyAlignment="1">
      <alignment horizontal="center" vertical="center"/>
    </xf>
    <xf numFmtId="0" fontId="28" fillId="18" borderId="0" xfId="4" applyFont="1" applyFill="1" applyBorder="1" applyAlignment="1">
      <alignment horizontal="left" vertical="center"/>
    </xf>
    <xf numFmtId="0" fontId="2" fillId="0" borderId="0" xfId="8" applyBorder="1"/>
    <xf numFmtId="10" fontId="2" fillId="0" borderId="0" xfId="8" applyNumberFormat="1" applyBorder="1"/>
    <xf numFmtId="10" fontId="2" fillId="0" borderId="0" xfId="5" applyNumberFormat="1" applyFont="1" applyBorder="1"/>
    <xf numFmtId="10" fontId="2" fillId="0" borderId="0" xfId="5" applyNumberFormat="1" applyFont="1" applyFill="1" applyBorder="1" applyAlignment="1"/>
    <xf numFmtId="10" fontId="2" fillId="0" borderId="0" xfId="5" applyNumberFormat="1" applyFont="1" applyFill="1" applyBorder="1"/>
    <xf numFmtId="0" fontId="32" fillId="18" borderId="0" xfId="4" applyFont="1" applyFill="1" applyBorder="1" applyAlignment="1">
      <alignment horizontal="center" vertical="center" wrapText="1"/>
    </xf>
    <xf numFmtId="0" fontId="32" fillId="18" borderId="0" xfId="4" applyFont="1" applyFill="1" applyBorder="1" applyAlignment="1">
      <alignment horizontal="center" wrapText="1"/>
    </xf>
    <xf numFmtId="0" fontId="32" fillId="0" borderId="0" xfId="4" applyFont="1" applyFill="1" applyBorder="1" applyAlignment="1">
      <alignment horizontal="center" vertical="center"/>
    </xf>
    <xf numFmtId="10" fontId="0" fillId="0" borderId="0" xfId="5" applyNumberFormat="1" applyFont="1" applyFill="1" applyBorder="1"/>
    <xf numFmtId="10" fontId="2" fillId="0" borderId="0" xfId="5" applyNumberFormat="1" applyFont="1" applyFill="1" applyBorder="1" applyAlignment="1">
      <alignment horizontal="center"/>
    </xf>
    <xf numFmtId="0" fontId="32" fillId="18" borderId="0" xfId="4" applyFont="1" applyFill="1" applyAlignment="1">
      <alignment horizontal="center" vertical="center" wrapText="1"/>
    </xf>
    <xf numFmtId="0" fontId="14" fillId="0" borderId="0" xfId="4" applyFont="1" applyFill="1"/>
    <xf numFmtId="0" fontId="32" fillId="0" borderId="0" xfId="4" applyFont="1" applyFill="1" applyAlignment="1">
      <alignment horizontal="center" vertical="center" wrapText="1"/>
    </xf>
    <xf numFmtId="0" fontId="32" fillId="0" borderId="0" xfId="4" applyFont="1" applyFill="1" applyBorder="1" applyAlignment="1">
      <alignment horizontal="center" vertical="center" wrapText="1"/>
    </xf>
    <xf numFmtId="10" fontId="14" fillId="0" borderId="0" xfId="5" applyNumberFormat="1" applyFont="1" applyFill="1" applyBorder="1" applyAlignment="1">
      <alignment horizontal="center" vertical="center"/>
    </xf>
    <xf numFmtId="0" fontId="14" fillId="0" borderId="0" xfId="4" applyFont="1" applyBorder="1"/>
    <xf numFmtId="0" fontId="14" fillId="0" borderId="0" xfId="4" applyNumberFormat="1" applyFont="1" applyFill="1" applyAlignment="1">
      <alignment horizontal="center"/>
    </xf>
    <xf numFmtId="0" fontId="51" fillId="0" borderId="0" xfId="4" applyFont="1" applyAlignment="1">
      <alignment vertical="top" wrapText="1"/>
    </xf>
    <xf numFmtId="0" fontId="51" fillId="0" borderId="0" xfId="4" applyFont="1"/>
    <xf numFmtId="0" fontId="32" fillId="18" borderId="0" xfId="4" applyFont="1" applyFill="1" applyAlignment="1">
      <alignment horizontal="center" vertical="top" wrapText="1"/>
    </xf>
    <xf numFmtId="0" fontId="14" fillId="0" borderId="0" xfId="4" applyBorder="1"/>
    <xf numFmtId="0" fontId="32" fillId="18" borderId="0" xfId="4" applyFont="1" applyFill="1" applyBorder="1" applyAlignment="1">
      <alignment horizontal="left" vertical="center"/>
    </xf>
    <xf numFmtId="10" fontId="43" fillId="0" borderId="0" xfId="5" applyNumberFormat="1" applyFont="1" applyFill="1" applyBorder="1"/>
    <xf numFmtId="10" fontId="43" fillId="0" borderId="0" xfId="5" applyNumberFormat="1" applyFont="1" applyFill="1" applyBorder="1" applyAlignment="1"/>
    <xf numFmtId="10" fontId="43" fillId="0" borderId="0" xfId="5" applyNumberFormat="1" applyFont="1" applyFill="1" applyBorder="1" applyAlignment="1">
      <alignment horizontal="center"/>
    </xf>
    <xf numFmtId="10" fontId="43" fillId="0" borderId="0" xfId="5" applyNumberFormat="1" applyFont="1" applyBorder="1"/>
    <xf numFmtId="10" fontId="43" fillId="0" borderId="0" xfId="8" applyNumberFormat="1" applyFont="1" applyBorder="1"/>
    <xf numFmtId="0" fontId="32" fillId="7" borderId="0" xfId="4" applyFont="1" applyFill="1" applyBorder="1" applyAlignment="1">
      <alignment horizontal="left" vertical="center" wrapText="1"/>
    </xf>
    <xf numFmtId="0" fontId="32" fillId="7" borderId="0" xfId="4" applyFont="1" applyFill="1" applyBorder="1" applyAlignment="1">
      <alignment horizontal="center" vertical="center"/>
    </xf>
    <xf numFmtId="0" fontId="32" fillId="7" borderId="0" xfId="4" applyFont="1" applyFill="1" applyBorder="1" applyAlignment="1">
      <alignment horizontal="center" vertical="center" wrapText="1"/>
    </xf>
    <xf numFmtId="10" fontId="14" fillId="0" borderId="0" xfId="5" applyNumberFormat="1" applyFont="1" applyFill="1" applyBorder="1"/>
    <xf numFmtId="10" fontId="0" fillId="0" borderId="0" xfId="5" applyNumberFormat="1" applyFont="1" applyBorder="1"/>
    <xf numFmtId="10" fontId="19" fillId="0" borderId="0" xfId="5" applyNumberFormat="1" applyFont="1" applyBorder="1" applyAlignment="1">
      <alignment horizontal="center"/>
    </xf>
    <xf numFmtId="0" fontId="28" fillId="7" borderId="0" xfId="4" applyFont="1" applyFill="1" applyBorder="1" applyAlignment="1">
      <alignment vertical="center" wrapText="1"/>
    </xf>
    <xf numFmtId="0" fontId="32" fillId="7" borderId="0" xfId="4" applyFont="1" applyFill="1" applyBorder="1" applyAlignment="1">
      <alignment vertical="center" wrapText="1"/>
    </xf>
    <xf numFmtId="0" fontId="50" fillId="18" borderId="0" xfId="4" applyFont="1" applyFill="1" applyBorder="1" applyAlignment="1">
      <alignment horizontal="center" vertical="center" wrapText="1"/>
    </xf>
    <xf numFmtId="10" fontId="0" fillId="0" borderId="0" xfId="5" applyNumberFormat="1" applyFont="1" applyBorder="1" applyAlignment="1">
      <alignment wrapText="1"/>
    </xf>
    <xf numFmtId="0" fontId="14" fillId="0" borderId="0" xfId="4" applyFill="1" applyBorder="1"/>
    <xf numFmtId="10" fontId="14" fillId="0" borderId="0" xfId="4" applyNumberFormat="1" applyBorder="1"/>
    <xf numFmtId="10" fontId="14" fillId="17" borderId="0" xfId="9" applyNumberFormat="1" applyBorder="1" applyAlignment="1">
      <alignment wrapText="1"/>
    </xf>
    <xf numFmtId="0" fontId="14" fillId="0" borderId="0" xfId="4" applyBorder="1" applyAlignment="1">
      <alignment wrapText="1"/>
    </xf>
    <xf numFmtId="10" fontId="14" fillId="17" borderId="0" xfId="9" applyNumberFormat="1" applyBorder="1" applyAlignment="1">
      <alignment horizontal="center" vertical="center"/>
    </xf>
    <xf numFmtId="0" fontId="42" fillId="0" borderId="0" xfId="4" applyFont="1" applyFill="1" applyBorder="1" applyAlignment="1">
      <alignment horizontal="center" vertical="center"/>
    </xf>
    <xf numFmtId="10" fontId="14" fillId="0" borderId="0" xfId="9" applyNumberFormat="1" applyFill="1" applyBorder="1" applyAlignment="1">
      <alignment wrapText="1"/>
    </xf>
    <xf numFmtId="0" fontId="14" fillId="0" borderId="0" xfId="4" applyFill="1" applyBorder="1" applyAlignment="1">
      <alignment wrapText="1"/>
    </xf>
    <xf numFmtId="10" fontId="0" fillId="0" borderId="0" xfId="5" applyNumberFormat="1" applyFont="1" applyFill="1" applyBorder="1" applyAlignment="1">
      <alignment wrapText="1"/>
    </xf>
    <xf numFmtId="0" fontId="19" fillId="0" borderId="0" xfId="4" applyFont="1" applyFill="1" applyBorder="1" applyAlignment="1">
      <alignment horizontal="right" vertical="center"/>
    </xf>
    <xf numFmtId="0" fontId="14" fillId="0" borderId="0" xfId="4" applyFont="1" applyFill="1" applyBorder="1" applyAlignment="1">
      <alignment horizontal="right" vertical="center"/>
    </xf>
    <xf numFmtId="0" fontId="49" fillId="0" borderId="0" xfId="4" applyFont="1" applyBorder="1"/>
    <xf numFmtId="0" fontId="19" fillId="0" borderId="0" xfId="4" applyFont="1" applyFill="1" applyBorder="1"/>
    <xf numFmtId="0" fontId="19" fillId="0" borderId="0" xfId="4" applyFont="1" applyBorder="1" applyAlignment="1">
      <alignment horizontal="right"/>
    </xf>
    <xf numFmtId="0" fontId="19"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14" fillId="0" borderId="0" xfId="4" applyFont="1" applyBorder="1" applyAlignment="1">
      <alignment wrapText="1"/>
    </xf>
    <xf numFmtId="0" fontId="19" fillId="0" borderId="0" xfId="4" applyNumberFormat="1" applyFont="1" applyBorder="1"/>
    <xf numFmtId="0" fontId="48" fillId="0" borderId="0" xfId="4" applyFont="1" applyBorder="1"/>
    <xf numFmtId="0" fontId="47" fillId="0" borderId="0" xfId="4" applyFont="1" applyBorder="1"/>
    <xf numFmtId="0" fontId="46" fillId="0" borderId="0" xfId="4" applyFont="1" applyBorder="1"/>
    <xf numFmtId="0" fontId="28" fillId="0" borderId="0" xfId="4" applyFont="1" applyFill="1" applyBorder="1" applyAlignment="1">
      <alignment horizontal="left" vertical="center"/>
    </xf>
    <xf numFmtId="0" fontId="14" fillId="0" borderId="0" xfId="4" applyFont="1" applyFill="1" applyBorder="1" applyAlignment="1">
      <alignment horizontal="right"/>
    </xf>
    <xf numFmtId="0" fontId="14" fillId="0" borderId="0" xfId="4" applyBorder="1" applyAlignment="1"/>
    <xf numFmtId="0" fontId="32" fillId="0" borderId="0" xfId="5" applyNumberFormat="1" applyFont="1" applyFill="1" applyBorder="1" applyAlignment="1">
      <alignment horizontal="center" vertical="center"/>
    </xf>
    <xf numFmtId="10" fontId="14" fillId="0" borderId="0" xfId="4" applyNumberFormat="1" applyFill="1" applyBorder="1" applyAlignment="1">
      <alignment wrapText="1"/>
    </xf>
    <xf numFmtId="0" fontId="14" fillId="0" borderId="0" xfId="4" applyFont="1" applyFill="1" applyBorder="1"/>
    <xf numFmtId="0" fontId="28" fillId="7" borderId="0" xfId="4" applyFont="1" applyFill="1" applyBorder="1" applyAlignment="1">
      <alignment horizontal="left" vertical="center" wrapText="1"/>
    </xf>
    <xf numFmtId="0" fontId="32" fillId="7" borderId="0" xfId="5" applyNumberFormat="1" applyFont="1" applyFill="1" applyBorder="1" applyAlignment="1">
      <alignment horizontal="center" vertical="center"/>
    </xf>
    <xf numFmtId="0" fontId="5" fillId="7" borderId="0" xfId="0" applyFont="1" applyFill="1" applyBorder="1" applyAlignment="1">
      <alignment horizontal="center" vertical="center" wrapText="1"/>
    </xf>
    <xf numFmtId="0" fontId="0" fillId="0" borderId="24" xfId="0" applyBorder="1"/>
    <xf numFmtId="0" fontId="0" fillId="0" borderId="24" xfId="0" applyFill="1" applyBorder="1"/>
    <xf numFmtId="168" fontId="0" fillId="0" borderId="19" xfId="0" applyNumberFormat="1" applyFill="1" applyBorder="1"/>
    <xf numFmtId="10" fontId="4" fillId="0" borderId="1" xfId="0" applyNumberFormat="1" applyFont="1" applyBorder="1"/>
    <xf numFmtId="0" fontId="0" fillId="0" borderId="11" xfId="0" applyFont="1" applyBorder="1"/>
    <xf numFmtId="0" fontId="38" fillId="0" borderId="26" xfId="0" applyFont="1" applyFill="1" applyBorder="1" applyAlignment="1">
      <alignment horizontal="center"/>
    </xf>
    <xf numFmtId="0" fontId="5" fillId="7" borderId="4" xfId="0" applyFont="1" applyFill="1" applyBorder="1"/>
    <xf numFmtId="0" fontId="0" fillId="0" borderId="5" xfId="0" applyFont="1" applyBorder="1"/>
    <xf numFmtId="10" fontId="0" fillId="0" borderId="5" xfId="0" applyNumberFormat="1" applyFont="1" applyBorder="1"/>
    <xf numFmtId="10" fontId="0" fillId="0" borderId="7" xfId="0" applyNumberFormat="1" applyFont="1" applyBorder="1"/>
    <xf numFmtId="0" fontId="0" fillId="0" borderId="0" xfId="0" applyNumberFormat="1" applyFont="1" applyBorder="1"/>
    <xf numFmtId="0" fontId="0" fillId="0" borderId="5" xfId="0" applyNumberFormat="1" applyFont="1" applyBorder="1"/>
    <xf numFmtId="0" fontId="5" fillId="7" borderId="8" xfId="0" applyFont="1" applyFill="1" applyBorder="1"/>
    <xf numFmtId="10" fontId="0" fillId="0" borderId="27" xfId="0" applyNumberFormat="1" applyFont="1" applyBorder="1"/>
    <xf numFmtId="10" fontId="0" fillId="0" borderId="27" xfId="0" applyNumberFormat="1" applyFont="1" applyFill="1" applyBorder="1"/>
    <xf numFmtId="10" fontId="0" fillId="0" borderId="9" xfId="0" applyNumberFormat="1" applyFont="1" applyBorder="1"/>
    <xf numFmtId="0" fontId="0" fillId="7" borderId="2" xfId="0" applyFont="1" applyFill="1" applyBorder="1"/>
    <xf numFmtId="0" fontId="0" fillId="7" borderId="4" xfId="0" applyFont="1" applyFill="1" applyBorder="1"/>
    <xf numFmtId="0" fontId="5" fillId="0" borderId="0" xfId="0" applyFont="1" applyFill="1"/>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168" fontId="0" fillId="0" borderId="43" xfId="0" applyNumberFormat="1" applyFill="1" applyBorder="1"/>
    <xf numFmtId="168" fontId="0" fillId="0" borderId="44" xfId="0" applyNumberFormat="1" applyFill="1" applyBorder="1"/>
    <xf numFmtId="168" fontId="0" fillId="0" borderId="37" xfId="0" applyNumberFormat="1" applyFill="1" applyBorder="1"/>
    <xf numFmtId="168" fontId="0" fillId="0" borderId="58" xfId="0" applyNumberFormat="1" applyFill="1" applyBorder="1"/>
    <xf numFmtId="168" fontId="0" fillId="0" borderId="59" xfId="0" applyNumberFormat="1" applyFill="1" applyBorder="1"/>
    <xf numFmtId="10" fontId="0" fillId="14" borderId="5" xfId="0" applyNumberFormat="1" applyFont="1" applyFill="1" applyBorder="1"/>
    <xf numFmtId="0" fontId="28" fillId="7" borderId="2" xfId="0" applyFont="1" applyFill="1" applyBorder="1" applyAlignment="1">
      <alignment vertical="center"/>
    </xf>
    <xf numFmtId="0" fontId="28" fillId="7" borderId="4" xfId="0" applyFont="1" applyFill="1" applyBorder="1" applyAlignment="1">
      <alignment vertical="center"/>
    </xf>
    <xf numFmtId="168" fontId="0" fillId="0" borderId="42" xfId="0" applyNumberFormat="1" applyBorder="1"/>
    <xf numFmtId="168" fontId="0" fillId="0" borderId="43" xfId="0" applyNumberFormat="1" applyBorder="1"/>
    <xf numFmtId="168" fontId="0" fillId="0" borderId="44" xfId="0" applyNumberFormat="1" applyBorder="1"/>
    <xf numFmtId="168" fontId="0" fillId="0" borderId="54" xfId="0" applyNumberFormat="1" applyBorder="1"/>
    <xf numFmtId="168" fontId="0" fillId="0" borderId="60" xfId="0" applyNumberFormat="1" applyBorder="1"/>
    <xf numFmtId="168" fontId="0" fillId="0" borderId="58" xfId="0" applyNumberFormat="1" applyBorder="1"/>
    <xf numFmtId="168" fontId="0" fillId="0" borderId="59" xfId="0" applyNumberFormat="1" applyBorder="1"/>
    <xf numFmtId="10" fontId="0" fillId="0" borderId="42" xfId="0" applyNumberFormat="1" applyBorder="1"/>
    <xf numFmtId="10" fontId="0" fillId="0" borderId="43" xfId="0" applyNumberFormat="1" applyBorder="1"/>
    <xf numFmtId="10" fontId="0" fillId="0" borderId="44" xfId="0" applyNumberFormat="1" applyBorder="1"/>
    <xf numFmtId="10" fontId="0" fillId="0" borderId="60" xfId="0" applyNumberFormat="1" applyBorder="1"/>
    <xf numFmtId="10" fontId="0" fillId="0" borderId="58" xfId="0" applyNumberFormat="1" applyBorder="1"/>
    <xf numFmtId="10" fontId="0" fillId="0" borderId="59" xfId="0" applyNumberFormat="1" applyBorder="1"/>
    <xf numFmtId="168" fontId="0" fillId="0" borderId="42" xfId="0" applyNumberFormat="1" applyFill="1" applyBorder="1"/>
    <xf numFmtId="168" fontId="0" fillId="0" borderId="54" xfId="0" applyNumberFormat="1" applyFill="1" applyBorder="1"/>
    <xf numFmtId="168" fontId="0" fillId="0" borderId="60" xfId="0" applyNumberFormat="1" applyFill="1" applyBorder="1"/>
    <xf numFmtId="0" fontId="5" fillId="0" borderId="0" xfId="0" applyFont="1" applyFill="1" applyAlignment="1">
      <alignment horizontal="center"/>
    </xf>
    <xf numFmtId="0" fontId="5" fillId="7" borderId="23" xfId="0" applyNumberFormat="1"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23" xfId="0" applyFont="1" applyFill="1" applyBorder="1" applyAlignment="1">
      <alignment horizontal="center" vertical="center"/>
    </xf>
    <xf numFmtId="43" fontId="0" fillId="0" borderId="0" xfId="2" applyFont="1" applyBorder="1"/>
    <xf numFmtId="1" fontId="4" fillId="0" borderId="0" xfId="0" applyNumberFormat="1" applyFont="1" applyBorder="1"/>
    <xf numFmtId="1" fontId="0" fillId="0" borderId="0" xfId="0" applyNumberFormat="1" applyBorder="1"/>
    <xf numFmtId="0" fontId="5" fillId="0" borderId="0" xfId="0" applyFont="1" applyFill="1" applyBorder="1" applyAlignment="1">
      <alignment horizontal="center" vertical="center"/>
    </xf>
    <xf numFmtId="10" fontId="0" fillId="0" borderId="2" xfId="1" applyNumberFormat="1" applyFont="1" applyFill="1" applyBorder="1"/>
    <xf numFmtId="10" fontId="0" fillId="0" borderId="26" xfId="1" applyNumberFormat="1" applyFont="1" applyFill="1" applyBorder="1"/>
    <xf numFmtId="10" fontId="0" fillId="0" borderId="3" xfId="1" applyNumberFormat="1" applyFont="1" applyFill="1" applyBorder="1"/>
    <xf numFmtId="0" fontId="25" fillId="2" borderId="26" xfId="6" applyFont="1" applyFill="1" applyBorder="1"/>
    <xf numFmtId="10" fontId="25" fillId="2" borderId="43" xfId="1" applyNumberFormat="1" applyFont="1" applyFill="1" applyBorder="1"/>
    <xf numFmtId="10" fontId="25" fillId="2" borderId="26" xfId="1" applyNumberFormat="1" applyFont="1" applyFill="1" applyBorder="1"/>
    <xf numFmtId="166" fontId="25" fillId="2" borderId="26" xfId="6" applyNumberFormat="1" applyFont="1" applyFill="1" applyBorder="1"/>
    <xf numFmtId="10" fontId="25" fillId="2" borderId="0" xfId="1" applyNumberFormat="1" applyFont="1" applyFill="1" applyBorder="1"/>
    <xf numFmtId="0" fontId="25" fillId="14" borderId="0" xfId="6" applyFont="1" applyFill="1" applyBorder="1"/>
    <xf numFmtId="10" fontId="25" fillId="14" borderId="24" xfId="1" applyNumberFormat="1" applyFont="1" applyFill="1" applyBorder="1"/>
    <xf numFmtId="10" fontId="25" fillId="14" borderId="0" xfId="1" applyNumberFormat="1" applyFont="1" applyFill="1" applyBorder="1"/>
    <xf numFmtId="0" fontId="25" fillId="15" borderId="27" xfId="6" applyFont="1" applyFill="1" applyBorder="1"/>
    <xf numFmtId="10" fontId="25" fillId="15" borderId="40" xfId="1" applyNumberFormat="1" applyFont="1" applyFill="1" applyBorder="1"/>
    <xf numFmtId="10" fontId="25" fillId="15" borderId="27" xfId="1" applyNumberFormat="1" applyFont="1" applyFill="1" applyBorder="1"/>
    <xf numFmtId="10" fontId="25" fillId="15" borderId="41" xfId="1" applyNumberFormat="1" applyFont="1" applyFill="1" applyBorder="1"/>
    <xf numFmtId="10" fontId="25" fillId="15" borderId="0" xfId="1" applyNumberFormat="1" applyFont="1" applyFill="1" applyBorder="1"/>
    <xf numFmtId="10" fontId="0" fillId="0" borderId="9" xfId="0" applyNumberFormat="1" applyFont="1" applyFill="1" applyBorder="1"/>
    <xf numFmtId="10" fontId="2" fillId="0" borderId="0" xfId="5" applyNumberFormat="1" applyFont="1" applyFill="1" applyBorder="1" applyAlignment="1">
      <alignment horizontal="center"/>
    </xf>
    <xf numFmtId="0" fontId="32" fillId="18" borderId="0" xfId="4" applyFont="1" applyFill="1" applyBorder="1" applyAlignment="1">
      <alignment horizontal="center" vertical="center"/>
    </xf>
    <xf numFmtId="0" fontId="5" fillId="7" borderId="0" xfId="0" applyFont="1" applyFill="1" applyBorder="1" applyAlignment="1">
      <alignment horizontal="center" vertical="center" wrapText="1"/>
    </xf>
    <xf numFmtId="10" fontId="2" fillId="0" borderId="0" xfId="1" applyNumberFormat="1" applyFill="1" applyBorder="1"/>
    <xf numFmtId="10" fontId="14" fillId="0" borderId="0" xfId="1" applyNumberFormat="1" applyFont="1" applyFill="1" applyBorder="1" applyAlignment="1">
      <alignment horizontal="center" vertical="center"/>
    </xf>
    <xf numFmtId="10" fontId="14" fillId="0" borderId="0" xfId="1" applyNumberFormat="1" applyFont="1" applyBorder="1" applyAlignment="1">
      <alignment wrapText="1"/>
    </xf>
    <xf numFmtId="168" fontId="0" fillId="0" borderId="0" xfId="1" applyNumberFormat="1" applyFont="1" applyBorder="1"/>
    <xf numFmtId="0" fontId="0" fillId="0" borderId="2" xfId="0" applyFont="1" applyBorder="1"/>
    <xf numFmtId="0" fontId="0" fillId="0" borderId="26" xfId="0" applyFont="1" applyBorder="1"/>
    <xf numFmtId="0" fontId="0" fillId="0" borderId="26" xfId="0" applyFont="1" applyFill="1" applyBorder="1"/>
    <xf numFmtId="0" fontId="0" fillId="0" borderId="3" xfId="0" applyFont="1" applyBorder="1"/>
    <xf numFmtId="10" fontId="0" fillId="0" borderId="4" xfId="0" applyNumberFormat="1" applyFont="1" applyBorder="1"/>
    <xf numFmtId="10" fontId="0" fillId="0" borderId="6" xfId="0" applyNumberFormat="1" applyFont="1" applyBorder="1"/>
    <xf numFmtId="10" fontId="0" fillId="0" borderId="8" xfId="0" applyNumberFormat="1" applyFont="1" applyBorder="1"/>
    <xf numFmtId="180" fontId="0" fillId="0" borderId="0" xfId="0" applyNumberFormat="1"/>
    <xf numFmtId="180" fontId="0" fillId="0" borderId="0" xfId="0" quotePrefix="1" applyNumberFormat="1"/>
    <xf numFmtId="10" fontId="0" fillId="0" borderId="17" xfId="1" applyNumberFormat="1" applyFont="1" applyBorder="1" applyAlignment="1">
      <alignment horizontal="right"/>
    </xf>
    <xf numFmtId="10" fontId="0" fillId="0" borderId="39" xfId="1" applyNumberFormat="1" applyFont="1" applyBorder="1" applyAlignment="1">
      <alignment horizontal="right"/>
    </xf>
    <xf numFmtId="168" fontId="0" fillId="0" borderId="41" xfId="0" applyNumberFormat="1" applyBorder="1"/>
    <xf numFmtId="0" fontId="0" fillId="0" borderId="40" xfId="0" applyBorder="1"/>
    <xf numFmtId="0" fontId="5" fillId="7" borderId="48" xfId="0" applyFont="1" applyFill="1" applyBorder="1" applyAlignment="1">
      <alignment horizontal="center" vertical="center" wrapText="1"/>
    </xf>
    <xf numFmtId="43" fontId="0" fillId="0" borderId="24" xfId="2" applyFont="1" applyBorder="1"/>
    <xf numFmtId="43" fontId="0" fillId="0" borderId="24" xfId="0" applyNumberFormat="1" applyBorder="1"/>
    <xf numFmtId="0" fontId="40" fillId="0" borderId="0" xfId="6" applyFont="1" applyFill="1"/>
    <xf numFmtId="0" fontId="5" fillId="0" borderId="0" xfId="6" applyFont="1" applyFill="1"/>
    <xf numFmtId="0" fontId="3" fillId="0" borderId="0" xfId="6" applyFill="1"/>
    <xf numFmtId="10" fontId="3" fillId="0" borderId="0" xfId="6" applyNumberFormat="1"/>
    <xf numFmtId="0" fontId="3" fillId="0" borderId="1" xfId="6" applyBorder="1"/>
    <xf numFmtId="0" fontId="3" fillId="0" borderId="0" xfId="6" applyBorder="1"/>
    <xf numFmtId="0" fontId="40" fillId="0" borderId="0" xfId="6" applyFont="1" applyFill="1" applyBorder="1" applyAlignment="1">
      <alignment horizontal="center"/>
    </xf>
    <xf numFmtId="0" fontId="41" fillId="0" borderId="0" xfId="6" applyFont="1" applyFill="1" applyBorder="1"/>
    <xf numFmtId="10" fontId="3" fillId="0" borderId="0" xfId="6" applyNumberFormat="1" applyFill="1" applyBorder="1"/>
    <xf numFmtId="10" fontId="3" fillId="0" borderId="0" xfId="1" applyNumberFormat="1" applyFont="1" applyFill="1" applyBorder="1"/>
    <xf numFmtId="10" fontId="25" fillId="0" borderId="0" xfId="1" applyNumberFormat="1" applyFont="1" applyFill="1" applyBorder="1"/>
    <xf numFmtId="43" fontId="0" fillId="0" borderId="17" xfId="2" applyFont="1" applyBorder="1"/>
    <xf numFmtId="43" fontId="0" fillId="0" borderId="19" xfId="0" applyNumberFormat="1" applyBorder="1"/>
    <xf numFmtId="0" fontId="0" fillId="0" borderId="19" xfId="0" applyFill="1" applyBorder="1"/>
    <xf numFmtId="43" fontId="0" fillId="0" borderId="19" xfId="2" applyFont="1" applyBorder="1"/>
    <xf numFmtId="43" fontId="0" fillId="0" borderId="37" xfId="2" applyNumberFormat="1" applyFont="1" applyBorder="1"/>
    <xf numFmtId="43" fontId="0" fillId="0" borderId="38" xfId="2" applyNumberFormat="1" applyFont="1" applyBorder="1"/>
    <xf numFmtId="43" fontId="0" fillId="0" borderId="37" xfId="0" applyNumberFormat="1" applyBorder="1"/>
    <xf numFmtId="43" fontId="0" fillId="0" borderId="38" xfId="0" applyNumberFormat="1" applyBorder="1"/>
    <xf numFmtId="43" fontId="0" fillId="0" borderId="40" xfId="0" applyNumberFormat="1" applyBorder="1"/>
    <xf numFmtId="43" fontId="0" fillId="0" borderId="41" xfId="0" applyNumberFormat="1" applyBorder="1"/>
    <xf numFmtId="168" fontId="0" fillId="0" borderId="38" xfId="1" applyNumberFormat="1" applyFont="1" applyBorder="1" applyAlignment="1"/>
    <xf numFmtId="168" fontId="0" fillId="0" borderId="24" xfId="1" applyNumberFormat="1" applyFont="1" applyBorder="1"/>
    <xf numFmtId="0" fontId="29" fillId="0" borderId="0" xfId="0" applyFont="1" applyFill="1" applyBorder="1" applyAlignment="1">
      <alignment horizontal="centerContinuous"/>
    </xf>
    <xf numFmtId="10" fontId="0" fillId="0" borderId="15" xfId="0" applyNumberFormat="1" applyBorder="1"/>
    <xf numFmtId="0" fontId="5" fillId="7" borderId="0" xfId="0" applyNumberFormat="1" applyFont="1" applyFill="1"/>
    <xf numFmtId="168" fontId="4" fillId="0" borderId="14" xfId="1" applyNumberFormat="1" applyFont="1" applyBorder="1"/>
    <xf numFmtId="168" fontId="4" fillId="0" borderId="16" xfId="1" applyNumberFormat="1" applyFont="1" applyBorder="1"/>
    <xf numFmtId="0" fontId="0" fillId="0" borderId="8" xfId="0" applyBorder="1"/>
    <xf numFmtId="0" fontId="0" fillId="0" borderId="27" xfId="0" applyBorder="1"/>
    <xf numFmtId="0" fontId="0" fillId="0" borderId="9" xfId="0" applyBorder="1"/>
    <xf numFmtId="0" fontId="0" fillId="13" borderId="4" xfId="0" applyFill="1" applyBorder="1" applyAlignment="1"/>
    <xf numFmtId="0" fontId="0" fillId="13" borderId="0" xfId="0" applyFill="1" applyBorder="1" applyAlignment="1"/>
    <xf numFmtId="0" fontId="0" fillId="13" borderId="0" xfId="0" applyFill="1" applyBorder="1"/>
    <xf numFmtId="0" fontId="0" fillId="13" borderId="27" xfId="0" applyFill="1" applyBorder="1" applyAlignment="1"/>
    <xf numFmtId="0" fontId="0" fillId="10" borderId="4" xfId="0" applyFill="1" applyBorder="1" applyAlignment="1">
      <alignment horizontal="center"/>
    </xf>
    <xf numFmtId="0" fontId="0" fillId="9" borderId="0" xfId="0" applyFill="1" applyBorder="1" applyAlignment="1">
      <alignment horizontal="center" vertical="center" wrapText="1"/>
    </xf>
    <xf numFmtId="0" fontId="0" fillId="9" borderId="0" xfId="0" applyFill="1" applyBorder="1" applyAlignment="1">
      <alignment horizontal="center" vertical="center"/>
    </xf>
    <xf numFmtId="0" fontId="0" fillId="9" borderId="4" xfId="0" applyFill="1" applyBorder="1"/>
    <xf numFmtId="0" fontId="0" fillId="9" borderId="8" xfId="0" applyFill="1" applyBorder="1"/>
    <xf numFmtId="0" fontId="0" fillId="9" borderId="27" xfId="0" applyFill="1" applyBorder="1"/>
    <xf numFmtId="0" fontId="0" fillId="9" borderId="9" xfId="0" applyFill="1" applyBorder="1"/>
    <xf numFmtId="0" fontId="0" fillId="9" borderId="5" xfId="0" applyFill="1" applyBorder="1" applyAlignment="1">
      <alignment horizontal="center" vertical="center" wrapText="1"/>
    </xf>
    <xf numFmtId="1" fontId="0" fillId="9" borderId="27" xfId="0" applyNumberFormat="1" applyFill="1" applyBorder="1" applyAlignment="1">
      <alignment horizontal="center"/>
    </xf>
    <xf numFmtId="0" fontId="0" fillId="9" borderId="6" xfId="0" applyFill="1" applyBorder="1"/>
    <xf numFmtId="170" fontId="0" fillId="9" borderId="0" xfId="0" applyNumberFormat="1" applyFill="1" applyBorder="1" applyAlignment="1">
      <alignment horizontal="center"/>
    </xf>
    <xf numFmtId="170" fontId="0" fillId="9" borderId="5" xfId="0" applyNumberFormat="1" applyFill="1" applyBorder="1" applyAlignment="1">
      <alignment horizontal="center"/>
    </xf>
    <xf numFmtId="170" fontId="0" fillId="9" borderId="5" xfId="0" applyNumberFormat="1" applyFill="1" applyBorder="1"/>
    <xf numFmtId="0" fontId="0" fillId="9" borderId="27" xfId="0" applyFill="1" applyBorder="1" applyAlignment="1">
      <alignment horizontal="center"/>
    </xf>
    <xf numFmtId="0" fontId="0" fillId="0" borderId="0" xfId="0" applyFill="1" applyAlignment="1"/>
    <xf numFmtId="168" fontId="0" fillId="0" borderId="18" xfId="0" applyNumberFormat="1" applyFill="1" applyBorder="1" applyAlignment="1">
      <alignment horizontal="right"/>
    </xf>
    <xf numFmtId="168" fontId="0" fillId="0" borderId="45" xfId="0" applyNumberFormat="1" applyBorder="1"/>
    <xf numFmtId="168" fontId="0" fillId="0" borderId="46" xfId="0" applyNumberFormat="1" applyBorder="1"/>
    <xf numFmtId="168" fontId="0" fillId="0" borderId="40" xfId="0" applyNumberFormat="1" applyBorder="1"/>
    <xf numFmtId="168" fontId="0" fillId="0" borderId="24" xfId="0" applyNumberFormat="1" applyFill="1" applyBorder="1" applyAlignment="1">
      <alignment horizontal="right"/>
    </xf>
    <xf numFmtId="0" fontId="0" fillId="0" borderId="38" xfId="0" applyBorder="1"/>
    <xf numFmtId="168" fontId="0" fillId="0" borderId="40" xfId="1" applyNumberFormat="1" applyFont="1" applyBorder="1"/>
    <xf numFmtId="168" fontId="0" fillId="0" borderId="19" xfId="1" applyNumberFormat="1" applyFont="1" applyBorder="1"/>
    <xf numFmtId="168" fontId="0" fillId="0" borderId="17" xfId="1" applyNumberFormat="1" applyFont="1" applyBorder="1"/>
    <xf numFmtId="0" fontId="0" fillId="10" borderId="0" xfId="0" applyFill="1" applyBorder="1" applyAlignment="1">
      <alignment horizontal="center"/>
    </xf>
    <xf numFmtId="0" fontId="0" fillId="10" borderId="5" xfId="0" applyFill="1" applyBorder="1" applyAlignment="1">
      <alignment horizontal="center"/>
    </xf>
    <xf numFmtId="0" fontId="0" fillId="0" borderId="24" xfId="0" applyFill="1" applyBorder="1" applyAlignment="1">
      <alignment horizontal="left"/>
    </xf>
    <xf numFmtId="0" fontId="0" fillId="0" borderId="19" xfId="0" applyFill="1" applyBorder="1" applyAlignment="1">
      <alignment horizontal="left"/>
    </xf>
    <xf numFmtId="166" fontId="4" fillId="0" borderId="35" xfId="0" applyNumberFormat="1" applyFont="1" applyBorder="1" applyAlignment="1">
      <alignment horizontal="left"/>
    </xf>
    <xf numFmtId="168" fontId="0" fillId="0" borderId="35" xfId="0" applyNumberFormat="1" applyBorder="1" applyAlignment="1">
      <alignment horizontal="left"/>
    </xf>
    <xf numFmtId="166" fontId="4" fillId="0" borderId="19" xfId="0" applyNumberFormat="1" applyFont="1" applyBorder="1" applyAlignment="1">
      <alignment horizontal="left"/>
    </xf>
    <xf numFmtId="168" fontId="0" fillId="0" borderId="24" xfId="0" applyNumberFormat="1" applyBorder="1" applyAlignment="1">
      <alignment horizontal="left"/>
    </xf>
    <xf numFmtId="10" fontId="0" fillId="0" borderId="35" xfId="0" applyNumberFormat="1" applyBorder="1" applyAlignment="1">
      <alignment horizontal="left"/>
    </xf>
    <xf numFmtId="10" fontId="4" fillId="0" borderId="19" xfId="0" applyNumberFormat="1" applyFont="1" applyBorder="1" applyAlignment="1">
      <alignment horizontal="left"/>
    </xf>
    <xf numFmtId="10" fontId="4" fillId="0" borderId="37" xfId="0" applyNumberFormat="1" applyFont="1" applyBorder="1" applyAlignment="1">
      <alignment horizontal="left"/>
    </xf>
    <xf numFmtId="166" fontId="4" fillId="0" borderId="36" xfId="0" applyNumberFormat="1" applyFont="1" applyBorder="1" applyAlignment="1">
      <alignment horizontal="left"/>
    </xf>
    <xf numFmtId="168" fontId="0" fillId="0" borderId="27" xfId="1" applyNumberFormat="1" applyFont="1" applyBorder="1"/>
    <xf numFmtId="172" fontId="0" fillId="0" borderId="0" xfId="1" applyNumberFormat="1" applyFont="1" applyBorder="1"/>
    <xf numFmtId="172" fontId="0" fillId="0" borderId="27" xfId="1" applyNumberFormat="1" applyFont="1" applyBorder="1"/>
    <xf numFmtId="0" fontId="0" fillId="10" borderId="4" xfId="0" applyFill="1" applyBorder="1" applyAlignment="1">
      <alignment horizontal="center" vertical="center"/>
    </xf>
    <xf numFmtId="0" fontId="0" fillId="0" borderId="5" xfId="0" applyFill="1" applyBorder="1"/>
    <xf numFmtId="0" fontId="0" fillId="0" borderId="27" xfId="0" applyFill="1" applyBorder="1"/>
    <xf numFmtId="168" fontId="0" fillId="0" borderId="27" xfId="1" applyNumberFormat="1" applyFont="1" applyFill="1" applyBorder="1"/>
    <xf numFmtId="164" fontId="0" fillId="9" borderId="0" xfId="0" applyNumberFormat="1" applyFill="1" applyBorder="1" applyAlignment="1">
      <alignment horizontal="center"/>
    </xf>
    <xf numFmtId="164" fontId="0" fillId="9" borderId="5" xfId="0" applyNumberFormat="1" applyFill="1" applyBorder="1" applyAlignment="1">
      <alignment horizontal="center"/>
    </xf>
    <xf numFmtId="164" fontId="0" fillId="9" borderId="1" xfId="0" applyNumberFormat="1" applyFill="1" applyBorder="1" applyAlignment="1">
      <alignment horizontal="center"/>
    </xf>
    <xf numFmtId="164" fontId="0" fillId="9" borderId="7" xfId="0" applyNumberFormat="1" applyFill="1" applyBorder="1" applyAlignment="1">
      <alignment horizontal="center"/>
    </xf>
    <xf numFmtId="164" fontId="0" fillId="9" borderId="0" xfId="0" applyNumberFormat="1" applyFill="1" applyBorder="1"/>
    <xf numFmtId="10" fontId="0" fillId="10" borderId="0" xfId="1" applyNumberFormat="1" applyFont="1" applyFill="1" applyBorder="1" applyAlignment="1">
      <alignment horizontal="center" vertical="center"/>
    </xf>
    <xf numFmtId="10" fontId="0" fillId="10" borderId="5" xfId="1" applyNumberFormat="1" applyFont="1" applyFill="1" applyBorder="1" applyAlignment="1">
      <alignment horizontal="center" vertical="center"/>
    </xf>
    <xf numFmtId="10" fontId="0" fillId="10" borderId="0" xfId="1" applyNumberFormat="1" applyFont="1" applyFill="1" applyBorder="1" applyAlignment="1">
      <alignment horizontal="center"/>
    </xf>
    <xf numFmtId="168" fontId="0" fillId="0" borderId="24" xfId="0" applyNumberFormat="1" applyFill="1" applyBorder="1" applyAlignment="1">
      <alignment horizontal="right" vertical="center"/>
    </xf>
    <xf numFmtId="0" fontId="0" fillId="0" borderId="24" xfId="0" applyFill="1" applyBorder="1" applyAlignment="1">
      <alignment horizontal="center" vertical="center"/>
    </xf>
    <xf numFmtId="168" fontId="0" fillId="0" borderId="38" xfId="1" applyNumberFormat="1" applyFont="1" applyFill="1" applyBorder="1" applyAlignment="1">
      <alignment horizontal="right" vertical="center"/>
    </xf>
    <xf numFmtId="168" fontId="0" fillId="0" borderId="38" xfId="0" applyNumberFormat="1" applyBorder="1" applyAlignment="1">
      <alignment horizontal="right"/>
    </xf>
    <xf numFmtId="168" fontId="0" fillId="0" borderId="41" xfId="0" applyNumberFormat="1" applyBorder="1" applyAlignment="1">
      <alignment horizontal="right"/>
    </xf>
    <xf numFmtId="168" fontId="0" fillId="0" borderId="24" xfId="1" applyNumberFormat="1" applyFont="1" applyBorder="1" applyAlignment="1"/>
    <xf numFmtId="168" fontId="0" fillId="0" borderId="38" xfId="1" applyNumberFormat="1" applyFont="1" applyBorder="1"/>
    <xf numFmtId="10" fontId="0" fillId="10" borderId="0" xfId="0" applyNumberFormat="1" applyFill="1" applyBorder="1" applyAlignment="1">
      <alignment horizontal="center" vertical="center"/>
    </xf>
    <xf numFmtId="10" fontId="0" fillId="10" borderId="27" xfId="0" applyNumberFormat="1" applyFill="1" applyBorder="1" applyAlignment="1">
      <alignment horizontal="center" vertical="center"/>
    </xf>
    <xf numFmtId="10" fontId="0" fillId="0" borderId="56" xfId="1" applyNumberFormat="1" applyFont="1" applyBorder="1"/>
    <xf numFmtId="10" fontId="0" fillId="0" borderId="57" xfId="1" applyNumberFormat="1" applyFont="1" applyBorder="1"/>
    <xf numFmtId="167" fontId="0" fillId="0" borderId="14" xfId="1" applyNumberFormat="1" applyFont="1" applyBorder="1"/>
    <xf numFmtId="167" fontId="0" fillId="0" borderId="14" xfId="1" applyNumberFormat="1" applyFont="1" applyFill="1" applyBorder="1"/>
    <xf numFmtId="167" fontId="0" fillId="0" borderId="57" xfId="1" applyNumberFormat="1" applyFont="1" applyBorder="1"/>
    <xf numFmtId="10" fontId="0" fillId="0" borderId="27" xfId="0" applyNumberFormat="1" applyBorder="1"/>
    <xf numFmtId="0" fontId="0" fillId="10" borderId="0" xfId="0" applyFill="1" applyBorder="1" applyAlignment="1">
      <alignment horizontal="center" vertical="center" wrapText="1"/>
    </xf>
    <xf numFmtId="0" fontId="0" fillId="10" borderId="5" xfId="0" applyFill="1" applyBorder="1" applyAlignment="1">
      <alignment horizontal="center" vertical="center" wrapText="1"/>
    </xf>
    <xf numFmtId="10" fontId="0" fillId="10" borderId="9" xfId="0" applyNumberFormat="1" applyFill="1" applyBorder="1" applyAlignment="1">
      <alignment horizontal="center" vertical="center"/>
    </xf>
    <xf numFmtId="43" fontId="0" fillId="0" borderId="40" xfId="2" applyFont="1" applyBorder="1"/>
    <xf numFmtId="0" fontId="0" fillId="0" borderId="40" xfId="0" applyFill="1" applyBorder="1"/>
    <xf numFmtId="43" fontId="0" fillId="0" borderId="41" xfId="2" applyNumberFormat="1" applyFont="1" applyBorder="1"/>
    <xf numFmtId="10" fontId="4" fillId="10" borderId="5" xfId="0" applyNumberFormat="1" applyFont="1" applyFill="1" applyBorder="1" applyAlignment="1">
      <alignment horizontal="center" vertical="center"/>
    </xf>
    <xf numFmtId="10" fontId="4" fillId="10" borderId="0" xfId="0" applyNumberFormat="1" applyFont="1" applyFill="1" applyBorder="1" applyAlignment="1">
      <alignment horizontal="center" vertical="center"/>
    </xf>
    <xf numFmtId="166" fontId="0" fillId="0" borderId="37" xfId="0" applyNumberFormat="1" applyBorder="1"/>
    <xf numFmtId="166" fontId="0" fillId="0" borderId="40" xfId="0" applyNumberFormat="1" applyBorder="1"/>
    <xf numFmtId="166" fontId="0" fillId="0" borderId="41" xfId="0" applyNumberFormat="1" applyBorder="1"/>
    <xf numFmtId="0" fontId="0" fillId="0" borderId="0" xfId="0" applyBorder="1" applyAlignment="1">
      <alignment horizontal="left" vertical="center"/>
    </xf>
    <xf numFmtId="0" fontId="0" fillId="0" borderId="37" xfId="0" applyFill="1" applyBorder="1" applyAlignment="1">
      <alignment horizontal="left"/>
    </xf>
    <xf numFmtId="0" fontId="0" fillId="0" borderId="38" xfId="0" applyFill="1" applyBorder="1" applyAlignment="1">
      <alignment horizontal="left"/>
    </xf>
    <xf numFmtId="43" fontId="0" fillId="0" borderId="38" xfId="2" applyFont="1" applyBorder="1"/>
    <xf numFmtId="43" fontId="0" fillId="0" borderId="41" xfId="2" applyFont="1" applyBorder="1"/>
    <xf numFmtId="170" fontId="0" fillId="0" borderId="24" xfId="0" applyNumberFormat="1" applyBorder="1"/>
    <xf numFmtId="170" fontId="0" fillId="0" borderId="38" xfId="0" applyNumberFormat="1" applyBorder="1"/>
    <xf numFmtId="170" fontId="0" fillId="0" borderId="40" xfId="0" applyNumberFormat="1" applyBorder="1"/>
    <xf numFmtId="170" fontId="0" fillId="0" borderId="41" xfId="0" applyNumberFormat="1" applyBorder="1"/>
    <xf numFmtId="10" fontId="0" fillId="10" borderId="0" xfId="0" applyNumberFormat="1" applyFill="1" applyBorder="1" applyAlignment="1">
      <alignment horizontal="center"/>
    </xf>
    <xf numFmtId="168" fontId="0" fillId="0" borderId="38" xfId="0" applyNumberFormat="1" applyFill="1" applyBorder="1" applyAlignment="1">
      <alignment horizontal="right"/>
    </xf>
    <xf numFmtId="168" fontId="0" fillId="0" borderId="53" xfId="0" applyNumberFormat="1" applyFill="1" applyBorder="1" applyAlignment="1">
      <alignment horizontal="right"/>
    </xf>
    <xf numFmtId="0" fontId="32" fillId="18" borderId="0" xfId="4" applyFont="1" applyFill="1" applyBorder="1" applyAlignment="1">
      <alignment horizontal="center" vertical="center"/>
    </xf>
    <xf numFmtId="0" fontId="4" fillId="0" borderId="11" xfId="0" applyFont="1" applyBorder="1" applyAlignment="1">
      <alignment horizontal="center"/>
    </xf>
    <xf numFmtId="0" fontId="4" fillId="0" borderId="12" xfId="0" applyFont="1" applyBorder="1"/>
    <xf numFmtId="0" fontId="4" fillId="0" borderId="0" xfId="0" applyFont="1" applyFill="1" applyAlignment="1">
      <alignment horizontal="center"/>
    </xf>
    <xf numFmtId="0" fontId="4" fillId="10" borderId="1" xfId="0" applyFont="1" applyFill="1" applyBorder="1" applyAlignment="1">
      <alignment horizontal="center"/>
    </xf>
    <xf numFmtId="0" fontId="4" fillId="0" borderId="15" xfId="0" applyFont="1" applyFill="1" applyBorder="1"/>
    <xf numFmtId="0" fontId="32" fillId="18" borderId="0" xfId="4" applyFont="1" applyFill="1" applyAlignment="1">
      <alignment horizontal="left" vertical="center"/>
    </xf>
    <xf numFmtId="0" fontId="14" fillId="0" borderId="0" xfId="4" applyFont="1" applyAlignment="1">
      <alignment wrapText="1"/>
    </xf>
    <xf numFmtId="0" fontId="14" fillId="0" borderId="0" xfId="4" applyFont="1" applyAlignment="1">
      <alignment vertical="top" wrapText="1"/>
    </xf>
    <xf numFmtId="10" fontId="14" fillId="0" borderId="0" xfId="5" applyNumberFormat="1" applyFont="1"/>
    <xf numFmtId="0" fontId="14" fillId="0" borderId="0" xfId="4" applyNumberFormat="1" applyFont="1"/>
    <xf numFmtId="0" fontId="14" fillId="0" borderId="23" xfId="4" applyNumberFormat="1" applyFont="1" applyBorder="1"/>
    <xf numFmtId="0" fontId="14" fillId="0" borderId="0" xfId="9" applyFont="1" applyFill="1" applyAlignment="1">
      <alignment wrapText="1"/>
    </xf>
    <xf numFmtId="0" fontId="14" fillId="17" borderId="0" xfId="9" applyFont="1" applyAlignment="1">
      <alignment wrapText="1"/>
    </xf>
    <xf numFmtId="0" fontId="14" fillId="0" borderId="1" xfId="4" applyFont="1" applyBorder="1" applyAlignment="1">
      <alignment wrapText="1"/>
    </xf>
    <xf numFmtId="0" fontId="14" fillId="0" borderId="0" xfId="4" applyFont="1" applyAlignment="1"/>
    <xf numFmtId="0" fontId="32" fillId="18" borderId="0" xfId="4" applyFont="1" applyFill="1" applyBorder="1" applyAlignment="1">
      <alignment horizontal="center"/>
    </xf>
    <xf numFmtId="0" fontId="42" fillId="18" borderId="0" xfId="4" applyFont="1" applyFill="1" applyBorder="1"/>
    <xf numFmtId="15" fontId="42" fillId="18" borderId="0" xfId="4" applyNumberFormat="1" applyFont="1" applyFill="1" applyBorder="1"/>
    <xf numFmtId="0" fontId="14" fillId="0" borderId="0" xfId="4" applyNumberFormat="1" applyFont="1" applyBorder="1"/>
    <xf numFmtId="14" fontId="54" fillId="19" borderId="0" xfId="4" applyNumberFormat="1" applyFont="1" applyFill="1"/>
    <xf numFmtId="0" fontId="54" fillId="0" borderId="0" xfId="4" applyFont="1"/>
    <xf numFmtId="0" fontId="42" fillId="18" borderId="1" xfId="4" applyFont="1" applyFill="1" applyBorder="1"/>
    <xf numFmtId="15" fontId="42" fillId="18" borderId="1" xfId="4" applyNumberFormat="1" applyFont="1" applyFill="1" applyBorder="1"/>
    <xf numFmtId="0" fontId="54" fillId="19" borderId="0" xfId="4" applyFont="1" applyFill="1"/>
    <xf numFmtId="0" fontId="32" fillId="7" borderId="0" xfId="4" applyFont="1" applyFill="1" applyAlignment="1">
      <alignment horizontal="center" vertical="top" wrapText="1"/>
    </xf>
    <xf numFmtId="0" fontId="32" fillId="7" borderId="0" xfId="4" applyFont="1" applyFill="1" applyBorder="1" applyAlignment="1">
      <alignment horizontal="center"/>
    </xf>
    <xf numFmtId="0" fontId="42" fillId="7" borderId="0" xfId="4" applyFont="1" applyFill="1" applyBorder="1"/>
    <xf numFmtId="15" fontId="42" fillId="7" borderId="0" xfId="4" applyNumberFormat="1" applyFont="1" applyFill="1" applyBorder="1"/>
    <xf numFmtId="0" fontId="42" fillId="7" borderId="1" xfId="4" applyFont="1" applyFill="1" applyBorder="1"/>
    <xf numFmtId="15" fontId="42" fillId="7" borderId="1" xfId="4" applyNumberFormat="1" applyFont="1" applyFill="1" applyBorder="1"/>
    <xf numFmtId="10" fontId="0" fillId="10" borderId="5" xfId="0" applyNumberFormat="1" applyFill="1" applyBorder="1" applyAlignment="1">
      <alignment horizontal="center" vertical="center"/>
    </xf>
    <xf numFmtId="0" fontId="0" fillId="10" borderId="0" xfId="0" applyFill="1" applyBorder="1" applyAlignment="1">
      <alignment horizontal="center"/>
    </xf>
    <xf numFmtId="0" fontId="0" fillId="10" borderId="5" xfId="0" applyFill="1" applyBorder="1" applyAlignment="1">
      <alignment horizontal="center"/>
    </xf>
    <xf numFmtId="0" fontId="0" fillId="0" borderId="0" xfId="0" applyFill="1" applyAlignment="1">
      <alignment vertical="center"/>
    </xf>
    <xf numFmtId="0" fontId="0" fillId="20" borderId="0" xfId="0" applyFill="1" applyBorder="1"/>
    <xf numFmtId="0" fontId="0" fillId="0" borderId="4" xfId="0" applyFill="1" applyBorder="1" applyAlignment="1">
      <alignment vertical="center" wrapText="1"/>
    </xf>
    <xf numFmtId="0" fontId="0" fillId="0" borderId="4" xfId="0" applyFill="1" applyBorder="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5" xfId="0" applyBorder="1" applyAlignment="1">
      <alignment vertical="center" wrapText="1"/>
    </xf>
    <xf numFmtId="0" fontId="0" fillId="0" borderId="0" xfId="0" applyFill="1" applyBorder="1" applyAlignment="1">
      <alignment vertical="center"/>
    </xf>
    <xf numFmtId="10" fontId="0" fillId="10" borderId="0" xfId="0" applyNumberFormat="1" applyFill="1" applyBorder="1" applyAlignment="1">
      <alignment horizontal="center"/>
    </xf>
    <xf numFmtId="0" fontId="0" fillId="10" borderId="5" xfId="0" applyFill="1" applyBorder="1" applyAlignment="1">
      <alignment horizontal="center"/>
    </xf>
    <xf numFmtId="0" fontId="0" fillId="10" borderId="0" xfId="0" applyFill="1" applyBorder="1" applyAlignment="1">
      <alignment horizontal="center"/>
    </xf>
    <xf numFmtId="0" fontId="34" fillId="0" borderId="0" xfId="0" applyFont="1" applyAlignment="1">
      <alignment horizontal="center" vertical="center"/>
    </xf>
    <xf numFmtId="0" fontId="0" fillId="0" borderId="0" xfId="0" applyFill="1" applyBorder="1" applyAlignment="1">
      <alignment horizontal="center"/>
    </xf>
    <xf numFmtId="0" fontId="0" fillId="0" borderId="0" xfId="0" applyFill="1" applyAlignment="1">
      <alignment horizontal="center" vertical="center"/>
    </xf>
    <xf numFmtId="0" fontId="7" fillId="0" borderId="4" xfId="0" applyFont="1" applyFill="1" applyBorder="1" applyAlignment="1">
      <alignment vertical="center"/>
    </xf>
    <xf numFmtId="0" fontId="1" fillId="0" borderId="0" xfId="0" applyFont="1" applyFill="1"/>
    <xf numFmtId="0" fontId="0" fillId="0" borderId="0" xfId="0" applyFill="1" applyBorder="1" applyAlignment="1">
      <alignment vertical="center" wrapText="1"/>
    </xf>
    <xf numFmtId="0" fontId="31" fillId="0" borderId="0" xfId="0" applyFont="1" applyFill="1" applyBorder="1" applyAlignment="1">
      <alignment vertical="center" wrapText="1"/>
    </xf>
    <xf numFmtId="0" fontId="14" fillId="0" borderId="0" xfId="0" applyFont="1" applyFill="1" applyBorder="1" applyAlignment="1">
      <alignment vertic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14" fillId="0" borderId="0" xfId="0" applyFont="1" applyFill="1" applyBorder="1" applyAlignment="1">
      <alignment vertical="center" wrapText="1"/>
    </xf>
    <xf numFmtId="0" fontId="7" fillId="0" borderId="0" xfId="0" applyFont="1" applyFill="1" applyBorder="1" applyAlignment="1">
      <alignment vertical="center"/>
    </xf>
    <xf numFmtId="168" fontId="0" fillId="0" borderId="0" xfId="0" applyNumberFormat="1" applyFill="1" applyBorder="1"/>
    <xf numFmtId="0" fontId="10" fillId="0" borderId="0" xfId="0" applyFont="1" applyFill="1" applyBorder="1" applyAlignment="1"/>
    <xf numFmtId="0" fontId="7" fillId="0" borderId="0" xfId="0" applyFont="1" applyFill="1" applyBorder="1" applyAlignment="1">
      <alignment vertical="center" wrapText="1"/>
    </xf>
    <xf numFmtId="0" fontId="4" fillId="0" borderId="0" xfId="0" applyFont="1" applyFill="1" applyBorder="1" applyAlignment="1">
      <alignment horizontal="left"/>
    </xf>
    <xf numFmtId="0" fontId="0" fillId="0" borderId="0" xfId="0" applyFont="1" applyFill="1" applyBorder="1" applyAlignment="1">
      <alignment horizontal="left"/>
    </xf>
    <xf numFmtId="10" fontId="0" fillId="0" borderId="0" xfId="1" applyNumberFormat="1" applyFont="1" applyFill="1" applyBorder="1" applyAlignment="1">
      <alignment horizontal="center"/>
    </xf>
    <xf numFmtId="2" fontId="0" fillId="0" borderId="0" xfId="0" applyNumberFormat="1" applyFill="1" applyBorder="1" applyAlignment="1">
      <alignment horizontal="right"/>
    </xf>
    <xf numFmtId="2" fontId="0" fillId="0" borderId="0" xfId="1" applyNumberFormat="1" applyFont="1" applyFill="1" applyBorder="1" applyAlignment="1">
      <alignment horizontal="center" vertical="center"/>
    </xf>
    <xf numFmtId="2" fontId="0" fillId="0" borderId="0" xfId="1" applyNumberFormat="1" applyFont="1" applyFill="1" applyBorder="1" applyAlignment="1"/>
    <xf numFmtId="168" fontId="0" fillId="0" borderId="0" xfId="0" applyNumberFormat="1" applyFill="1"/>
    <xf numFmtId="10" fontId="0" fillId="0" borderId="0" xfId="1" applyNumberFormat="1" applyFont="1" applyFill="1" applyBorder="1" applyAlignment="1">
      <alignment horizontal="center" vertical="center"/>
    </xf>
    <xf numFmtId="0" fontId="4" fillId="0" borderId="0" xfId="0" applyFont="1" applyFill="1" applyBorder="1" applyAlignment="1">
      <alignment vertical="center"/>
    </xf>
    <xf numFmtId="166" fontId="0" fillId="0" borderId="19" xfId="1" applyNumberFormat="1" applyFont="1" applyBorder="1"/>
    <xf numFmtId="168" fontId="0" fillId="0" borderId="37" xfId="1" applyNumberFormat="1" applyFont="1" applyBorder="1"/>
    <xf numFmtId="168" fontId="0" fillId="0" borderId="39" xfId="1" applyNumberFormat="1" applyFont="1" applyBorder="1"/>
    <xf numFmtId="168" fontId="0" fillId="0" borderId="59" xfId="1" applyNumberFormat="1" applyFont="1" applyBorder="1"/>
    <xf numFmtId="166" fontId="0" fillId="0" borderId="18" xfId="1" applyNumberFormat="1" applyFont="1" applyBorder="1"/>
    <xf numFmtId="166" fontId="0" fillId="0" borderId="24" xfId="1" applyNumberFormat="1" applyFont="1" applyBorder="1"/>
    <xf numFmtId="0" fontId="0" fillId="0" borderId="0" xfId="0" applyAlignment="1"/>
    <xf numFmtId="0" fontId="34" fillId="0" borderId="0" xfId="0" applyFont="1" applyAlignment="1">
      <alignment vertical="center"/>
    </xf>
    <xf numFmtId="10" fontId="0" fillId="10" borderId="5" xfId="1" applyNumberFormat="1" applyFont="1" applyFill="1" applyBorder="1" applyAlignment="1">
      <alignment horizontal="center"/>
    </xf>
    <xf numFmtId="0" fontId="5" fillId="7" borderId="0" xfId="0" applyFont="1" applyFill="1" applyBorder="1" applyAlignment="1">
      <alignment horizontal="center"/>
    </xf>
    <xf numFmtId="0" fontId="5" fillId="7" borderId="0" xfId="0" applyFont="1" applyFill="1" applyBorder="1" applyAlignment="1">
      <alignment horizontal="center" wrapText="1"/>
    </xf>
    <xf numFmtId="0" fontId="19" fillId="0" borderId="0" xfId="0" applyFont="1" applyBorder="1" applyAlignment="1">
      <alignment horizontal="center"/>
    </xf>
    <xf numFmtId="0" fontId="10" fillId="5" borderId="0" xfId="0" applyFont="1" applyFill="1" applyBorder="1" applyAlignment="1">
      <alignment horizontal="center"/>
    </xf>
    <xf numFmtId="0" fontId="11" fillId="2" borderId="0" xfId="0" applyFont="1" applyFill="1" applyBorder="1" applyAlignment="1">
      <alignment horizontal="center"/>
    </xf>
    <xf numFmtId="0" fontId="11" fillId="2" borderId="0" xfId="0" applyFont="1" applyFill="1" applyBorder="1" applyAlignment="1">
      <alignment horizontal="center" wrapText="1"/>
    </xf>
    <xf numFmtId="0" fontId="10" fillId="5" borderId="0" xfId="0" applyFont="1" applyFill="1" applyBorder="1" applyAlignment="1">
      <alignment horizontal="center" wrapText="1"/>
    </xf>
    <xf numFmtId="0" fontId="10" fillId="11" borderId="31" xfId="0" applyFont="1" applyFill="1" applyBorder="1" applyAlignment="1">
      <alignment horizontal="center"/>
    </xf>
    <xf numFmtId="0" fontId="10" fillId="11" borderId="32" xfId="0" applyFont="1" applyFill="1" applyBorder="1" applyAlignment="1">
      <alignment horizontal="center"/>
    </xf>
    <xf numFmtId="0" fontId="10" fillId="11" borderId="33" xfId="0" applyFont="1" applyFill="1" applyBorder="1" applyAlignment="1">
      <alignment horizontal="center"/>
    </xf>
    <xf numFmtId="0" fontId="10" fillId="11" borderId="0" xfId="0" applyFont="1" applyFill="1" applyBorder="1" applyAlignment="1">
      <alignment horizontal="center" wrapText="1"/>
    </xf>
    <xf numFmtId="0" fontId="5" fillId="7" borderId="0" xfId="0" applyFont="1" applyFill="1" applyAlignment="1">
      <alignment horizontal="center"/>
    </xf>
    <xf numFmtId="0" fontId="30" fillId="7" borderId="0" xfId="0" applyFont="1"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28" fillId="7" borderId="0" xfId="0" applyFont="1" applyFill="1" applyBorder="1" applyAlignment="1">
      <alignment horizontal="center" vertical="center"/>
    </xf>
    <xf numFmtId="0" fontId="28" fillId="7" borderId="0" xfId="0" applyFont="1" applyFill="1" applyAlignment="1">
      <alignment horizontal="center" vertical="center"/>
    </xf>
    <xf numFmtId="0" fontId="11" fillId="0" borderId="0" xfId="0" applyFont="1" applyFill="1" applyAlignment="1">
      <alignment horizontal="center"/>
    </xf>
    <xf numFmtId="0" fontId="37" fillId="7" borderId="0" xfId="0" applyFont="1" applyFill="1" applyAlignment="1">
      <alignment horizontal="center" wrapText="1"/>
    </xf>
    <xf numFmtId="0" fontId="37" fillId="7" borderId="0" xfId="0" applyFont="1" applyFill="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33" xfId="0" applyFill="1" applyBorder="1" applyAlignment="1">
      <alignment horizont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36" fillId="7" borderId="0" xfId="0" applyFont="1" applyFill="1" applyBorder="1" applyAlignment="1">
      <alignment horizontal="center"/>
    </xf>
    <xf numFmtId="0" fontId="36" fillId="7" borderId="0" xfId="0" applyFont="1" applyFill="1" applyBorder="1" applyAlignment="1">
      <alignment horizontal="center" wrapText="1"/>
    </xf>
    <xf numFmtId="0" fontId="33" fillId="0" borderId="2" xfId="6" applyFont="1" applyFill="1" applyBorder="1" applyAlignment="1">
      <alignment horizontal="center" vertical="center"/>
    </xf>
    <xf numFmtId="0" fontId="33" fillId="0" borderId="4" xfId="6" applyFont="1" applyFill="1" applyBorder="1" applyAlignment="1">
      <alignment horizontal="center" vertical="center"/>
    </xf>
    <xf numFmtId="0" fontId="33" fillId="0" borderId="8" xfId="6" applyFont="1" applyFill="1" applyBorder="1" applyAlignment="1">
      <alignment horizontal="center" vertical="center"/>
    </xf>
    <xf numFmtId="0" fontId="40" fillId="7" borderId="0" xfId="6" applyFont="1" applyFill="1" applyAlignment="1">
      <alignment horizontal="center" vertical="center"/>
    </xf>
    <xf numFmtId="0" fontId="40" fillId="7" borderId="22" xfId="6" applyFont="1" applyFill="1" applyBorder="1" applyAlignment="1">
      <alignment horizontal="center"/>
    </xf>
    <xf numFmtId="0" fontId="40" fillId="7" borderId="25" xfId="6" applyFont="1" applyFill="1" applyBorder="1" applyAlignment="1">
      <alignment horizontal="center"/>
    </xf>
    <xf numFmtId="0" fontId="40" fillId="7" borderId="21" xfId="6" applyFont="1" applyFill="1" applyBorder="1" applyAlignment="1">
      <alignment horizontal="center"/>
    </xf>
    <xf numFmtId="0" fontId="52" fillId="0" borderId="2" xfId="6" applyFont="1" applyFill="1" applyBorder="1" applyAlignment="1">
      <alignment horizontal="center" vertical="center"/>
    </xf>
    <xf numFmtId="0" fontId="52" fillId="0" borderId="4" xfId="6" applyFont="1" applyFill="1" applyBorder="1" applyAlignment="1">
      <alignment horizontal="center" vertical="center"/>
    </xf>
    <xf numFmtId="0" fontId="52" fillId="0" borderId="8" xfId="6" applyFont="1" applyFill="1" applyBorder="1" applyAlignment="1">
      <alignment horizontal="center" vertical="center"/>
    </xf>
    <xf numFmtId="0" fontId="18"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28" fillId="7" borderId="26" xfId="0" applyFont="1" applyFill="1" applyBorder="1" applyAlignment="1">
      <alignment horizontal="center"/>
    </xf>
    <xf numFmtId="0" fontId="5" fillId="7" borderId="5" xfId="0" applyFont="1" applyFill="1" applyBorder="1" applyAlignment="1">
      <alignment horizontal="center" vertical="center" wrapText="1"/>
    </xf>
    <xf numFmtId="0" fontId="38" fillId="7" borderId="10" xfId="0" applyFont="1" applyFill="1" applyBorder="1" applyAlignment="1">
      <alignment horizontal="center" vertical="center"/>
    </xf>
    <xf numFmtId="0" fontId="38" fillId="7" borderId="11" xfId="0" applyFont="1" applyFill="1" applyBorder="1" applyAlignment="1">
      <alignment horizontal="center" vertical="center"/>
    </xf>
    <xf numFmtId="0" fontId="28" fillId="7" borderId="3" xfId="0" applyFont="1" applyFill="1" applyBorder="1" applyAlignment="1">
      <alignment horizontal="center"/>
    </xf>
    <xf numFmtId="0" fontId="5" fillId="7" borderId="5" xfId="0" applyFont="1" applyFill="1" applyBorder="1" applyAlignment="1">
      <alignment horizontal="center"/>
    </xf>
    <xf numFmtId="0" fontId="28" fillId="7" borderId="26" xfId="0" applyFont="1" applyFill="1" applyBorder="1" applyAlignment="1">
      <alignment horizontal="center" vertical="center"/>
    </xf>
    <xf numFmtId="0" fontId="28" fillId="7" borderId="3" xfId="0" applyFont="1" applyFill="1" applyBorder="1" applyAlignment="1">
      <alignment horizontal="center" vertical="center"/>
    </xf>
    <xf numFmtId="0" fontId="28" fillId="7" borderId="5" xfId="0" applyFont="1" applyFill="1" applyBorder="1" applyAlignment="1">
      <alignment horizontal="center" vertical="center"/>
    </xf>
    <xf numFmtId="0" fontId="38" fillId="7" borderId="12" xfId="0" applyFont="1" applyFill="1" applyBorder="1" applyAlignment="1">
      <alignment horizontal="center" vertical="center"/>
    </xf>
    <xf numFmtId="0" fontId="38" fillId="7" borderId="26" xfId="0" applyFont="1" applyFill="1" applyBorder="1" applyAlignment="1">
      <alignment horizontal="center"/>
    </xf>
    <xf numFmtId="0" fontId="38" fillId="7" borderId="3" xfId="0" applyFont="1" applyFill="1" applyBorder="1" applyAlignment="1">
      <alignment horizontal="center"/>
    </xf>
    <xf numFmtId="10" fontId="0" fillId="10" borderId="0" xfId="0" applyNumberFormat="1" applyFill="1" applyBorder="1" applyAlignment="1">
      <alignment horizontal="center"/>
    </xf>
    <xf numFmtId="10" fontId="0" fillId="10" borderId="5" xfId="0" applyNumberFormat="1" applyFill="1" applyBorder="1" applyAlignment="1">
      <alignment horizontal="center"/>
    </xf>
    <xf numFmtId="0" fontId="7" fillId="10" borderId="31" xfId="0" applyFont="1" applyFill="1" applyBorder="1" applyAlignment="1">
      <alignment horizontal="center"/>
    </xf>
    <xf numFmtId="0" fontId="7" fillId="10" borderId="32" xfId="0" applyFont="1" applyFill="1" applyBorder="1" applyAlignment="1">
      <alignment horizontal="center"/>
    </xf>
    <xf numFmtId="0" fontId="7" fillId="10" borderId="33" xfId="0" applyFont="1" applyFill="1" applyBorder="1" applyAlignment="1">
      <alignment horizontal="center"/>
    </xf>
    <xf numFmtId="0" fontId="0" fillId="10" borderId="5" xfId="0" applyFill="1" applyBorder="1" applyAlignment="1">
      <alignment horizontal="center"/>
    </xf>
    <xf numFmtId="0" fontId="7" fillId="10" borderId="2" xfId="0" applyFont="1" applyFill="1" applyBorder="1" applyAlignment="1">
      <alignment horizontal="center"/>
    </xf>
    <xf numFmtId="0" fontId="7" fillId="10" borderId="26" xfId="0" applyFont="1" applyFill="1" applyBorder="1" applyAlignment="1">
      <alignment horizontal="center"/>
    </xf>
    <xf numFmtId="0" fontId="7" fillId="10" borderId="3" xfId="0" applyFont="1" applyFill="1" applyBorder="1" applyAlignment="1">
      <alignment horizontal="center"/>
    </xf>
    <xf numFmtId="0" fontId="0" fillId="10" borderId="0" xfId="0" applyFill="1" applyBorder="1" applyAlignment="1">
      <alignment horizontal="center"/>
    </xf>
    <xf numFmtId="0" fontId="0" fillId="9" borderId="0" xfId="0" applyFill="1" applyBorder="1" applyAlignment="1">
      <alignment horizontal="center"/>
    </xf>
    <xf numFmtId="0" fontId="53" fillId="9" borderId="31" xfId="0" applyFont="1" applyFill="1" applyBorder="1" applyAlignment="1">
      <alignment horizontal="center"/>
    </xf>
    <xf numFmtId="0" fontId="53" fillId="9" borderId="32" xfId="0" applyFont="1" applyFill="1" applyBorder="1" applyAlignment="1">
      <alignment horizontal="center"/>
    </xf>
    <xf numFmtId="0" fontId="53" fillId="9" borderId="33" xfId="0" applyFont="1" applyFill="1" applyBorder="1" applyAlignment="1">
      <alignment horizontal="center"/>
    </xf>
    <xf numFmtId="10" fontId="7" fillId="9" borderId="2" xfId="0" applyNumberFormat="1" applyFont="1" applyFill="1" applyBorder="1" applyAlignment="1">
      <alignment horizontal="center"/>
    </xf>
    <xf numFmtId="0" fontId="7" fillId="9" borderId="26" xfId="0" applyFont="1" applyFill="1" applyBorder="1" applyAlignment="1">
      <alignment horizontal="center"/>
    </xf>
    <xf numFmtId="0" fontId="7" fillId="9" borderId="3" xfId="0" applyFont="1" applyFill="1" applyBorder="1" applyAlignment="1">
      <alignment horizontal="center"/>
    </xf>
    <xf numFmtId="0" fontId="0" fillId="9" borderId="5" xfId="0" applyFill="1" applyBorder="1" applyAlignment="1">
      <alignment horizontal="center"/>
    </xf>
    <xf numFmtId="0" fontId="0" fillId="10" borderId="4" xfId="0" applyFill="1" applyBorder="1" applyAlignment="1">
      <alignment horizontal="center" vertical="center"/>
    </xf>
    <xf numFmtId="0" fontId="34" fillId="0" borderId="27" xfId="0" applyFont="1" applyBorder="1" applyAlignment="1">
      <alignment horizontal="center"/>
    </xf>
    <xf numFmtId="0" fontId="0" fillId="10" borderId="31" xfId="0" applyFill="1" applyBorder="1" applyAlignment="1">
      <alignment horizontal="center"/>
    </xf>
    <xf numFmtId="0" fontId="0" fillId="10" borderId="32" xfId="0" applyFill="1" applyBorder="1" applyAlignment="1">
      <alignment horizontal="center"/>
    </xf>
    <xf numFmtId="0" fontId="0" fillId="10" borderId="33" xfId="0" applyFill="1" applyBorder="1" applyAlignment="1">
      <alignment horizontal="center"/>
    </xf>
    <xf numFmtId="0" fontId="10" fillId="10" borderId="31" xfId="0" applyFont="1" applyFill="1" applyBorder="1" applyAlignment="1">
      <alignment horizontal="center"/>
    </xf>
    <xf numFmtId="0" fontId="10" fillId="10" borderId="32" xfId="0" applyFont="1" applyFill="1" applyBorder="1" applyAlignment="1">
      <alignment horizontal="center"/>
    </xf>
    <xf numFmtId="0" fontId="10" fillId="10" borderId="33" xfId="0" applyFont="1" applyFill="1" applyBorder="1" applyAlignment="1">
      <alignment horizontal="center"/>
    </xf>
    <xf numFmtId="0" fontId="7" fillId="10" borderId="42" xfId="0" applyFont="1" applyFill="1" applyBorder="1" applyAlignment="1">
      <alignment horizontal="center"/>
    </xf>
    <xf numFmtId="0" fontId="7" fillId="10" borderId="43" xfId="0" applyFont="1" applyFill="1" applyBorder="1" applyAlignment="1">
      <alignment horizontal="center"/>
    </xf>
    <xf numFmtId="0" fontId="7" fillId="10" borderId="44" xfId="0" applyFont="1" applyFill="1" applyBorder="1" applyAlignment="1">
      <alignment horizontal="center"/>
    </xf>
    <xf numFmtId="0" fontId="0" fillId="10" borderId="26" xfId="0" applyFill="1" applyBorder="1" applyAlignment="1">
      <alignment horizontal="center"/>
    </xf>
    <xf numFmtId="0" fontId="0" fillId="10" borderId="3" xfId="0" applyFill="1" applyBorder="1" applyAlignment="1">
      <alignment horizontal="center"/>
    </xf>
    <xf numFmtId="0" fontId="0" fillId="0" borderId="0" xfId="0" applyFill="1" applyBorder="1" applyAlignment="1">
      <alignment horizontal="center"/>
    </xf>
    <xf numFmtId="0" fontId="0" fillId="10" borderId="5" xfId="0" applyFill="1" applyBorder="1" applyAlignment="1">
      <alignment horizontal="center" wrapText="1"/>
    </xf>
    <xf numFmtId="0" fontId="7" fillId="10" borderId="61" xfId="0" applyFont="1" applyFill="1" applyBorder="1" applyAlignment="1">
      <alignment horizontal="center"/>
    </xf>
    <xf numFmtId="0" fontId="7" fillId="10" borderId="62" xfId="0" applyFont="1" applyFill="1" applyBorder="1" applyAlignment="1">
      <alignment horizontal="center"/>
    </xf>
    <xf numFmtId="0" fontId="7" fillId="10" borderId="0" xfId="0" applyFont="1" applyFill="1" applyBorder="1" applyAlignment="1">
      <alignment horizontal="center"/>
    </xf>
    <xf numFmtId="0" fontId="7" fillId="10" borderId="5" xfId="0" applyFont="1" applyFill="1" applyBorder="1" applyAlignment="1">
      <alignment horizontal="center"/>
    </xf>
    <xf numFmtId="0" fontId="0" fillId="10" borderId="0" xfId="0" applyFill="1" applyBorder="1" applyAlignment="1">
      <alignment horizontal="center" wrapText="1"/>
    </xf>
    <xf numFmtId="0" fontId="0" fillId="10" borderId="13" xfId="0" applyFill="1" applyBorder="1" applyAlignment="1">
      <alignment horizontal="center" wrapText="1"/>
    </xf>
    <xf numFmtId="0" fontId="30" fillId="7" borderId="0" xfId="0" applyFont="1" applyFill="1" applyAlignment="1">
      <alignment horizontal="center" vertical="center"/>
    </xf>
    <xf numFmtId="10" fontId="2" fillId="0" borderId="0" xfId="5" applyNumberFormat="1" applyFont="1" applyFill="1" applyBorder="1" applyAlignment="1">
      <alignment horizontal="center"/>
    </xf>
    <xf numFmtId="0" fontId="32" fillId="18" borderId="0" xfId="4" applyFont="1" applyFill="1" applyBorder="1" applyAlignment="1">
      <alignment horizontal="center" vertical="center" wrapText="1"/>
    </xf>
    <xf numFmtId="0" fontId="32" fillId="18" borderId="0" xfId="4" applyFont="1" applyFill="1" applyBorder="1" applyAlignment="1">
      <alignment horizontal="center" vertical="center"/>
    </xf>
    <xf numFmtId="0" fontId="32" fillId="7" borderId="0" xfId="4" applyFont="1" applyFill="1" applyBorder="1" applyAlignment="1">
      <alignment horizontal="center" vertical="center" wrapText="1"/>
    </xf>
    <xf numFmtId="0" fontId="38" fillId="7" borderId="0" xfId="4" applyFont="1" applyFill="1" applyBorder="1" applyAlignment="1">
      <alignment horizontal="center"/>
    </xf>
    <xf numFmtId="0" fontId="32" fillId="0" borderId="0" xfId="4" applyFont="1" applyFill="1" applyBorder="1" applyAlignment="1">
      <alignment horizontal="center" vertical="center" wrapText="1"/>
    </xf>
    <xf numFmtId="0" fontId="50" fillId="18" borderId="0" xfId="4" applyFont="1" applyFill="1" applyBorder="1" applyAlignment="1">
      <alignment horizontal="center" vertical="center"/>
    </xf>
  </cellXfs>
  <cellStyles count="10">
    <cellStyle name="20% - Accent3 2" xfId="9"/>
    <cellStyle name="Comma" xfId="2" builtinId="3"/>
    <cellStyle name="Comma 2" xfId="3"/>
    <cellStyle name="Hyperlink" xfId="7" builtinId="8"/>
    <cellStyle name="Normal" xfId="0" builtinId="0"/>
    <cellStyle name="Normal 2" xfId="4"/>
    <cellStyle name="Normal 2 2" xfId="8"/>
    <cellStyle name="Normal 3" xfId="6"/>
    <cellStyle name="Percent" xfId="1" builtinId="5"/>
    <cellStyle name="Percent 2" xfId="5"/>
  </cellStyles>
  <dxfs count="0"/>
  <tableStyles count="0" defaultTableStyle="TableStyleMedium2" defaultPivotStyle="PivotStyleLight16"/>
  <colors>
    <mruColors>
      <color rgb="FFCAB7DD"/>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801904569621101E-2"/>
          <c:y val="1.33882259233135E-2"/>
          <c:w val="0.90532202705431097"/>
          <c:h val="0.97322354815337297"/>
        </c:manualLayout>
      </c:layout>
      <c:lineChart>
        <c:grouping val="standard"/>
        <c:varyColors val="0"/>
        <c:ser>
          <c:idx val="0"/>
          <c:order val="0"/>
          <c:tx>
            <c:strRef>
              <c:f>'Risk Free Return+SR'!$J$1:$K$1</c:f>
              <c:strCache>
                <c:ptCount val="1"/>
                <c:pt idx="0">
                  <c:v>NBIM</c:v>
                </c:pt>
              </c:strCache>
            </c:strRef>
          </c:tx>
          <c:spPr>
            <a:ln w="28575" cap="rnd">
              <a:solidFill>
                <a:schemeClr val="accent1"/>
              </a:solidFill>
              <a:round/>
            </a:ln>
            <a:effectLst/>
          </c:spPr>
          <c:marker>
            <c:symbol val="none"/>
          </c:marker>
          <c:cat>
            <c:strRef>
              <c:f>'Risk Free Return+SR'!$I$3:$I$74</c:f>
              <c:strCache>
                <c:ptCount val="72"/>
                <c:pt idx="0">
                  <c:v>1Q1999</c:v>
                </c:pt>
                <c:pt idx="1">
                  <c:v>2Q1999</c:v>
                </c:pt>
                <c:pt idx="2">
                  <c:v>3Q1999</c:v>
                </c:pt>
                <c:pt idx="3">
                  <c:v>4Q1999</c:v>
                </c:pt>
                <c:pt idx="4">
                  <c:v>1Q2000</c:v>
                </c:pt>
                <c:pt idx="5">
                  <c:v>2Q2000</c:v>
                </c:pt>
                <c:pt idx="6">
                  <c:v>3Q2000</c:v>
                </c:pt>
                <c:pt idx="7">
                  <c:v>4Q2000</c:v>
                </c:pt>
                <c:pt idx="8">
                  <c:v>1Q2001</c:v>
                </c:pt>
                <c:pt idx="9">
                  <c:v>2Q2001</c:v>
                </c:pt>
                <c:pt idx="10">
                  <c:v>3Q2001</c:v>
                </c:pt>
                <c:pt idx="11">
                  <c:v>4Q2001</c:v>
                </c:pt>
                <c:pt idx="12">
                  <c:v>1Q2002</c:v>
                </c:pt>
                <c:pt idx="13">
                  <c:v>2Q2002</c:v>
                </c:pt>
                <c:pt idx="14">
                  <c:v>3Q2002</c:v>
                </c:pt>
                <c:pt idx="15">
                  <c:v>4Q2002</c:v>
                </c:pt>
                <c:pt idx="16">
                  <c:v>1Q2003</c:v>
                </c:pt>
                <c:pt idx="17">
                  <c:v>2Q2003</c:v>
                </c:pt>
                <c:pt idx="18">
                  <c:v>3Q2003</c:v>
                </c:pt>
                <c:pt idx="19">
                  <c:v>4Q2003</c:v>
                </c:pt>
                <c:pt idx="20">
                  <c:v>1Q2004</c:v>
                </c:pt>
                <c:pt idx="21">
                  <c:v>2Q2004</c:v>
                </c:pt>
                <c:pt idx="22">
                  <c:v>3Q2004</c:v>
                </c:pt>
                <c:pt idx="23">
                  <c:v>4Q2004</c:v>
                </c:pt>
                <c:pt idx="24">
                  <c:v>1Q2005</c:v>
                </c:pt>
                <c:pt idx="25">
                  <c:v>2Q2005</c:v>
                </c:pt>
                <c:pt idx="26">
                  <c:v>3Q2005</c:v>
                </c:pt>
                <c:pt idx="27">
                  <c:v>4Q2005</c:v>
                </c:pt>
                <c:pt idx="28">
                  <c:v>1Q2006</c:v>
                </c:pt>
                <c:pt idx="29">
                  <c:v>2Q2006</c:v>
                </c:pt>
                <c:pt idx="30">
                  <c:v>3Q2006</c:v>
                </c:pt>
                <c:pt idx="31">
                  <c:v>4Q2006</c:v>
                </c:pt>
                <c:pt idx="32">
                  <c:v>1Q2007</c:v>
                </c:pt>
                <c:pt idx="33">
                  <c:v>2Q2007</c:v>
                </c:pt>
                <c:pt idx="34">
                  <c:v>3Q2007</c:v>
                </c:pt>
                <c:pt idx="35">
                  <c:v>4Q2007</c:v>
                </c:pt>
                <c:pt idx="36">
                  <c:v>1Q2008</c:v>
                </c:pt>
                <c:pt idx="37">
                  <c:v>2Q2008</c:v>
                </c:pt>
                <c:pt idx="38">
                  <c:v>3Q2008</c:v>
                </c:pt>
                <c:pt idx="39">
                  <c:v>4Q2008</c:v>
                </c:pt>
                <c:pt idx="40">
                  <c:v>1Q2009</c:v>
                </c:pt>
                <c:pt idx="41">
                  <c:v>2Q2009</c:v>
                </c:pt>
                <c:pt idx="42">
                  <c:v>3Q2009</c:v>
                </c:pt>
                <c:pt idx="43">
                  <c:v>4Q2009</c:v>
                </c:pt>
                <c:pt idx="44">
                  <c:v>1Q2010</c:v>
                </c:pt>
                <c:pt idx="45">
                  <c:v>2Q2010</c:v>
                </c:pt>
                <c:pt idx="46">
                  <c:v>3Q2010</c:v>
                </c:pt>
                <c:pt idx="47">
                  <c:v>4Q2010</c:v>
                </c:pt>
                <c:pt idx="48">
                  <c:v>1Q2011</c:v>
                </c:pt>
                <c:pt idx="49">
                  <c:v>2Q2011</c:v>
                </c:pt>
                <c:pt idx="50">
                  <c:v>3Q2011</c:v>
                </c:pt>
                <c:pt idx="51">
                  <c:v>4Q2011</c:v>
                </c:pt>
                <c:pt idx="52">
                  <c:v>1Q2012</c:v>
                </c:pt>
                <c:pt idx="53">
                  <c:v>2Q2012</c:v>
                </c:pt>
                <c:pt idx="54">
                  <c:v>3Q2012</c:v>
                </c:pt>
                <c:pt idx="55">
                  <c:v>4Q2012</c:v>
                </c:pt>
                <c:pt idx="56">
                  <c:v>1Q2013</c:v>
                </c:pt>
                <c:pt idx="57">
                  <c:v>2Q2013</c:v>
                </c:pt>
                <c:pt idx="58">
                  <c:v>3Q2013</c:v>
                </c:pt>
                <c:pt idx="59">
                  <c:v>4Q2013</c:v>
                </c:pt>
                <c:pt idx="60">
                  <c:v>1Q2014</c:v>
                </c:pt>
                <c:pt idx="61">
                  <c:v>2Q2014</c:v>
                </c:pt>
                <c:pt idx="62">
                  <c:v>3Q2014</c:v>
                </c:pt>
                <c:pt idx="63">
                  <c:v>4Q2014</c:v>
                </c:pt>
                <c:pt idx="64">
                  <c:v>1Q2015</c:v>
                </c:pt>
                <c:pt idx="65">
                  <c:v>2Q2015</c:v>
                </c:pt>
                <c:pt idx="66">
                  <c:v>3Q2015</c:v>
                </c:pt>
                <c:pt idx="67">
                  <c:v>4Q2015</c:v>
                </c:pt>
                <c:pt idx="68">
                  <c:v>1Q2016</c:v>
                </c:pt>
                <c:pt idx="69">
                  <c:v>2Q2016</c:v>
                </c:pt>
                <c:pt idx="70">
                  <c:v>3Q2016</c:v>
                </c:pt>
                <c:pt idx="71">
                  <c:v>4Q2016</c:v>
                </c:pt>
              </c:strCache>
            </c:strRef>
          </c:cat>
          <c:val>
            <c:numRef>
              <c:f>'Risk Free Return+SR'!$J$3:$J$74</c:f>
              <c:numCache>
                <c:formatCode>0.00%</c:formatCode>
                <c:ptCount val="72"/>
                <c:pt idx="0">
                  <c:v>-1.2806109663260901E-2</c:v>
                </c:pt>
                <c:pt idx="1">
                  <c:v>-2.6679188548619504E-3</c:v>
                </c:pt>
                <c:pt idx="2">
                  <c:v>3.3740647464486795E-2</c:v>
                </c:pt>
                <c:pt idx="3">
                  <c:v>6.033078700732486E-2</c:v>
                </c:pt>
                <c:pt idx="4">
                  <c:v>3.3425059086740205E-3</c:v>
                </c:pt>
                <c:pt idx="5">
                  <c:v>-1.1156068624270543E-2</c:v>
                </c:pt>
                <c:pt idx="6">
                  <c:v>-3.5758065980356024E-2</c:v>
                </c:pt>
                <c:pt idx="7">
                  <c:v>1.4857588145565481E-2</c:v>
                </c:pt>
                <c:pt idx="8">
                  <c:v>-7.2598594490699164E-2</c:v>
                </c:pt>
                <c:pt idx="9">
                  <c:v>-4.7676841306213413E-3</c:v>
                </c:pt>
                <c:pt idx="10">
                  <c:v>-1.4371566095631727E-2</c:v>
                </c:pt>
                <c:pt idx="11">
                  <c:v>2.3057028013401482E-2</c:v>
                </c:pt>
                <c:pt idx="12">
                  <c:v>-5.245273836852693E-3</c:v>
                </c:pt>
                <c:pt idx="13">
                  <c:v>4.5141183052912703E-2</c:v>
                </c:pt>
                <c:pt idx="14">
                  <c:v>-5.1110678966358347E-2</c:v>
                </c:pt>
                <c:pt idx="15">
                  <c:v>6.1876489349170782E-2</c:v>
                </c:pt>
                <c:pt idx="16">
                  <c:v>-5.2966055573544502E-4</c:v>
                </c:pt>
                <c:pt idx="17">
                  <c:v>0.10705794985463957</c:v>
                </c:pt>
                <c:pt idx="18">
                  <c:v>3.0902312267568233E-2</c:v>
                </c:pt>
                <c:pt idx="19">
                  <c:v>9.5111174528623721E-2</c:v>
                </c:pt>
                <c:pt idx="20">
                  <c:v>2.4189732235217587E-2</c:v>
                </c:pt>
                <c:pt idx="21">
                  <c:v>-1.2056496529350924E-2</c:v>
                </c:pt>
                <c:pt idx="22">
                  <c:v>2.298277123658643E-2</c:v>
                </c:pt>
                <c:pt idx="23">
                  <c:v>0.1029058136070462</c:v>
                </c:pt>
                <c:pt idx="24">
                  <c:v>-1.4334479444104931E-2</c:v>
                </c:pt>
                <c:pt idx="25">
                  <c:v>-9.180332122891155E-4</c:v>
                </c:pt>
                <c:pt idx="26">
                  <c:v>2.8312557165798058E-2</c:v>
                </c:pt>
                <c:pt idx="27">
                  <c:v>9.4819269561665642E-3</c:v>
                </c:pt>
                <c:pt idx="28">
                  <c:v>3.4367718014040927E-2</c:v>
                </c:pt>
                <c:pt idx="29">
                  <c:v>1.9907051977573698E-2</c:v>
                </c:pt>
                <c:pt idx="30">
                  <c:v>3.3788384235323488E-2</c:v>
                </c:pt>
                <c:pt idx="31">
                  <c:v>5.5911078756500698E-2</c:v>
                </c:pt>
                <c:pt idx="32">
                  <c:v>1.9291200062115932E-2</c:v>
                </c:pt>
                <c:pt idx="33">
                  <c:v>3.0912484490987158E-2</c:v>
                </c:pt>
                <c:pt idx="34">
                  <c:v>4.127613941639674E-2</c:v>
                </c:pt>
                <c:pt idx="35">
                  <c:v>3.3261828811859129E-3</c:v>
                </c:pt>
                <c:pt idx="36">
                  <c:v>-2.0625818795430351E-2</c:v>
                </c:pt>
                <c:pt idx="37">
                  <c:v>-2.5879253267910962E-2</c:v>
                </c:pt>
                <c:pt idx="38">
                  <c:v>-0.13864006617802127</c:v>
                </c:pt>
                <c:pt idx="39">
                  <c:v>-0.12508377757422806</c:v>
                </c:pt>
                <c:pt idx="40">
                  <c:v>-8.0771874950076206E-2</c:v>
                </c:pt>
                <c:pt idx="41">
                  <c:v>0.17631546523322417</c:v>
                </c:pt>
                <c:pt idx="42">
                  <c:v>0.16083524328588461</c:v>
                </c:pt>
                <c:pt idx="43">
                  <c:v>2.5822400485953079E-2</c:v>
                </c:pt>
                <c:pt idx="44">
                  <c:v>1.0513750365447327E-2</c:v>
                </c:pt>
                <c:pt idx="45">
                  <c:v>-8.961467897503006E-2</c:v>
                </c:pt>
                <c:pt idx="46">
                  <c:v>0.13658222126528474</c:v>
                </c:pt>
                <c:pt idx="47">
                  <c:v>3.8307621655095936E-2</c:v>
                </c:pt>
                <c:pt idx="48">
                  <c:v>4.5711627495188756E-2</c:v>
                </c:pt>
                <c:pt idx="49">
                  <c:v>1.6233376975580471E-2</c:v>
                </c:pt>
                <c:pt idx="50">
                  <c:v>-0.12665855641056489</c:v>
                </c:pt>
                <c:pt idx="51">
                  <c:v>3.2227419324049267E-2</c:v>
                </c:pt>
                <c:pt idx="52">
                  <c:v>8.4757952615789334E-2</c:v>
                </c:pt>
                <c:pt idx="53">
                  <c:v>-4.2563545352649501E-2</c:v>
                </c:pt>
                <c:pt idx="54">
                  <c:v>6.1883850340186841E-2</c:v>
                </c:pt>
                <c:pt idx="55">
                  <c:v>3.6335863211270469E-2</c:v>
                </c:pt>
                <c:pt idx="56">
                  <c:v>2.7596859938547214E-2</c:v>
                </c:pt>
                <c:pt idx="57">
                  <c:v>-9.8375336375877698E-3</c:v>
                </c:pt>
                <c:pt idx="58">
                  <c:v>7.3295153074385277E-2</c:v>
                </c:pt>
                <c:pt idx="59">
                  <c:v>4.4698436545951292E-2</c:v>
                </c:pt>
                <c:pt idx="60">
                  <c:v>1.9311530179193293E-2</c:v>
                </c:pt>
                <c:pt idx="61">
                  <c:v>3.5569410329010953E-2</c:v>
                </c:pt>
                <c:pt idx="62">
                  <c:v>-4.1258899704833318E-2</c:v>
                </c:pt>
                <c:pt idx="63">
                  <c:v>-1.8198192988486461E-2</c:v>
                </c:pt>
                <c:pt idx="64">
                  <c:v>1.0021297713558308E-2</c:v>
                </c:pt>
                <c:pt idx="65">
                  <c:v>5.5653241133761799E-3</c:v>
                </c:pt>
                <c:pt idx="66">
                  <c:v>-6.3282998485200581E-2</c:v>
                </c:pt>
                <c:pt idx="67">
                  <c:v>2.2583010724084529E-2</c:v>
                </c:pt>
                <c:pt idx="68">
                  <c:v>1.5450618395908666E-2</c:v>
                </c:pt>
                <c:pt idx="69">
                  <c:v>5.1589187565723726E-3</c:v>
                </c:pt>
                <c:pt idx="70">
                  <c:v>4.2630103305857814E-2</c:v>
                </c:pt>
                <c:pt idx="71">
                  <c:v>-1.8465187276381023E-2</c:v>
                </c:pt>
              </c:numCache>
            </c:numRef>
          </c:val>
          <c:smooth val="0"/>
          <c:extLst>
            <c:ext xmlns:c16="http://schemas.microsoft.com/office/drawing/2014/chart" uri="{C3380CC4-5D6E-409C-BE32-E72D297353CC}">
              <c16:uniqueId val="{00000000-70C5-42C4-9792-180583C4B09A}"/>
            </c:ext>
          </c:extLst>
        </c:ser>
        <c:ser>
          <c:idx val="1"/>
          <c:order val="1"/>
          <c:tx>
            <c:strRef>
              <c:f>'Risk Free Return+SR'!$M$1:$N$1</c:f>
              <c:strCache>
                <c:ptCount val="1"/>
                <c:pt idx="0">
                  <c:v>CPPIB</c:v>
                </c:pt>
              </c:strCache>
            </c:strRef>
          </c:tx>
          <c:spPr>
            <a:ln w="28575" cap="rnd">
              <a:solidFill>
                <a:schemeClr val="accent2"/>
              </a:solidFill>
              <a:round/>
            </a:ln>
            <a:effectLst/>
          </c:spPr>
          <c:marker>
            <c:symbol val="none"/>
          </c:marker>
          <c:val>
            <c:numRef>
              <c:f>'Risk Free Return+SR'!$M$8:$M$74</c:f>
              <c:numCache>
                <c:formatCode>0.00%</c:formatCode>
                <c:ptCount val="67"/>
                <c:pt idx="2">
                  <c:v>-7.8801248872425012E-2</c:v>
                </c:pt>
                <c:pt idx="3">
                  <c:v>-0.17056492080631502</c:v>
                </c:pt>
                <c:pt idx="4">
                  <c:v>4.5589708583753774E-2</c:v>
                </c:pt>
                <c:pt idx="5">
                  <c:v>-0.17318577657020084</c:v>
                </c:pt>
                <c:pt idx="6">
                  <c:v>0.10015458760346996</c:v>
                </c:pt>
                <c:pt idx="7">
                  <c:v>1.8955222109689585E-2</c:v>
                </c:pt>
                <c:pt idx="8">
                  <c:v>-7.1275491553524195E-2</c:v>
                </c:pt>
                <c:pt idx="9">
                  <c:v>-0.19002639054591275</c:v>
                </c:pt>
                <c:pt idx="10">
                  <c:v>6.167922556828298E-2</c:v>
                </c:pt>
                <c:pt idx="11">
                  <c:v>5.0637176272201323E-3</c:v>
                </c:pt>
                <c:pt idx="12">
                  <c:v>0.18159377191792281</c:v>
                </c:pt>
                <c:pt idx="13">
                  <c:v>6.3240014772481867E-2</c:v>
                </c:pt>
                <c:pt idx="14">
                  <c:v>0.14551596282400214</c:v>
                </c:pt>
                <c:pt idx="15">
                  <c:v>2.637835759038154E-2</c:v>
                </c:pt>
                <c:pt idx="16">
                  <c:v>-1.2189037888511112E-2</c:v>
                </c:pt>
                <c:pt idx="17">
                  <c:v>6.3910152325288516E-2</c:v>
                </c:pt>
                <c:pt idx="18">
                  <c:v>0.12879379248009437</c:v>
                </c:pt>
                <c:pt idx="19">
                  <c:v>1.7758504367298755E-2</c:v>
                </c:pt>
                <c:pt idx="20">
                  <c:v>2.4132479262439333E-2</c:v>
                </c:pt>
                <c:pt idx="21">
                  <c:v>0.11455705560983542</c:v>
                </c:pt>
                <c:pt idx="22">
                  <c:v>2.0268018383834407E-2</c:v>
                </c:pt>
                <c:pt idx="23">
                  <c:v>4.8599452797525089E-2</c:v>
                </c:pt>
                <c:pt idx="24">
                  <c:v>1.9213886449635842E-2</c:v>
                </c:pt>
                <c:pt idx="25">
                  <c:v>3.5713599517874117E-2</c:v>
                </c:pt>
                <c:pt idx="26">
                  <c:v>4.1280551036863455E-2</c:v>
                </c:pt>
                <c:pt idx="27">
                  <c:v>3.2935751825010851E-2</c:v>
                </c:pt>
                <c:pt idx="28">
                  <c:v>9.1719356240153926E-2</c:v>
                </c:pt>
                <c:pt idx="29">
                  <c:v>6.9658483848700214E-2</c:v>
                </c:pt>
                <c:pt idx="30">
                  <c:v>5.6262127754271862E-3</c:v>
                </c:pt>
                <c:pt idx="31">
                  <c:v>-4.5829365225037222E-2</c:v>
                </c:pt>
                <c:pt idx="32">
                  <c:v>2.128369450351375E-2</c:v>
                </c:pt>
                <c:pt idx="33">
                  <c:v>-0.13033058029439193</c:v>
                </c:pt>
                <c:pt idx="34">
                  <c:v>-0.19893423402980126</c:v>
                </c:pt>
                <c:pt idx="35">
                  <c:v>-7.6552374253544109E-2</c:v>
                </c:pt>
                <c:pt idx="36">
                  <c:v>0.15852803708430363</c:v>
                </c:pt>
                <c:pt idx="37">
                  <c:v>0.1301428138880798</c:v>
                </c:pt>
                <c:pt idx="38">
                  <c:v>4.1309261057798752E-2</c:v>
                </c:pt>
                <c:pt idx="39">
                  <c:v>4.1321314126054887E-2</c:v>
                </c:pt>
                <c:pt idx="40">
                  <c:v>-5.8498736957299013E-2</c:v>
                </c:pt>
                <c:pt idx="41">
                  <c:v>0.10089503304817837</c:v>
                </c:pt>
                <c:pt idx="42">
                  <c:v>6.1231542828701802E-2</c:v>
                </c:pt>
                <c:pt idx="43">
                  <c:v>5.4915832433081624E-2</c:v>
                </c:pt>
                <c:pt idx="44">
                  <c:v>1.6048596239324642E-2</c:v>
                </c:pt>
                <c:pt idx="45">
                  <c:v>-8.1796735840098833E-2</c:v>
                </c:pt>
                <c:pt idx="46">
                  <c:v>4.3758284463026431E-2</c:v>
                </c:pt>
                <c:pt idx="47">
                  <c:v>6.1524451112405121E-2</c:v>
                </c:pt>
                <c:pt idx="48">
                  <c:v>-1.5224825335710568E-2</c:v>
                </c:pt>
                <c:pt idx="49">
                  <c:v>5.4691416092790934E-2</c:v>
                </c:pt>
                <c:pt idx="50">
                  <c:v>1.6200992159832728E-2</c:v>
                </c:pt>
                <c:pt idx="51">
                  <c:v>2.244556210925297E-2</c:v>
                </c:pt>
                <c:pt idx="52">
                  <c:v>-2.7150122727053416E-2</c:v>
                </c:pt>
                <c:pt idx="53">
                  <c:v>4.3921207811157714E-2</c:v>
                </c:pt>
                <c:pt idx="54">
                  <c:v>2.16336433648876E-2</c:v>
                </c:pt>
                <c:pt idx="55">
                  <c:v>2.6732184381401236E-2</c:v>
                </c:pt>
                <c:pt idx="56">
                  <c:v>5.2243073260522799E-2</c:v>
                </c:pt>
                <c:pt idx="57">
                  <c:v>-1.5627784347121643E-2</c:v>
                </c:pt>
                <c:pt idx="58">
                  <c:v>-5.611753408553577E-3</c:v>
                </c:pt>
                <c:pt idx="59">
                  <c:v>-3.537745256251501E-3</c:v>
                </c:pt>
                <c:pt idx="60">
                  <c:v>1.3817515039323824E-2</c:v>
                </c:pt>
                <c:pt idx="61">
                  <c:v>-5.4488292303053965E-2</c:v>
                </c:pt>
                <c:pt idx="62">
                  <c:v>7.6637953391380798E-3</c:v>
                </c:pt>
                <c:pt idx="63">
                  <c:v>4.6409654331767802E-2</c:v>
                </c:pt>
                <c:pt idx="64">
                  <c:v>1.048294584280085E-2</c:v>
                </c:pt>
                <c:pt idx="65">
                  <c:v>3.4044872683364646E-2</c:v>
                </c:pt>
                <c:pt idx="66">
                  <c:v>-1.4628526265785036E-2</c:v>
                </c:pt>
              </c:numCache>
            </c:numRef>
          </c:val>
          <c:smooth val="0"/>
          <c:extLst>
            <c:ext xmlns:c16="http://schemas.microsoft.com/office/drawing/2014/chart" uri="{C3380CC4-5D6E-409C-BE32-E72D297353CC}">
              <c16:uniqueId val="{00000001-70C5-42C4-9792-180583C4B09A}"/>
            </c:ext>
          </c:extLst>
        </c:ser>
        <c:ser>
          <c:idx val="2"/>
          <c:order val="2"/>
          <c:tx>
            <c:strRef>
              <c:f>'Risk Free Return+SR'!$P$1:$Q$1</c:f>
              <c:strCache>
                <c:ptCount val="1"/>
                <c:pt idx="0">
                  <c:v>APG</c:v>
                </c:pt>
              </c:strCache>
            </c:strRef>
          </c:tx>
          <c:spPr>
            <a:ln w="28575" cap="rnd">
              <a:solidFill>
                <a:schemeClr val="accent3"/>
              </a:solidFill>
              <a:round/>
            </a:ln>
            <a:effectLst/>
          </c:spPr>
          <c:marker>
            <c:symbol val="none"/>
          </c:marker>
          <c:val>
            <c:numRef>
              <c:f>'Risk Free Return+SR'!$P$3:$P$74</c:f>
              <c:numCache>
                <c:formatCode>0.00%</c:formatCode>
                <c:ptCount val="72"/>
                <c:pt idx="0">
                  <c:v>-5.8435092498162478E-2</c:v>
                </c:pt>
                <c:pt idx="1">
                  <c:v>-2.1751370310895357E-2</c:v>
                </c:pt>
                <c:pt idx="2">
                  <c:v>5.7580763906302401E-2</c:v>
                </c:pt>
                <c:pt idx="3">
                  <c:v>-3.6086568844078792E-2</c:v>
                </c:pt>
                <c:pt idx="4">
                  <c:v>-3.7848226616450154E-2</c:v>
                </c:pt>
                <c:pt idx="5">
                  <c:v>9.5845582518836459E-3</c:v>
                </c:pt>
                <c:pt idx="6">
                  <c:v>-7.2164300148073179E-2</c:v>
                </c:pt>
                <c:pt idx="7">
                  <c:v>7.2263413972403878E-2</c:v>
                </c:pt>
                <c:pt idx="8">
                  <c:v>-7.2598243954973274E-2</c:v>
                </c:pt>
                <c:pt idx="9">
                  <c:v>-1.8682681851353911E-2</c:v>
                </c:pt>
                <c:pt idx="10">
                  <c:v>7.6748178116028409E-3</c:v>
                </c:pt>
                <c:pt idx="11">
                  <c:v>2.7060732268697318E-2</c:v>
                </c:pt>
                <c:pt idx="12">
                  <c:v>-3.8578549556389508E-3</c:v>
                </c:pt>
                <c:pt idx="13">
                  <c:v>6.5861583204426255E-2</c:v>
                </c:pt>
                <c:pt idx="14">
                  <c:v>-5.0913851637325869E-2</c:v>
                </c:pt>
                <c:pt idx="15">
                  <c:v>8.5790234137231636E-2</c:v>
                </c:pt>
                <c:pt idx="16">
                  <c:v>1.9973941470632584E-2</c:v>
                </c:pt>
                <c:pt idx="17">
                  <c:v>0.12216248352844428</c:v>
                </c:pt>
                <c:pt idx="18">
                  <c:v>3.2716804078982031E-2</c:v>
                </c:pt>
                <c:pt idx="19">
                  <c:v>0.12916762849970786</c:v>
                </c:pt>
                <c:pt idx="20">
                  <c:v>1.5702229912712973E-2</c:v>
                </c:pt>
                <c:pt idx="21">
                  <c:v>-1.2903710414989944E-2</c:v>
                </c:pt>
                <c:pt idx="22">
                  <c:v>4.2345965740901992E-2</c:v>
                </c:pt>
                <c:pt idx="23">
                  <c:v>0.14695938474474612</c:v>
                </c:pt>
                <c:pt idx="24">
                  <c:v>-2.9009643098668603E-2</c:v>
                </c:pt>
                <c:pt idx="25">
                  <c:v>-2.8456134895318508E-2</c:v>
                </c:pt>
                <c:pt idx="26">
                  <c:v>4.1427996423099245E-2</c:v>
                </c:pt>
                <c:pt idx="27">
                  <c:v>-3.6929613653673421E-3</c:v>
                </c:pt>
                <c:pt idx="28">
                  <c:v>5.6267903316775225E-2</c:v>
                </c:pt>
                <c:pt idx="29">
                  <c:v>4.1085220938983591E-2</c:v>
                </c:pt>
                <c:pt idx="30">
                  <c:v>2.753899370522106E-2</c:v>
                </c:pt>
                <c:pt idx="31">
                  <c:v>8.379449508360981E-2</c:v>
                </c:pt>
                <c:pt idx="32">
                  <c:v>2.6919689565400473E-2</c:v>
                </c:pt>
                <c:pt idx="33">
                  <c:v>2.8359722410894017E-2</c:v>
                </c:pt>
                <c:pt idx="34">
                  <c:v>7.0931206132829105E-2</c:v>
                </c:pt>
                <c:pt idx="35">
                  <c:v>1.7378897508807833E-2</c:v>
                </c:pt>
                <c:pt idx="36">
                  <c:v>3.4903468280908623E-2</c:v>
                </c:pt>
                <c:pt idx="37">
                  <c:v>-1.1790751166300684E-2</c:v>
                </c:pt>
                <c:pt idx="38">
                  <c:v>-0.15230418229798581</c:v>
                </c:pt>
                <c:pt idx="39">
                  <c:v>-0.12534397078285586</c:v>
                </c:pt>
                <c:pt idx="40">
                  <c:v>-8.5144740843196898E-2</c:v>
                </c:pt>
                <c:pt idx="41">
                  <c:v>0.15234845920514273</c:v>
                </c:pt>
                <c:pt idx="42">
                  <c:v>0.1537196747136429</c:v>
                </c:pt>
                <c:pt idx="43">
                  <c:v>2.0200728880883201E-2</c:v>
                </c:pt>
                <c:pt idx="44">
                  <c:v>-9.1342007127742653E-3</c:v>
                </c:pt>
                <c:pt idx="45">
                  <c:v>-9.9550101258882751E-2</c:v>
                </c:pt>
                <c:pt idx="46">
                  <c:v>0.17814455901968218</c:v>
                </c:pt>
                <c:pt idx="47">
                  <c:v>9.9930549224158671E-3</c:v>
                </c:pt>
                <c:pt idx="48">
                  <c:v>6.7314308550062041E-2</c:v>
                </c:pt>
                <c:pt idx="49">
                  <c:v>2.978164295389929E-2</c:v>
                </c:pt>
                <c:pt idx="50">
                  <c:v>-0.10143781305154509</c:v>
                </c:pt>
                <c:pt idx="51">
                  <c:v>1.2227752166667605E-2</c:v>
                </c:pt>
                <c:pt idx="52">
                  <c:v>8.5606856930382724E-2</c:v>
                </c:pt>
                <c:pt idx="53">
                  <c:v>-4.6180629183128374E-2</c:v>
                </c:pt>
                <c:pt idx="54">
                  <c:v>6.2371966303622184E-2</c:v>
                </c:pt>
                <c:pt idx="55">
                  <c:v>4.9865907564982992E-2</c:v>
                </c:pt>
                <c:pt idx="56">
                  <c:v>8.7694412746850414E-3</c:v>
                </c:pt>
                <c:pt idx="57">
                  <c:v>-6.8760494217233736E-3</c:v>
                </c:pt>
                <c:pt idx="58">
                  <c:v>6.3122747785508526E-2</c:v>
                </c:pt>
                <c:pt idx="59">
                  <c:v>4.2149377427629586E-2</c:v>
                </c:pt>
                <c:pt idx="60">
                  <c:v>3.0799711349195125E-2</c:v>
                </c:pt>
                <c:pt idx="61">
                  <c:v>4.3393728757311401E-2</c:v>
                </c:pt>
                <c:pt idx="62">
                  <c:v>-5.0633333238247813E-2</c:v>
                </c:pt>
                <c:pt idx="63">
                  <c:v>-1.520305227740415E-2</c:v>
                </c:pt>
                <c:pt idx="64">
                  <c:v>-3.4508696680849216E-2</c:v>
                </c:pt>
                <c:pt idx="65">
                  <c:v>-7.6731449612380542E-3</c:v>
                </c:pt>
                <c:pt idx="66">
                  <c:v>-2.9219933775839646E-2</c:v>
                </c:pt>
                <c:pt idx="67">
                  <c:v>-8.4123859932511147E-3</c:v>
                </c:pt>
                <c:pt idx="68">
                  <c:v>7.2409430985128642E-2</c:v>
                </c:pt>
                <c:pt idx="69">
                  <c:v>1.2838140867943659E-2</c:v>
                </c:pt>
                <c:pt idx="70">
                  <c:v>3.8395936508697881E-2</c:v>
                </c:pt>
                <c:pt idx="71">
                  <c:v>-5.7773078935081545E-2</c:v>
                </c:pt>
              </c:numCache>
            </c:numRef>
          </c:val>
          <c:smooth val="0"/>
          <c:extLst>
            <c:ext xmlns:c16="http://schemas.microsoft.com/office/drawing/2014/chart" uri="{C3380CC4-5D6E-409C-BE32-E72D297353CC}">
              <c16:uniqueId val="{00000002-70C5-42C4-9792-180583C4B09A}"/>
            </c:ext>
          </c:extLst>
        </c:ser>
        <c:dLbls>
          <c:showLegendKey val="0"/>
          <c:showVal val="0"/>
          <c:showCatName val="0"/>
          <c:showSerName val="0"/>
          <c:showPercent val="0"/>
          <c:showBubbleSize val="0"/>
        </c:dLbls>
        <c:smooth val="0"/>
        <c:axId val="-2055700928"/>
        <c:axId val="-2093389056"/>
      </c:lineChart>
      <c:catAx>
        <c:axId val="-205570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93389056"/>
        <c:crosses val="autoZero"/>
        <c:auto val="1"/>
        <c:lblAlgn val="ctr"/>
        <c:lblOffset val="100"/>
        <c:noMultiLvlLbl val="0"/>
      </c:catAx>
      <c:valAx>
        <c:axId val="-20933890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05570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21</xdr:col>
      <xdr:colOff>552450</xdr:colOff>
      <xdr:row>98</xdr:row>
      <xdr:rowOff>47625</xdr:rowOff>
    </xdr:from>
    <xdr:to>
      <xdr:col>33</xdr:col>
      <xdr:colOff>190500</xdr:colOff>
      <xdr:row>141</xdr:row>
      <xdr:rowOff>1</xdr:rowOff>
    </xdr:to>
    <xdr:graphicFrame macro="">
      <xdr:nvGraphicFramePr>
        <xdr:cNvPr id="3" name="Chart 2">
          <a:extLst>
            <a:ext uri="{FF2B5EF4-FFF2-40B4-BE49-F238E27FC236}">
              <a16:creationId xmlns:a16="http://schemas.microsoft.com/office/drawing/2014/main" id="{B2BD1B8B-2B75-43C1-BADA-1AB5291742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7"/>
  <sheetViews>
    <sheetView workbookViewId="0">
      <selection activeCell="B3" sqref="B3"/>
    </sheetView>
  </sheetViews>
  <sheetFormatPr defaultColWidth="8.85546875" defaultRowHeight="15"/>
  <cols>
    <col min="2" max="3" width="18.42578125" customWidth="1"/>
    <col min="4" max="4" width="18.140625" customWidth="1"/>
  </cols>
  <sheetData>
    <row r="1" spans="1:3">
      <c r="B1" t="s">
        <v>48</v>
      </c>
      <c r="C1" t="s">
        <v>49</v>
      </c>
    </row>
    <row r="2" spans="1:3">
      <c r="B2" t="s">
        <v>85</v>
      </c>
      <c r="C2" t="s">
        <v>85</v>
      </c>
    </row>
    <row r="3" spans="1:3">
      <c r="A3" t="s">
        <v>74</v>
      </c>
      <c r="B3">
        <v>3.73E-2</v>
      </c>
      <c r="C3">
        <f>0.0373-0.0333</f>
        <v>3.9999999999999966E-3</v>
      </c>
    </row>
    <row r="4" spans="1:3">
      <c r="A4" t="s">
        <v>75</v>
      </c>
      <c r="B4">
        <v>2.07E-2</v>
      </c>
      <c r="C4">
        <f>0.0207-0.0203</f>
        <v>4.0000000000000105E-4</v>
      </c>
    </row>
    <row r="5" spans="1:3" ht="15.75" customHeight="1">
      <c r="A5" t="s">
        <v>76</v>
      </c>
      <c r="B5">
        <v>-3.5799999999999998E-2</v>
      </c>
      <c r="C5">
        <f>-0.0358-(-0.0335)</f>
        <v>-2.2999999999999965E-3</v>
      </c>
    </row>
    <row r="6" spans="1:3">
      <c r="A6" t="s">
        <v>77</v>
      </c>
      <c r="B6">
        <v>7.0199999999999999E-2</v>
      </c>
      <c r="C6">
        <f>0.0702-0.0705</f>
        <v>-2.9999999999999472E-4</v>
      </c>
    </row>
    <row r="7" spans="1:3">
      <c r="A7" t="s">
        <v>70</v>
      </c>
      <c r="B7">
        <v>2.93E-2</v>
      </c>
      <c r="C7">
        <v>-1E-4</v>
      </c>
    </row>
    <row r="8" spans="1:3">
      <c r="A8" t="s">
        <v>71</v>
      </c>
      <c r="B8">
        <v>2.01E-2</v>
      </c>
      <c r="C8">
        <v>1.8E-3</v>
      </c>
    </row>
    <row r="9" spans="1:3">
      <c r="A9" t="s">
        <v>72</v>
      </c>
      <c r="B9">
        <v>-7.9000000000000008E-3</v>
      </c>
      <c r="C9">
        <v>1.6999999999999999E-3</v>
      </c>
    </row>
    <row r="10" spans="1:3">
      <c r="A10" t="s">
        <v>73</v>
      </c>
      <c r="B10">
        <v>7.9500000000000001E-2</v>
      </c>
      <c r="C10">
        <v>7.7000000000000002E-3</v>
      </c>
    </row>
    <row r="11" spans="1:3">
      <c r="A11" t="s">
        <v>59</v>
      </c>
      <c r="B11">
        <v>2.3699999999999999E-2</v>
      </c>
      <c r="C11">
        <v>3.7000000000000002E-3</v>
      </c>
    </row>
    <row r="12" spans="1:3">
      <c r="A12" t="s">
        <v>60</v>
      </c>
      <c r="B12">
        <v>0</v>
      </c>
      <c r="C12">
        <v>8.9999999999999998E-4</v>
      </c>
    </row>
    <row r="13" spans="1:3">
      <c r="A13" t="s">
        <v>61</v>
      </c>
      <c r="B13">
        <v>3.0000000000000001E-3</v>
      </c>
      <c r="C13">
        <v>2.9999999999999997E-4</v>
      </c>
    </row>
    <row r="14" spans="1:3">
      <c r="A14" t="s">
        <v>62</v>
      </c>
      <c r="B14">
        <v>-1.6999999999999999E-3</v>
      </c>
      <c r="C14">
        <v>-2.8E-3</v>
      </c>
    </row>
    <row r="15" spans="1:3" ht="14.25" customHeight="1">
      <c r="A15" t="s">
        <v>63</v>
      </c>
      <c r="B15">
        <v>-2.7699999999999999E-3</v>
      </c>
      <c r="C15">
        <v>-1.6000000000000001E-3</v>
      </c>
    </row>
    <row r="16" spans="1:3">
      <c r="A16" t="s">
        <v>64</v>
      </c>
      <c r="B16">
        <v>1.09E-3</v>
      </c>
      <c r="C16">
        <v>1.4E-3</v>
      </c>
    </row>
    <row r="17" spans="1:3">
      <c r="A17" t="s">
        <v>65</v>
      </c>
      <c r="B17">
        <v>-5.2900000000000003E-2</v>
      </c>
      <c r="C17">
        <v>-1.1999999999999999E-3</v>
      </c>
    </row>
    <row r="18" spans="1:3">
      <c r="A18" t="s">
        <v>66</v>
      </c>
      <c r="B18">
        <v>4.8000000000000001E-2</v>
      </c>
      <c r="C18">
        <v>1.8E-3</v>
      </c>
    </row>
    <row r="19" spans="1:3">
      <c r="A19" t="s">
        <v>67</v>
      </c>
      <c r="B19">
        <v>5.8999999999999999E-3</v>
      </c>
      <c r="C19">
        <v>2.3999999999999998E-3</v>
      </c>
    </row>
    <row r="20" spans="1:3">
      <c r="A20" t="s">
        <v>68</v>
      </c>
      <c r="B20">
        <v>-2.9000000000000001E-2</v>
      </c>
      <c r="C20">
        <v>-1E-4</v>
      </c>
    </row>
    <row r="21" spans="1:3">
      <c r="A21" t="s">
        <v>69</v>
      </c>
      <c r="B21">
        <v>-5.0999999999999997E-2</v>
      </c>
      <c r="C21">
        <v>-1.4E-3</v>
      </c>
    </row>
    <row r="22" spans="1:3">
      <c r="A22" t="s">
        <v>58</v>
      </c>
      <c r="B22">
        <v>2.8299999999999999E-2</v>
      </c>
      <c r="C22">
        <v>6.9999999999999999E-4</v>
      </c>
    </row>
    <row r="23" spans="1:3">
      <c r="A23" t="s">
        <v>57</v>
      </c>
      <c r="B23">
        <v>-1.6900000000000001E-3</v>
      </c>
      <c r="C23">
        <v>1.9E-3</v>
      </c>
    </row>
    <row r="24" spans="1:3">
      <c r="A24" t="s">
        <v>56</v>
      </c>
      <c r="B24">
        <v>7.7299999999999994E-2</v>
      </c>
      <c r="C24">
        <v>2.9999999999999997E-4</v>
      </c>
    </row>
    <row r="25" spans="1:3">
      <c r="A25" t="s">
        <v>55</v>
      </c>
      <c r="B25">
        <v>1.6799999999999999E-2</v>
      </c>
      <c r="C25">
        <v>1.2999999999999999E-3</v>
      </c>
    </row>
    <row r="26" spans="1:3">
      <c r="A26" t="s">
        <v>54</v>
      </c>
      <c r="B26">
        <v>4.5499999999999999E-2</v>
      </c>
      <c r="C26">
        <v>5.0000000000000001E-4</v>
      </c>
    </row>
    <row r="27" spans="1:3">
      <c r="A27" t="s">
        <v>53</v>
      </c>
      <c r="B27">
        <v>2.93E-2</v>
      </c>
      <c r="C27">
        <v>2.3999999999999998E-3</v>
      </c>
    </row>
    <row r="28" spans="1:3">
      <c r="A28" t="s">
        <v>52</v>
      </c>
      <c r="B28">
        <v>-1.5E-3</v>
      </c>
      <c r="C28">
        <v>8.0000000000000004E-4</v>
      </c>
    </row>
    <row r="29" spans="1:3">
      <c r="A29" t="s">
        <v>51</v>
      </c>
      <c r="B29">
        <v>1.4200000000000001E-2</v>
      </c>
      <c r="C29">
        <v>-2.0000000000000001E-4</v>
      </c>
    </row>
    <row r="30" spans="1:3">
      <c r="A30" t="s">
        <v>50</v>
      </c>
      <c r="B30">
        <v>4.5100000000000001E-2</v>
      </c>
      <c r="C30">
        <v>1E-4</v>
      </c>
    </row>
    <row r="31" spans="1:3">
      <c r="A31" t="s">
        <v>6</v>
      </c>
      <c r="B31">
        <v>1.03E-2</v>
      </c>
      <c r="C31">
        <v>1.2999999999999999E-3</v>
      </c>
    </row>
    <row r="32" spans="1:3">
      <c r="A32" t="s">
        <v>7</v>
      </c>
      <c r="B32">
        <v>3.8300000000000001E-2</v>
      </c>
      <c r="C32">
        <v>1.8E-3</v>
      </c>
    </row>
    <row r="33" spans="1:3">
      <c r="A33" t="s">
        <v>8</v>
      </c>
      <c r="B33">
        <v>3.2099999999999997E-2</v>
      </c>
      <c r="C33">
        <v>1.8E-3</v>
      </c>
    </row>
    <row r="34" spans="1:3">
      <c r="A34" t="s">
        <v>9</v>
      </c>
      <c r="B34">
        <v>2.5999999999999999E-2</v>
      </c>
      <c r="C34">
        <v>4.8999999999999998E-3</v>
      </c>
    </row>
    <row r="35" spans="1:3">
      <c r="A35" t="s">
        <v>10</v>
      </c>
      <c r="B35">
        <v>2.24E-2</v>
      </c>
      <c r="C35">
        <v>2E-3</v>
      </c>
    </row>
    <row r="36" spans="1:3">
      <c r="A36" t="s">
        <v>11</v>
      </c>
      <c r="B36">
        <v>-1.55E-2</v>
      </c>
      <c r="C36">
        <v>-1E-3</v>
      </c>
    </row>
    <row r="37" spans="1:3">
      <c r="A37" t="s">
        <v>12</v>
      </c>
      <c r="B37">
        <v>3.9399999999999998E-2</v>
      </c>
      <c r="C37">
        <v>-1.5E-3</v>
      </c>
    </row>
    <row r="38" spans="1:3">
      <c r="A38" t="s">
        <v>13</v>
      </c>
      <c r="B38">
        <v>3.15E-2</v>
      </c>
      <c r="C38">
        <v>1.9E-3</v>
      </c>
    </row>
    <row r="39" spans="1:3">
      <c r="A39" t="s">
        <v>14</v>
      </c>
      <c r="B39">
        <v>1.4800000000000001E-2</v>
      </c>
      <c r="C39">
        <v>1E-3</v>
      </c>
    </row>
    <row r="40" spans="1:3">
      <c r="A40" t="s">
        <v>15</v>
      </c>
      <c r="B40">
        <v>2.23E-2</v>
      </c>
      <c r="C40">
        <v>3.0999999999999999E-3</v>
      </c>
    </row>
    <row r="41" spans="1:3">
      <c r="A41" t="s">
        <v>16</v>
      </c>
      <c r="B41">
        <v>1.15E-2</v>
      </c>
      <c r="C41">
        <v>-1.8E-3</v>
      </c>
    </row>
    <row r="42" spans="1:3">
      <c r="A42" t="s">
        <v>17</v>
      </c>
      <c r="B42">
        <v>-6.4000000000000003E-3</v>
      </c>
      <c r="C42">
        <v>-4.4000000000000003E-3</v>
      </c>
    </row>
    <row r="43" spans="1:3">
      <c r="A43" t="s">
        <v>18</v>
      </c>
      <c r="B43">
        <v>-5.62E-2</v>
      </c>
      <c r="C43">
        <v>-8.3000000000000001E-3</v>
      </c>
    </row>
    <row r="44" spans="1:3">
      <c r="A44" t="s">
        <v>19</v>
      </c>
      <c r="B44">
        <v>-1.8700000000000001E-2</v>
      </c>
      <c r="C44">
        <v>2.3999999999999998E-3</v>
      </c>
    </row>
    <row r="45" spans="1:3">
      <c r="A45" t="s">
        <v>20</v>
      </c>
      <c r="B45">
        <v>-7.6799999999999993E-2</v>
      </c>
      <c r="C45">
        <v>-1.7000000000000001E-2</v>
      </c>
    </row>
    <row r="46" spans="1:3">
      <c r="A46" t="s">
        <v>21</v>
      </c>
      <c r="B46">
        <v>-0.10299999999999999</v>
      </c>
      <c r="C46">
        <v>-1.6799999999999999E-2</v>
      </c>
    </row>
    <row r="47" spans="1:3">
      <c r="A47" t="s">
        <v>22</v>
      </c>
      <c r="B47">
        <v>4.8099999999999997E-2</v>
      </c>
      <c r="C47">
        <v>-3.3E-3</v>
      </c>
    </row>
    <row r="48" spans="1:3">
      <c r="A48" t="s">
        <v>23</v>
      </c>
      <c r="B48">
        <v>0.12670000000000001</v>
      </c>
      <c r="C48">
        <v>2.07E-2</v>
      </c>
    </row>
    <row r="49" spans="1:3">
      <c r="A49" t="s">
        <v>24</v>
      </c>
      <c r="B49">
        <v>0.1351</v>
      </c>
      <c r="C49">
        <v>1.4800000000000001E-2</v>
      </c>
    </row>
    <row r="50" spans="1:3">
      <c r="A50" t="s">
        <v>25</v>
      </c>
      <c r="B50">
        <v>3.1800000000000002E-2</v>
      </c>
      <c r="C50">
        <v>5.1000000000000004E-3</v>
      </c>
    </row>
    <row r="51" spans="1:3">
      <c r="A51" t="s">
        <v>26</v>
      </c>
      <c r="B51">
        <v>3.8699999999999998E-2</v>
      </c>
      <c r="C51">
        <v>3.8E-3</v>
      </c>
    </row>
    <row r="52" spans="1:3">
      <c r="A52" t="s">
        <v>27</v>
      </c>
      <c r="B52">
        <v>-5.3800000000000001E-2</v>
      </c>
      <c r="C52">
        <v>0</v>
      </c>
    </row>
    <row r="53" spans="1:3">
      <c r="A53" t="s">
        <v>28</v>
      </c>
      <c r="B53">
        <v>7.2599999999999998E-2</v>
      </c>
      <c r="C53">
        <v>3.5999999999999999E-3</v>
      </c>
    </row>
    <row r="54" spans="1:3">
      <c r="A54" t="s">
        <v>29</v>
      </c>
      <c r="B54">
        <v>3.9899999999999998E-2</v>
      </c>
      <c r="C54">
        <v>2.8E-3</v>
      </c>
    </row>
    <row r="55" spans="1:3">
      <c r="A55" t="s">
        <v>30</v>
      </c>
      <c r="B55">
        <v>2.06E-2</v>
      </c>
      <c r="C55">
        <v>2.7000000000000001E-3</v>
      </c>
    </row>
    <row r="56" spans="1:3">
      <c r="A56" t="s">
        <v>31</v>
      </c>
      <c r="B56">
        <v>2.8999999999999998E-3</v>
      </c>
      <c r="C56">
        <v>-8.9999999999999998E-4</v>
      </c>
    </row>
    <row r="57" spans="1:3">
      <c r="A57" t="s">
        <v>32</v>
      </c>
      <c r="B57">
        <v>-8.7999999999999995E-2</v>
      </c>
      <c r="C57">
        <v>-3.3E-3</v>
      </c>
    </row>
    <row r="58" spans="1:3">
      <c r="A58" t="s">
        <v>33</v>
      </c>
      <c r="B58">
        <v>4.3900000000000002E-2</v>
      </c>
      <c r="C58">
        <v>5.9999999999999995E-4</v>
      </c>
    </row>
    <row r="59" spans="1:3">
      <c r="A59" t="s">
        <v>34</v>
      </c>
      <c r="B59">
        <v>7.1099999999999997E-2</v>
      </c>
      <c r="C59">
        <v>2.7000000000000001E-3</v>
      </c>
    </row>
    <row r="60" spans="1:3">
      <c r="A60" t="s">
        <v>35</v>
      </c>
      <c r="B60">
        <v>-2.18E-2</v>
      </c>
      <c r="C60">
        <v>-1.6000000000000001E-3</v>
      </c>
    </row>
    <row r="61" spans="1:3">
      <c r="A61" t="s">
        <v>36</v>
      </c>
      <c r="B61">
        <v>4.7399999999999998E-2</v>
      </c>
      <c r="C61">
        <v>-2.9999999999999997E-4</v>
      </c>
    </row>
    <row r="62" spans="1:3">
      <c r="A62" t="s">
        <v>37</v>
      </c>
      <c r="B62">
        <v>3.3399999999999999E-2</v>
      </c>
      <c r="C62">
        <v>1.4E-3</v>
      </c>
    </row>
    <row r="63" spans="1:3">
      <c r="A63" t="s">
        <v>38</v>
      </c>
      <c r="B63">
        <v>5.45E-2</v>
      </c>
      <c r="C63">
        <v>3.2000000000000002E-3</v>
      </c>
    </row>
    <row r="64" spans="1:3">
      <c r="A64" t="s">
        <v>39</v>
      </c>
      <c r="B64">
        <v>5.9999999999999995E-4</v>
      </c>
      <c r="C64">
        <v>3.0999999999999999E-3</v>
      </c>
    </row>
    <row r="65" spans="1:6">
      <c r="A65" t="s">
        <v>40</v>
      </c>
      <c r="B65">
        <v>4.99E-2</v>
      </c>
      <c r="C65">
        <v>1.2999999999999999E-3</v>
      </c>
    </row>
    <row r="66" spans="1:6">
      <c r="A66" t="s">
        <v>41</v>
      </c>
      <c r="B66">
        <v>4.6600000000000003E-2</v>
      </c>
      <c r="C66">
        <v>1.1999999999999999E-3</v>
      </c>
    </row>
    <row r="67" spans="1:6">
      <c r="A67" t="s">
        <v>42</v>
      </c>
      <c r="B67">
        <v>1.7000000000000001E-2</v>
      </c>
      <c r="C67">
        <v>1E-4</v>
      </c>
    </row>
    <row r="68" spans="1:6">
      <c r="A68" t="s">
        <v>43</v>
      </c>
      <c r="B68">
        <v>3.2500000000000001E-2</v>
      </c>
      <c r="C68">
        <v>-1.2999999999999999E-3</v>
      </c>
    </row>
    <row r="69" spans="1:6">
      <c r="A69" t="s">
        <v>44</v>
      </c>
      <c r="B69">
        <v>6.9999999999999999E-4</v>
      </c>
      <c r="C69">
        <v>-5.1999999999999998E-3</v>
      </c>
    </row>
    <row r="70" spans="1:6">
      <c r="A70" t="s">
        <v>45</v>
      </c>
      <c r="B70">
        <v>2.3699999999999999E-2</v>
      </c>
      <c r="C70">
        <v>-8.0000000000000004E-4</v>
      </c>
    </row>
    <row r="71" spans="1:6">
      <c r="A71" t="s">
        <v>46</v>
      </c>
      <c r="B71">
        <v>5.28E-2</v>
      </c>
      <c r="C71">
        <v>1.9E-3</v>
      </c>
    </row>
    <row r="72" spans="1:6">
      <c r="A72" t="s">
        <v>4</v>
      </c>
      <c r="B72">
        <v>-8.6999999999999994E-3</v>
      </c>
      <c r="C72">
        <v>3.8E-3</v>
      </c>
    </row>
    <row r="73" spans="1:6">
      <c r="A73" t="s">
        <v>0</v>
      </c>
      <c r="B73">
        <v>-4.9299999999999997E-2</v>
      </c>
      <c r="C73">
        <v>-2.2000000000000001E-3</v>
      </c>
      <c r="E73">
        <v>0.01</v>
      </c>
      <c r="F73">
        <v>-4.9500000000000002E-2</v>
      </c>
    </row>
    <row r="74" spans="1:6">
      <c r="A74" t="s">
        <v>1</v>
      </c>
      <c r="B74">
        <v>3.5499999999999997E-2</v>
      </c>
      <c r="C74">
        <v>1.1000000000000001E-3</v>
      </c>
      <c r="E74">
        <v>0.01</v>
      </c>
      <c r="F74">
        <v>3.5400000000000001E-2</v>
      </c>
    </row>
    <row r="75" spans="1:6">
      <c r="A75" t="s">
        <v>47</v>
      </c>
      <c r="B75">
        <v>-6.3E-3</v>
      </c>
      <c r="C75">
        <v>-1.8E-3</v>
      </c>
      <c r="E75">
        <v>0.01</v>
      </c>
      <c r="F75">
        <v>-6.4000000000000003E-3</v>
      </c>
    </row>
    <row r="76" spans="1:6">
      <c r="A76" t="s">
        <v>2</v>
      </c>
      <c r="B76">
        <v>1.2699999999999999E-2</v>
      </c>
      <c r="C76">
        <v>-1.1000000000000001E-3</v>
      </c>
      <c r="E76">
        <v>0.01</v>
      </c>
      <c r="F76">
        <v>1.26E-2</v>
      </c>
    </row>
    <row r="77" spans="1:6">
      <c r="A77" t="s">
        <v>3</v>
      </c>
      <c r="B77">
        <v>0.04</v>
      </c>
      <c r="C77">
        <v>1.6999999999999999E-3</v>
      </c>
      <c r="E77">
        <v>0.01</v>
      </c>
      <c r="F77">
        <v>3.9800000000000002E-2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CQ104"/>
  <sheetViews>
    <sheetView zoomScale="90" zoomScaleNormal="90" zoomScalePageLayoutView="90" workbookViewId="0">
      <pane xSplit="1" ySplit="2" topLeftCell="BI38" activePane="bottomRight" state="frozen"/>
      <selection pane="topRight" activeCell="B1" sqref="B1"/>
      <selection pane="bottomLeft" activeCell="A5" sqref="A5"/>
      <selection pane="bottomRight" activeCell="BQ2" sqref="BQ1:BQ1048576"/>
    </sheetView>
  </sheetViews>
  <sheetFormatPr defaultColWidth="8.85546875" defaultRowHeight="15"/>
  <cols>
    <col min="1" max="3" width="10.28515625" style="31" customWidth="1"/>
    <col min="4" max="4" width="10.28515625" style="181" customWidth="1"/>
    <col min="5" max="22" width="10.28515625" style="31" customWidth="1"/>
    <col min="23" max="23" width="12.85546875" style="31" customWidth="1"/>
    <col min="24" max="24" width="14.28515625" style="31" customWidth="1"/>
    <col min="25" max="27" width="10.28515625" style="31" customWidth="1"/>
    <col min="28" max="28" width="14.140625" style="31" customWidth="1"/>
    <col min="29" max="29" width="8.85546875" style="31"/>
    <col min="30" max="30" width="9.85546875" style="31" customWidth="1"/>
    <col min="31" max="31" width="10.7109375" style="31" bestFit="1" customWidth="1"/>
    <col min="32" max="32" width="9.85546875" style="31" customWidth="1"/>
    <col min="33" max="33" width="10.85546875" style="31" customWidth="1"/>
    <col min="34" max="34" width="9.85546875" style="31" customWidth="1"/>
    <col min="35" max="35" width="11.140625" style="31" customWidth="1"/>
    <col min="36" max="36" width="10.85546875" style="31" customWidth="1"/>
    <col min="37" max="37" width="11.28515625" style="31" customWidth="1"/>
    <col min="38" max="38" width="10.42578125" style="31" customWidth="1"/>
    <col min="39" max="39" width="11.140625" style="31" customWidth="1"/>
    <col min="40" max="40" width="11.28515625" style="31" customWidth="1"/>
    <col min="41" max="42" width="11.42578125" style="31" customWidth="1"/>
    <col min="43" max="45" width="9.85546875" style="31" customWidth="1"/>
    <col min="46" max="46" width="10.42578125" style="31" bestFit="1" customWidth="1"/>
    <col min="47" max="48" width="9.85546875" style="31" customWidth="1"/>
    <col min="49" max="49" width="10.42578125" style="31" bestFit="1" customWidth="1"/>
    <col min="50" max="51" width="9.85546875" style="31" customWidth="1"/>
    <col min="52" max="52" width="8.85546875" style="31"/>
    <col min="53" max="55" width="9.42578125" style="31" customWidth="1"/>
    <col min="56" max="56" width="9.42578125" style="181" customWidth="1"/>
    <col min="57" max="72" width="9.42578125" style="31" customWidth="1"/>
    <col min="73" max="73" width="10.42578125" style="31" bestFit="1" customWidth="1"/>
    <col min="74" max="81" width="9.42578125" style="31" customWidth="1"/>
    <col min="82" max="82" width="10.42578125" style="31" bestFit="1" customWidth="1"/>
    <col min="83" max="87" width="9.42578125" style="31" customWidth="1"/>
    <col min="88" max="88" width="11.42578125" style="31" customWidth="1"/>
    <col min="89" max="16384" width="8.85546875" style="31"/>
  </cols>
  <sheetData>
    <row r="1" spans="1:95" s="50" customFormat="1" ht="26.25" customHeight="1" thickBot="1">
      <c r="A1" s="939" t="s">
        <v>870</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445"/>
      <c r="AD1" s="940" t="s">
        <v>872</v>
      </c>
      <c r="AE1" s="940"/>
      <c r="AF1" s="940"/>
      <c r="AG1" s="940"/>
      <c r="AH1" s="940"/>
      <c r="AI1" s="940"/>
      <c r="AJ1" s="940"/>
      <c r="AK1" s="940"/>
      <c r="AL1" s="940"/>
      <c r="AM1" s="940"/>
      <c r="AN1" s="940"/>
      <c r="AO1" s="940"/>
      <c r="AP1" s="940"/>
      <c r="AQ1" s="940"/>
      <c r="AR1" s="940"/>
      <c r="AS1" s="940"/>
      <c r="AT1" s="940"/>
      <c r="AU1" s="940"/>
      <c r="AV1" s="940"/>
      <c r="AW1" s="940"/>
      <c r="AX1" s="940"/>
      <c r="AY1" s="452"/>
      <c r="BA1" s="939" t="s">
        <v>871</v>
      </c>
      <c r="BB1" s="939"/>
      <c r="BC1" s="939"/>
      <c r="BD1" s="939"/>
      <c r="BE1" s="939"/>
      <c r="BF1" s="939"/>
      <c r="BG1" s="939"/>
      <c r="BH1" s="939"/>
      <c r="BI1" s="939"/>
      <c r="BJ1" s="939"/>
      <c r="BK1" s="939"/>
      <c r="BL1" s="939"/>
      <c r="BM1" s="939"/>
      <c r="BN1" s="939"/>
      <c r="BO1" s="939"/>
      <c r="BP1" s="939"/>
      <c r="BQ1" s="939"/>
      <c r="BR1" s="939"/>
      <c r="BS1" s="939"/>
      <c r="BT1" s="939"/>
      <c r="BU1" s="939"/>
      <c r="BV1" s="939"/>
      <c r="BW1" s="939"/>
      <c r="BX1" s="939"/>
      <c r="BY1" s="939"/>
      <c r="BZ1" s="939"/>
      <c r="CA1" s="939"/>
      <c r="CB1" s="939"/>
      <c r="CC1" s="939"/>
      <c r="CD1" s="939"/>
      <c r="CE1" s="939"/>
      <c r="CF1" s="939"/>
      <c r="CG1" s="939"/>
      <c r="CH1" s="939"/>
      <c r="CI1" s="939"/>
      <c r="CJ1" s="446"/>
      <c r="CK1" s="446"/>
      <c r="CL1" s="446"/>
      <c r="CM1" s="446"/>
      <c r="CN1" s="446"/>
      <c r="CO1" s="446"/>
      <c r="CP1" s="446"/>
      <c r="CQ1" s="446"/>
    </row>
    <row r="2" spans="1:95" ht="105.75" thickBot="1">
      <c r="A2" s="310" t="s">
        <v>226</v>
      </c>
      <c r="B2" s="327" t="s">
        <v>600</v>
      </c>
      <c r="C2" s="327" t="s">
        <v>602</v>
      </c>
      <c r="D2" s="665" t="s">
        <v>601</v>
      </c>
      <c r="E2" s="327" t="s">
        <v>515</v>
      </c>
      <c r="F2" s="327" t="s">
        <v>598</v>
      </c>
      <c r="G2" s="327" t="s">
        <v>460</v>
      </c>
      <c r="H2" s="327" t="s">
        <v>459</v>
      </c>
      <c r="I2" s="327" t="s">
        <v>597</v>
      </c>
      <c r="J2" s="327" t="s">
        <v>596</v>
      </c>
      <c r="K2" s="666" t="s">
        <v>500</v>
      </c>
      <c r="L2" s="327" t="s">
        <v>503</v>
      </c>
      <c r="M2" s="327" t="s">
        <v>599</v>
      </c>
      <c r="N2" s="327" t="s">
        <v>603</v>
      </c>
      <c r="O2" s="327" t="str">
        <f>USD!AH3</f>
        <v>Total management costs</v>
      </c>
      <c r="P2" s="666" t="s">
        <v>516</v>
      </c>
      <c r="Q2" s="327" t="s">
        <v>604</v>
      </c>
      <c r="R2" s="327" t="s">
        <v>528</v>
      </c>
      <c r="S2" s="327" t="s">
        <v>527</v>
      </c>
      <c r="T2" s="327" t="s">
        <v>517</v>
      </c>
      <c r="U2" s="327" t="s">
        <v>479</v>
      </c>
      <c r="V2" s="327" t="str">
        <f>USD!AI3</f>
        <v>Cost % per quarter</v>
      </c>
      <c r="W2" s="327" t="s">
        <v>453</v>
      </c>
      <c r="X2" s="528" t="s">
        <v>630</v>
      </c>
      <c r="Y2" s="327" t="s">
        <v>454</v>
      </c>
      <c r="Z2" s="539" t="s">
        <v>632</v>
      </c>
      <c r="AA2" s="327" t="s">
        <v>605</v>
      </c>
      <c r="AB2" s="236"/>
      <c r="AD2" s="310" t="str">
        <f>USD!BC3</f>
        <v>Date</v>
      </c>
      <c r="AE2" s="666" t="str">
        <f>USD!BU3</f>
        <v>External management fee</v>
      </c>
      <c r="AF2" s="327" t="s">
        <v>382</v>
      </c>
      <c r="AG2" s="327" t="s">
        <v>606</v>
      </c>
      <c r="AH2" s="327" t="s">
        <v>457</v>
      </c>
      <c r="AI2" s="666" t="str">
        <f>USD!BV3</f>
        <v>Transaction costs</v>
      </c>
      <c r="AJ2" s="327" t="s">
        <v>509</v>
      </c>
      <c r="AK2" s="327" t="s">
        <v>607</v>
      </c>
      <c r="AL2" s="327" t="s">
        <v>518</v>
      </c>
      <c r="AM2" s="666" t="str">
        <f>USD!BW3</f>
        <v>Operational expenses</v>
      </c>
      <c r="AN2" s="327" t="s">
        <v>505</v>
      </c>
      <c r="AO2" s="327" t="s">
        <v>608</v>
      </c>
      <c r="AP2" s="327" t="s">
        <v>835</v>
      </c>
      <c r="AQ2" s="327" t="s">
        <v>381</v>
      </c>
      <c r="AR2" s="327" t="s">
        <v>384</v>
      </c>
      <c r="AS2" s="327" t="s">
        <v>529</v>
      </c>
      <c r="AT2" s="667" t="str">
        <f>USD!BX3</f>
        <v>Total cost</v>
      </c>
      <c r="AU2" s="327" t="s">
        <v>480</v>
      </c>
      <c r="AV2" s="327" t="s">
        <v>527</v>
      </c>
      <c r="AW2" s="327" t="s">
        <v>455</v>
      </c>
      <c r="AX2" s="327" t="str">
        <f>Y2</f>
        <v>Performance based in relation to total costs</v>
      </c>
      <c r="AY2" s="327" t="s">
        <v>609</v>
      </c>
      <c r="BA2" s="321" t="s">
        <v>226</v>
      </c>
      <c r="BB2" s="327" t="str">
        <f>USD!DM3</f>
        <v>External management fee</v>
      </c>
      <c r="BC2" s="327" t="s">
        <v>382</v>
      </c>
      <c r="BD2" s="665" t="s">
        <v>514</v>
      </c>
      <c r="BE2" s="327" t="s">
        <v>513</v>
      </c>
      <c r="BF2" s="327" t="s">
        <v>460</v>
      </c>
      <c r="BG2" s="327" t="s">
        <v>459</v>
      </c>
      <c r="BH2" s="327" t="s">
        <v>464</v>
      </c>
      <c r="BI2" s="327" t="s">
        <v>530</v>
      </c>
      <c r="BJ2" s="327" t="s">
        <v>612</v>
      </c>
      <c r="BK2" s="327" t="s">
        <v>611</v>
      </c>
      <c r="BL2" s="666" t="s">
        <v>511</v>
      </c>
      <c r="BM2" s="327" t="s">
        <v>512</v>
      </c>
      <c r="BN2" s="327" t="s">
        <v>613</v>
      </c>
      <c r="BO2" s="327" t="str">
        <f>USD!DO3</f>
        <v>Operational expenses</v>
      </c>
      <c r="BP2" s="327" t="s">
        <v>502</v>
      </c>
      <c r="BQ2" s="666" t="s">
        <v>501</v>
      </c>
      <c r="BR2" s="327" t="s">
        <v>504</v>
      </c>
      <c r="BS2" s="327" t="s">
        <v>614</v>
      </c>
      <c r="BT2" s="327" t="s">
        <v>381</v>
      </c>
      <c r="BU2" s="327" t="s">
        <v>610</v>
      </c>
      <c r="BV2" s="327" t="s">
        <v>384</v>
      </c>
      <c r="BW2" s="327" t="s">
        <v>615</v>
      </c>
      <c r="BX2" s="327" t="s">
        <v>616</v>
      </c>
      <c r="BY2" s="327" t="s">
        <v>617</v>
      </c>
      <c r="BZ2" s="327" t="s">
        <v>618</v>
      </c>
      <c r="CA2" s="327" t="s">
        <v>619</v>
      </c>
      <c r="CB2" s="327" t="s">
        <v>620</v>
      </c>
      <c r="CC2" s="327" t="str">
        <f>USD!DP3</f>
        <v>Total costs</v>
      </c>
      <c r="CD2" s="666" t="s">
        <v>506</v>
      </c>
      <c r="CE2" s="327" t="s">
        <v>527</v>
      </c>
      <c r="CF2" s="327" t="s">
        <v>621</v>
      </c>
      <c r="CG2" s="327" t="s">
        <v>622</v>
      </c>
      <c r="CH2" s="327" t="str">
        <f>USD!DQ3</f>
        <v>Cost % per quarter</v>
      </c>
      <c r="CI2" s="327" t="s">
        <v>623</v>
      </c>
    </row>
    <row r="3" spans="1:95">
      <c r="A3" s="321" t="str">
        <f>USD!AE4</f>
        <v>1Q1998</v>
      </c>
      <c r="B3" s="176"/>
      <c r="C3" s="178"/>
      <c r="D3" s="178"/>
      <c r="E3" s="178"/>
      <c r="F3" s="178"/>
      <c r="G3" s="178"/>
      <c r="H3" s="178"/>
      <c r="I3" s="176"/>
      <c r="J3" s="176"/>
      <c r="K3" s="176"/>
      <c r="L3" s="176"/>
      <c r="M3" s="176"/>
      <c r="N3" s="176"/>
      <c r="O3" s="176"/>
      <c r="P3" s="176"/>
      <c r="Q3" s="176"/>
      <c r="R3" s="176"/>
      <c r="S3" s="176"/>
      <c r="T3" s="176"/>
      <c r="U3" s="176"/>
      <c r="V3" s="176"/>
      <c r="W3" s="181"/>
      <c r="X3" s="181"/>
      <c r="Y3" s="181"/>
      <c r="Z3" s="181"/>
      <c r="AA3" s="181"/>
      <c r="AB3" s="181"/>
      <c r="AD3" s="451" t="str">
        <f>USD!BC4</f>
        <v>1997 </v>
      </c>
      <c r="AE3" s="176"/>
      <c r="AF3" s="176"/>
      <c r="AG3" s="176"/>
      <c r="AH3" s="176"/>
      <c r="AI3" s="176"/>
      <c r="AJ3" s="176"/>
      <c r="AK3" s="176"/>
      <c r="AL3" s="176"/>
      <c r="AM3" s="176"/>
      <c r="AN3" s="176"/>
      <c r="AO3" s="176"/>
      <c r="AP3" s="176"/>
      <c r="AQ3" s="176"/>
      <c r="AR3" s="176"/>
      <c r="AS3" s="176"/>
      <c r="AT3" s="176"/>
      <c r="AU3" s="176"/>
      <c r="AV3" s="176"/>
      <c r="AW3" s="176"/>
      <c r="AX3" s="176"/>
      <c r="AY3" s="176"/>
      <c r="BA3" s="321" t="str">
        <f>USD!CA4</f>
        <v>1Q1998/98</v>
      </c>
      <c r="BB3" s="176"/>
      <c r="BC3" s="176"/>
      <c r="BE3" s="176"/>
      <c r="BF3" s="176"/>
      <c r="BG3" s="176"/>
      <c r="BH3" s="202"/>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8">
        <v>0</v>
      </c>
    </row>
    <row r="4" spans="1:95">
      <c r="A4" s="321" t="str">
        <f>USD!AE5</f>
        <v>2Q1998</v>
      </c>
      <c r="B4" s="176"/>
      <c r="C4" s="178"/>
      <c r="D4" s="178"/>
      <c r="E4" s="178"/>
      <c r="F4" s="178"/>
      <c r="G4" s="178"/>
      <c r="H4" s="178"/>
      <c r="I4" s="176"/>
      <c r="J4" s="176"/>
      <c r="K4" s="176"/>
      <c r="L4" s="176"/>
      <c r="M4" s="176"/>
      <c r="N4" s="176"/>
      <c r="O4" s="176"/>
      <c r="P4" s="176"/>
      <c r="Q4" s="176"/>
      <c r="R4" s="176"/>
      <c r="S4" s="176"/>
      <c r="T4" s="176"/>
      <c r="U4" s="176"/>
      <c r="V4" s="176"/>
      <c r="W4" s="181"/>
      <c r="X4" s="181"/>
      <c r="Y4" s="181"/>
      <c r="Z4" s="181"/>
      <c r="AA4" s="181"/>
      <c r="AB4" s="181"/>
      <c r="AD4" s="451" t="str">
        <f>USD!BC5</f>
        <v>1998 </v>
      </c>
      <c r="AE4" s="176"/>
      <c r="AF4" s="176"/>
      <c r="AG4" s="176"/>
      <c r="AH4" s="176"/>
      <c r="AI4" s="176"/>
      <c r="AJ4" s="176"/>
      <c r="AK4" s="176"/>
      <c r="AL4" s="176"/>
      <c r="AM4" s="176"/>
      <c r="AN4" s="176"/>
      <c r="AO4" s="176"/>
      <c r="AP4" s="176"/>
      <c r="AQ4" s="176"/>
      <c r="AR4" s="176"/>
      <c r="AS4" s="176"/>
      <c r="AT4" s="176"/>
      <c r="AU4" s="176"/>
      <c r="AV4" s="176"/>
      <c r="AW4" s="176"/>
      <c r="AX4" s="176"/>
      <c r="AY4" s="176"/>
      <c r="BA4" s="321" t="str">
        <f>USD!CA5</f>
        <v>2Q1998/99</v>
      </c>
      <c r="BB4" s="176"/>
      <c r="BC4" s="176"/>
      <c r="BE4" s="176"/>
      <c r="BF4" s="176"/>
      <c r="BG4" s="176"/>
      <c r="BH4" s="202"/>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8">
        <v>0</v>
      </c>
    </row>
    <row r="5" spans="1:95">
      <c r="A5" s="321" t="str">
        <f>USD!AE6</f>
        <v>3Q1998</v>
      </c>
      <c r="B5" s="176"/>
      <c r="C5" s="178"/>
      <c r="D5" s="178"/>
      <c r="E5" s="178"/>
      <c r="F5" s="178"/>
      <c r="G5" s="178"/>
      <c r="H5" s="178"/>
      <c r="I5" s="176"/>
      <c r="J5" s="176"/>
      <c r="K5" s="176"/>
      <c r="L5" s="176"/>
      <c r="M5" s="176"/>
      <c r="N5" s="176"/>
      <c r="O5" s="176"/>
      <c r="P5" s="176"/>
      <c r="Q5" s="176"/>
      <c r="R5" s="176"/>
      <c r="S5" s="176"/>
      <c r="T5" s="176"/>
      <c r="U5" s="176"/>
      <c r="V5" s="176"/>
      <c r="W5" s="181"/>
      <c r="X5" s="181"/>
      <c r="Y5" s="181"/>
      <c r="Z5" s="181"/>
      <c r="AA5" s="181"/>
      <c r="AB5" s="181"/>
      <c r="AD5" s="451" t="str">
        <f>USD!BC6</f>
        <v>1999 </v>
      </c>
      <c r="AE5" s="176"/>
      <c r="AF5" s="176"/>
      <c r="AG5" s="176"/>
      <c r="AH5" s="176"/>
      <c r="AI5" s="176"/>
      <c r="AJ5" s="176"/>
      <c r="AK5" s="176"/>
      <c r="AL5" s="176"/>
      <c r="AM5" s="176"/>
      <c r="AN5" s="176"/>
      <c r="AO5" s="176"/>
      <c r="AP5" s="176"/>
      <c r="AQ5" s="176"/>
      <c r="AR5" s="176"/>
      <c r="AS5" s="176"/>
      <c r="AT5" s="176"/>
      <c r="AU5" s="176"/>
      <c r="AV5" s="176"/>
      <c r="AW5" s="176"/>
      <c r="AX5" s="176"/>
      <c r="AY5" s="176"/>
      <c r="BA5" s="321" t="str">
        <f>USD!CA6</f>
        <v>3Q1998/99</v>
      </c>
      <c r="BB5" s="176"/>
      <c r="BC5" s="176"/>
      <c r="BE5" s="176"/>
      <c r="BF5" s="176"/>
      <c r="BG5" s="176"/>
      <c r="BH5" s="202"/>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8">
        <v>0</v>
      </c>
    </row>
    <row r="6" spans="1:95">
      <c r="A6" s="321" t="str">
        <f>USD!AE7</f>
        <v>4Q1998</v>
      </c>
      <c r="B6" s="176"/>
      <c r="C6" s="178"/>
      <c r="D6" s="178"/>
      <c r="E6" s="178"/>
      <c r="F6" s="178"/>
      <c r="G6" s="178"/>
      <c r="H6" s="178"/>
      <c r="I6" s="176"/>
      <c r="J6" s="176"/>
      <c r="K6" s="176"/>
      <c r="L6" s="176"/>
      <c r="M6" s="176"/>
      <c r="N6" s="176"/>
      <c r="O6" s="176"/>
      <c r="P6" s="176"/>
      <c r="Q6" s="176"/>
      <c r="R6" s="176"/>
      <c r="S6" s="176"/>
      <c r="T6" s="176"/>
      <c r="U6" s="176"/>
      <c r="V6" s="176"/>
      <c r="W6" s="181"/>
      <c r="X6" s="181"/>
      <c r="Y6" s="181"/>
      <c r="Z6" s="181"/>
      <c r="AA6" s="181"/>
      <c r="AB6" s="181"/>
      <c r="AD6" s="451" t="str">
        <f>USD!BC7</f>
        <v>2000 </v>
      </c>
      <c r="AE6" s="176"/>
      <c r="AF6" s="176"/>
      <c r="AG6" s="176"/>
      <c r="AH6" s="176"/>
      <c r="AI6" s="176"/>
      <c r="AJ6" s="176"/>
      <c r="AK6" s="176"/>
      <c r="AL6" s="176"/>
      <c r="AM6" s="176"/>
      <c r="AN6" s="176"/>
      <c r="AO6" s="176"/>
      <c r="AP6" s="176"/>
      <c r="AQ6" s="176"/>
      <c r="AR6" s="176"/>
      <c r="AS6" s="176"/>
      <c r="AT6" s="176"/>
      <c r="AU6" s="176"/>
      <c r="AV6" s="176"/>
      <c r="AW6" s="176"/>
      <c r="AX6" s="176"/>
      <c r="AY6" s="176"/>
      <c r="BA6" s="321" t="str">
        <f>USD!CA7</f>
        <v>4Q1998/99</v>
      </c>
      <c r="BB6" s="176"/>
      <c r="BC6" s="176"/>
      <c r="BE6" s="176"/>
      <c r="BF6" s="176"/>
      <c r="BG6" s="176"/>
      <c r="BH6" s="202"/>
      <c r="BI6" s="179"/>
      <c r="BJ6" s="176"/>
      <c r="BK6" s="176"/>
      <c r="BL6" s="176"/>
      <c r="BM6" s="176"/>
      <c r="BN6" s="176"/>
      <c r="BO6" s="174">
        <f>USD!DO7</f>
        <v>0.23801302083333334</v>
      </c>
      <c r="BP6" s="174"/>
      <c r="BQ6" s="174"/>
      <c r="BR6" s="174"/>
      <c r="BS6" s="174"/>
      <c r="BT6" s="174">
        <f t="shared" ref="BT6:BT37" si="0">BO6+BJ6</f>
        <v>0.23801302083333334</v>
      </c>
      <c r="BU6" s="174"/>
      <c r="BV6" s="176"/>
      <c r="BW6" s="176"/>
      <c r="BX6" s="179">
        <f t="shared" ref="BX6:BX37" si="1">BT6/CC6</f>
        <v>1</v>
      </c>
      <c r="BY6" s="179">
        <f t="shared" ref="BY6:BY37" si="2">BO6/CC6</f>
        <v>1</v>
      </c>
      <c r="BZ6" s="179"/>
      <c r="CA6" s="179"/>
      <c r="CB6" s="179"/>
      <c r="CC6" s="174">
        <f>USD!DP7</f>
        <v>0.23801302083333334</v>
      </c>
      <c r="CD6" s="174"/>
      <c r="CE6" s="174"/>
      <c r="CF6" s="174"/>
      <c r="CG6" s="176"/>
      <c r="CH6" s="176"/>
      <c r="CI6" s="178">
        <v>0</v>
      </c>
    </row>
    <row r="7" spans="1:95">
      <c r="A7" s="321" t="str">
        <f>USD!AE8</f>
        <v>1Q1999</v>
      </c>
      <c r="B7" s="176"/>
      <c r="C7" s="178"/>
      <c r="D7" s="178"/>
      <c r="E7" s="178"/>
      <c r="F7" s="178"/>
      <c r="G7" s="178"/>
      <c r="H7" s="178"/>
      <c r="I7" s="176"/>
      <c r="J7" s="176"/>
      <c r="K7" s="176"/>
      <c r="L7" s="176"/>
      <c r="M7" s="176"/>
      <c r="N7" s="176"/>
      <c r="O7" s="176"/>
      <c r="P7" s="176"/>
      <c r="Q7" s="176"/>
      <c r="R7" s="176"/>
      <c r="S7" s="176"/>
      <c r="T7" s="176"/>
      <c r="U7" s="176"/>
      <c r="V7" s="176"/>
      <c r="W7" s="181"/>
      <c r="X7" s="181"/>
      <c r="Y7" s="181"/>
      <c r="Z7" s="181"/>
      <c r="AA7" s="181"/>
      <c r="AB7" s="181"/>
      <c r="AD7" s="451" t="str">
        <f>USD!BC8</f>
        <v>2001 </v>
      </c>
      <c r="AE7" s="176"/>
      <c r="AF7" s="176"/>
      <c r="AG7" s="176"/>
      <c r="AH7" s="176"/>
      <c r="AI7" s="176"/>
      <c r="AJ7" s="176"/>
      <c r="AK7" s="176"/>
      <c r="AL7" s="176"/>
      <c r="AM7" s="176"/>
      <c r="AN7" s="176"/>
      <c r="AO7" s="176"/>
      <c r="AP7" s="176"/>
      <c r="AQ7" s="176"/>
      <c r="AR7" s="176"/>
      <c r="AS7" s="176"/>
      <c r="AT7" s="176"/>
      <c r="AU7" s="176"/>
      <c r="AV7" s="176"/>
      <c r="AW7" s="176"/>
      <c r="AX7" s="176"/>
      <c r="AY7" s="176"/>
      <c r="BA7" s="321" t="str">
        <f>USD!CA8</f>
        <v>1Q1999/99</v>
      </c>
      <c r="BB7" s="176"/>
      <c r="BC7" s="176"/>
      <c r="BE7" s="176"/>
      <c r="BF7" s="176"/>
      <c r="BG7" s="176"/>
      <c r="BH7" s="202"/>
      <c r="BI7" s="179"/>
      <c r="BJ7" s="176"/>
      <c r="BK7" s="176"/>
      <c r="BL7" s="176"/>
      <c r="BM7" s="176"/>
      <c r="BN7" s="176"/>
      <c r="BO7" s="174">
        <f>USD!DO8</f>
        <v>-0.24166314119513485</v>
      </c>
      <c r="BP7" s="179">
        <f>(BO7/BO6)-1</f>
        <v>-2.0153358011634053</v>
      </c>
      <c r="BQ7" s="174"/>
      <c r="BR7" s="174"/>
      <c r="BS7" s="174"/>
      <c r="BT7" s="174">
        <f t="shared" si="0"/>
        <v>-0.24166314119513485</v>
      </c>
      <c r="BU7" s="174"/>
      <c r="BV7" s="179">
        <f>(BT7/BT6)-1</f>
        <v>-2.0153358011634053</v>
      </c>
      <c r="BW7" s="176"/>
      <c r="BX7" s="179">
        <f t="shared" si="1"/>
        <v>1</v>
      </c>
      <c r="BY7" s="179">
        <f t="shared" si="2"/>
        <v>1</v>
      </c>
      <c r="BZ7" s="179"/>
      <c r="CA7" s="179"/>
      <c r="CB7" s="179"/>
      <c r="CC7" s="174">
        <f>USD!DP8</f>
        <v>-0.24166314119513485</v>
      </c>
      <c r="CD7" s="174"/>
      <c r="CE7" s="174"/>
      <c r="CF7" s="174"/>
      <c r="CG7" s="174">
        <f>(CC7/CC6)-1</f>
        <v>-2.0153358011634053</v>
      </c>
      <c r="CH7" s="183"/>
      <c r="CI7" s="178">
        <v>0</v>
      </c>
    </row>
    <row r="8" spans="1:95">
      <c r="A8" s="321" t="str">
        <f>USD!AE9</f>
        <v>2Q1999</v>
      </c>
      <c r="B8" s="176"/>
      <c r="C8" s="178"/>
      <c r="D8" s="178"/>
      <c r="E8" s="178"/>
      <c r="F8" s="178"/>
      <c r="G8" s="178"/>
      <c r="H8" s="178"/>
      <c r="I8" s="176"/>
      <c r="J8" s="176"/>
      <c r="K8" s="176"/>
      <c r="L8" s="176"/>
      <c r="M8" s="176"/>
      <c r="N8" s="176"/>
      <c r="O8" s="176"/>
      <c r="P8" s="176"/>
      <c r="Q8" s="176"/>
      <c r="R8" s="176"/>
      <c r="S8" s="176"/>
      <c r="T8" s="176"/>
      <c r="U8" s="176"/>
      <c r="V8" s="176"/>
      <c r="W8" s="181"/>
      <c r="X8" s="181"/>
      <c r="Y8" s="181"/>
      <c r="Z8" s="181"/>
      <c r="AA8" s="181"/>
      <c r="AB8" s="181"/>
      <c r="AD8" s="451">
        <f>USD!BC9</f>
        <v>2002</v>
      </c>
      <c r="AE8" s="176"/>
      <c r="AF8" s="176"/>
      <c r="AG8" s="176"/>
      <c r="AH8" s="176"/>
      <c r="AI8" s="176"/>
      <c r="AJ8" s="176"/>
      <c r="AK8" s="176"/>
      <c r="AL8" s="176"/>
      <c r="AM8" s="176"/>
      <c r="AN8" s="176"/>
      <c r="AO8" s="176"/>
      <c r="AP8" s="176"/>
      <c r="AQ8" s="176"/>
      <c r="AR8" s="176"/>
      <c r="AS8" s="176"/>
      <c r="AT8" s="176"/>
      <c r="AU8" s="176"/>
      <c r="AV8" s="176"/>
      <c r="AW8" s="176"/>
      <c r="AX8" s="176"/>
      <c r="AY8" s="176"/>
      <c r="BA8" s="321" t="str">
        <f>USD!CA9</f>
        <v>2Q1999/00</v>
      </c>
      <c r="BB8" s="176"/>
      <c r="BC8" s="176"/>
      <c r="BE8" s="176"/>
      <c r="BF8" s="176"/>
      <c r="BG8" s="176"/>
      <c r="BH8" s="202"/>
      <c r="BI8" s="179"/>
      <c r="BJ8" s="176"/>
      <c r="BK8" s="176"/>
      <c r="BL8" s="176"/>
      <c r="BM8" s="176"/>
      <c r="BN8" s="176"/>
      <c r="BO8" s="174">
        <f>USD!DO9</f>
        <v>0.56585163164651031</v>
      </c>
      <c r="BP8" s="179">
        <f t="shared" ref="BP8:BP71" si="3">(BO8/BO7)-1</f>
        <v>-3.3414891855171418</v>
      </c>
      <c r="BQ8" s="174"/>
      <c r="BR8" s="174"/>
      <c r="BS8" s="174"/>
      <c r="BT8" s="174">
        <f t="shared" si="0"/>
        <v>0.56585163164651031</v>
      </c>
      <c r="BU8" s="174"/>
      <c r="BV8" s="179">
        <f t="shared" ref="BV8:BV71" si="4">(BT8/BT7)-1</f>
        <v>-3.3414891855171418</v>
      </c>
      <c r="BW8" s="176"/>
      <c r="BX8" s="179">
        <f t="shared" si="1"/>
        <v>1</v>
      </c>
      <c r="BY8" s="179">
        <f t="shared" si="2"/>
        <v>1</v>
      </c>
      <c r="BZ8" s="179"/>
      <c r="CA8" s="179"/>
      <c r="CB8" s="179"/>
      <c r="CC8" s="174">
        <f>USD!DP9</f>
        <v>0.56585163164651031</v>
      </c>
      <c r="CD8" s="174"/>
      <c r="CE8" s="174"/>
      <c r="CF8" s="174"/>
      <c r="CG8" s="174">
        <f t="shared" ref="CG8:CG71" si="5">(CC8/CC7)-1</f>
        <v>-3.3414891855171418</v>
      </c>
      <c r="CH8" s="183"/>
      <c r="CI8" s="178">
        <v>0</v>
      </c>
    </row>
    <row r="9" spans="1:95">
      <c r="A9" s="321" t="str">
        <f>USD!AE10</f>
        <v>3Q1999</v>
      </c>
      <c r="B9" s="176"/>
      <c r="C9" s="178"/>
      <c r="D9" s="178"/>
      <c r="E9" s="178"/>
      <c r="F9" s="178"/>
      <c r="G9" s="178"/>
      <c r="H9" s="178"/>
      <c r="I9" s="176"/>
      <c r="J9" s="176"/>
      <c r="K9" s="176"/>
      <c r="L9" s="176"/>
      <c r="M9" s="176"/>
      <c r="N9" s="176"/>
      <c r="O9" s="176"/>
      <c r="P9" s="176"/>
      <c r="Q9" s="176"/>
      <c r="R9" s="176"/>
      <c r="S9" s="176"/>
      <c r="T9" s="176"/>
      <c r="U9" s="176"/>
      <c r="V9" s="176"/>
      <c r="W9" s="181"/>
      <c r="X9" s="181"/>
      <c r="Y9" s="181"/>
      <c r="Z9" s="181"/>
      <c r="AA9" s="181"/>
      <c r="AB9" s="181"/>
      <c r="AD9" s="451" t="str">
        <f>USD!BC10</f>
        <v>2003 </v>
      </c>
      <c r="AE9" s="176"/>
      <c r="AF9" s="176"/>
      <c r="AG9" s="176"/>
      <c r="AH9" s="176"/>
      <c r="AI9" s="176"/>
      <c r="AJ9" s="176"/>
      <c r="AK9" s="176"/>
      <c r="AL9" s="176"/>
      <c r="AM9" s="176"/>
      <c r="AN9" s="176"/>
      <c r="AO9" s="176"/>
      <c r="AP9" s="176"/>
      <c r="AQ9" s="176"/>
      <c r="AR9" s="176"/>
      <c r="AS9" s="176"/>
      <c r="AT9" s="176"/>
      <c r="AU9" s="176"/>
      <c r="AV9" s="176"/>
      <c r="AW9" s="176"/>
      <c r="AX9" s="176"/>
      <c r="AY9" s="176"/>
      <c r="BA9" s="321" t="str">
        <f>USD!CA10</f>
        <v>3Q1999/00</v>
      </c>
      <c r="BB9" s="176"/>
      <c r="BC9" s="176"/>
      <c r="BE9" s="176"/>
      <c r="BF9" s="176"/>
      <c r="BG9" s="176"/>
      <c r="BH9" s="202"/>
      <c r="BI9" s="179"/>
      <c r="BJ9" s="176"/>
      <c r="BK9" s="176"/>
      <c r="BL9" s="176"/>
      <c r="BM9" s="176"/>
      <c r="BN9" s="176"/>
      <c r="BO9" s="174">
        <f>USD!DO10</f>
        <v>0.32654372235454238</v>
      </c>
      <c r="BP9" s="179">
        <f t="shared" si="3"/>
        <v>-0.42291635458509114</v>
      </c>
      <c r="BQ9" s="174"/>
      <c r="BR9" s="174"/>
      <c r="BS9" s="174"/>
      <c r="BT9" s="174">
        <f t="shared" si="0"/>
        <v>0.32654372235454238</v>
      </c>
      <c r="BU9" s="174"/>
      <c r="BV9" s="179">
        <f t="shared" si="4"/>
        <v>-0.42291635458509114</v>
      </c>
      <c r="BW9" s="176"/>
      <c r="BX9" s="179">
        <f t="shared" si="1"/>
        <v>1</v>
      </c>
      <c r="BY9" s="179">
        <f t="shared" si="2"/>
        <v>1</v>
      </c>
      <c r="BZ9" s="179"/>
      <c r="CA9" s="179"/>
      <c r="CB9" s="179"/>
      <c r="CC9" s="174">
        <f>USD!DP10</f>
        <v>0.32654372235454238</v>
      </c>
      <c r="CD9" s="174"/>
      <c r="CE9" s="174"/>
      <c r="CF9" s="174"/>
      <c r="CG9" s="174">
        <f t="shared" si="5"/>
        <v>-0.42291635458509114</v>
      </c>
      <c r="CH9" s="183"/>
      <c r="CI9" s="178">
        <v>0</v>
      </c>
    </row>
    <row r="10" spans="1:95">
      <c r="A10" s="321" t="str">
        <f>USD!AE11</f>
        <v>4Q1999</v>
      </c>
      <c r="B10" s="176"/>
      <c r="C10" s="178"/>
      <c r="D10" s="178"/>
      <c r="E10" s="178"/>
      <c r="F10" s="178"/>
      <c r="G10" s="178"/>
      <c r="H10" s="178"/>
      <c r="I10" s="176"/>
      <c r="J10" s="176"/>
      <c r="K10" s="176"/>
      <c r="L10" s="176"/>
      <c r="M10" s="176"/>
      <c r="N10" s="176"/>
      <c r="O10" s="176"/>
      <c r="P10" s="176"/>
      <c r="Q10" s="176"/>
      <c r="R10" s="176"/>
      <c r="S10" s="176"/>
      <c r="T10" s="176"/>
      <c r="U10" s="176"/>
      <c r="V10" s="176"/>
      <c r="W10" s="181"/>
      <c r="X10" s="181"/>
      <c r="Y10" s="181"/>
      <c r="Z10" s="181"/>
      <c r="AA10" s="181"/>
      <c r="AB10" s="181"/>
      <c r="AD10" s="451">
        <f>USD!BC11</f>
        <v>2004</v>
      </c>
      <c r="AE10" s="176"/>
      <c r="AF10" s="176"/>
      <c r="AG10" s="176"/>
      <c r="AH10" s="176"/>
      <c r="AI10" s="176"/>
      <c r="AJ10" s="176"/>
      <c r="AK10" s="176"/>
      <c r="AL10" s="176"/>
      <c r="AM10" s="176"/>
      <c r="AN10" s="176"/>
      <c r="AO10" s="176"/>
      <c r="AP10" s="176"/>
      <c r="AQ10" s="176"/>
      <c r="AR10" s="176"/>
      <c r="AS10" s="176"/>
      <c r="AT10" s="176"/>
      <c r="AU10" s="176"/>
      <c r="AV10" s="176"/>
      <c r="AW10" s="176"/>
      <c r="AX10" s="176"/>
      <c r="AY10" s="176"/>
      <c r="BA10" s="321" t="str">
        <f>USD!CA11</f>
        <v>4Q1999/00</v>
      </c>
      <c r="BB10" s="176"/>
      <c r="BC10" s="176"/>
      <c r="BE10" s="176"/>
      <c r="BF10" s="176"/>
      <c r="BG10" s="176"/>
      <c r="BH10" s="202"/>
      <c r="BI10" s="179"/>
      <c r="BJ10" s="176"/>
      <c r="BK10" s="176"/>
      <c r="BL10" s="176"/>
      <c r="BM10" s="176"/>
      <c r="BN10" s="176"/>
      <c r="BO10" s="174">
        <f>USD!DO11</f>
        <v>0.57220905395162958</v>
      </c>
      <c r="BP10" s="179">
        <f t="shared" si="3"/>
        <v>0.75231987259077648</v>
      </c>
      <c r="BQ10" s="174">
        <f>BO10+BO9+BO8+BO7</f>
        <v>1.2229412667575474</v>
      </c>
      <c r="BR10" s="174"/>
      <c r="BS10" s="174"/>
      <c r="BT10" s="174">
        <f t="shared" si="0"/>
        <v>0.57220905395162958</v>
      </c>
      <c r="BU10" s="174">
        <f>BT10+BT9+BT8+BT7</f>
        <v>1.2229412667575474</v>
      </c>
      <c r="BV10" s="179">
        <f t="shared" si="4"/>
        <v>0.75231987259077648</v>
      </c>
      <c r="BW10" s="176"/>
      <c r="BX10" s="179">
        <f t="shared" si="1"/>
        <v>1</v>
      </c>
      <c r="BY10" s="179">
        <f t="shared" si="2"/>
        <v>1</v>
      </c>
      <c r="BZ10" s="179"/>
      <c r="CA10" s="179"/>
      <c r="CB10" s="179"/>
      <c r="CC10" s="174">
        <f>USD!DP11</f>
        <v>0.57220905395162958</v>
      </c>
      <c r="CD10" s="174">
        <f>CC10+CC9+CC8+CC7</f>
        <v>1.2229412667575474</v>
      </c>
      <c r="CE10" s="174"/>
      <c r="CF10" s="174"/>
      <c r="CG10" s="174">
        <f t="shared" si="5"/>
        <v>0.75231987259077648</v>
      </c>
      <c r="CH10" s="183"/>
      <c r="CI10" s="178">
        <v>0</v>
      </c>
    </row>
    <row r="11" spans="1:95">
      <c r="A11" s="321" t="str">
        <f>USD!AE12</f>
        <v>1Q2000</v>
      </c>
      <c r="B11" s="176"/>
      <c r="C11" s="178"/>
      <c r="D11" s="178"/>
      <c r="E11" s="178"/>
      <c r="F11" s="178"/>
      <c r="G11" s="178"/>
      <c r="H11" s="178"/>
      <c r="I11" s="176"/>
      <c r="J11" s="176"/>
      <c r="K11" s="176"/>
      <c r="L11" s="176"/>
      <c r="M11" s="176"/>
      <c r="N11" s="176"/>
      <c r="O11" s="176"/>
      <c r="P11" s="176"/>
      <c r="Q11" s="176"/>
      <c r="R11" s="176"/>
      <c r="S11" s="176"/>
      <c r="T11" s="176"/>
      <c r="U11" s="176"/>
      <c r="V11" s="176"/>
      <c r="W11" s="181"/>
      <c r="X11" s="181"/>
      <c r="Y11" s="181"/>
      <c r="Z11" s="181"/>
      <c r="AA11" s="181"/>
      <c r="AB11" s="181"/>
      <c r="AD11" s="451" t="str">
        <f>USD!BC12</f>
        <v>2005 </v>
      </c>
      <c r="AE11" s="176"/>
      <c r="AF11" s="176"/>
      <c r="AG11" s="176"/>
      <c r="AH11" s="176"/>
      <c r="AI11" s="176"/>
      <c r="AJ11" s="176"/>
      <c r="AK11" s="178"/>
      <c r="AL11" s="178"/>
      <c r="AM11" s="176"/>
      <c r="AN11" s="176"/>
      <c r="AO11" s="176"/>
      <c r="AP11" s="176"/>
      <c r="AQ11" s="176"/>
      <c r="AR11" s="176"/>
      <c r="AS11" s="176"/>
      <c r="AT11" s="176"/>
      <c r="AU11" s="176"/>
      <c r="AV11" s="176"/>
      <c r="AW11" s="176"/>
      <c r="AX11" s="176"/>
      <c r="AY11" s="176"/>
      <c r="BA11" s="321" t="str">
        <f>USD!CA12</f>
        <v>1Q2000/00</v>
      </c>
      <c r="BB11" s="176"/>
      <c r="BC11" s="176"/>
      <c r="BE11" s="176"/>
      <c r="BF11" s="176"/>
      <c r="BG11" s="176"/>
      <c r="BH11" s="202"/>
      <c r="BI11" s="179"/>
      <c r="BJ11" s="176"/>
      <c r="BK11" s="176"/>
      <c r="BL11" s="176"/>
      <c r="BM11" s="176"/>
      <c r="BN11" s="176"/>
      <c r="BO11" s="174">
        <f>USD!DO12</f>
        <v>0.70267805482848888</v>
      </c>
      <c r="BP11" s="179">
        <f t="shared" si="3"/>
        <v>0.22800932626957038</v>
      </c>
      <c r="BQ11" s="174"/>
      <c r="BR11" s="174"/>
      <c r="BS11" s="174"/>
      <c r="BT11" s="174">
        <f t="shared" si="0"/>
        <v>0.70267805482848888</v>
      </c>
      <c r="BU11" s="174"/>
      <c r="BV11" s="179">
        <f t="shared" si="4"/>
        <v>0.22800932626957038</v>
      </c>
      <c r="BW11" s="176"/>
      <c r="BX11" s="179">
        <f t="shared" si="1"/>
        <v>1</v>
      </c>
      <c r="BY11" s="179">
        <f t="shared" si="2"/>
        <v>1</v>
      </c>
      <c r="BZ11" s="179"/>
      <c r="CA11" s="179"/>
      <c r="CB11" s="179"/>
      <c r="CC11" s="174">
        <f>USD!DP12</f>
        <v>0.70267805482848888</v>
      </c>
      <c r="CD11" s="174"/>
      <c r="CE11" s="174"/>
      <c r="CF11" s="174"/>
      <c r="CG11" s="174">
        <f t="shared" si="5"/>
        <v>0.22800932626957038</v>
      </c>
      <c r="CH11" s="183"/>
      <c r="CI11" s="178">
        <v>0</v>
      </c>
    </row>
    <row r="12" spans="1:95">
      <c r="A12" s="321" t="str">
        <f>USD!AE13</f>
        <v>2Q2000</v>
      </c>
      <c r="B12" s="176"/>
      <c r="C12" s="178"/>
      <c r="D12" s="178"/>
      <c r="E12" s="178"/>
      <c r="F12" s="178"/>
      <c r="G12" s="178"/>
      <c r="H12" s="178"/>
      <c r="I12" s="176"/>
      <c r="J12" s="176"/>
      <c r="K12" s="176"/>
      <c r="L12" s="176"/>
      <c r="M12" s="176"/>
      <c r="N12" s="176"/>
      <c r="O12" s="176"/>
      <c r="P12" s="176"/>
      <c r="Q12" s="176"/>
      <c r="R12" s="176"/>
      <c r="S12" s="176"/>
      <c r="T12" s="176"/>
      <c r="U12" s="176"/>
      <c r="V12" s="176"/>
      <c r="W12" s="181"/>
      <c r="X12" s="181"/>
      <c r="Y12" s="181"/>
      <c r="Z12" s="181"/>
      <c r="AA12" s="181"/>
      <c r="AB12" s="181"/>
      <c r="AD12" s="451" t="str">
        <f>USD!BC13</f>
        <v>2006 </v>
      </c>
      <c r="AE12" s="174">
        <f>USD!BU13</f>
        <v>613.17252828835194</v>
      </c>
      <c r="AF12" s="176"/>
      <c r="AG12" s="182">
        <f t="shared" ref="AG12:AG21" si="6">AE12/AT12</f>
        <v>0.78547297297297303</v>
      </c>
      <c r="AH12" s="179">
        <f>AE12/USD!BO13</f>
        <v>1.714740871309619E-3</v>
      </c>
      <c r="AI12" s="176"/>
      <c r="AJ12" s="176"/>
      <c r="AK12" s="178"/>
      <c r="AL12" s="178"/>
      <c r="AM12" s="174">
        <f>USD!BW13</f>
        <v>167.46862600563591</v>
      </c>
      <c r="AN12" s="174"/>
      <c r="AO12" s="174"/>
      <c r="AP12" s="438">
        <f>AM12/USD!BO13</f>
        <v>4.6832707668026158E-4</v>
      </c>
      <c r="AQ12" s="174">
        <f t="shared" ref="AQ12:AQ22" si="7">AM12+AI12</f>
        <v>167.46862600563591</v>
      </c>
      <c r="AR12" s="176"/>
      <c r="AS12" s="179">
        <f t="shared" ref="AS12:AS22" si="8">AQ12/AT12</f>
        <v>0.21452702702702703</v>
      </c>
      <c r="AT12" s="174">
        <f>USD!BX13</f>
        <v>780.64115429398782</v>
      </c>
      <c r="AU12" s="176"/>
      <c r="AV12" s="174"/>
      <c r="AW12" s="176"/>
      <c r="AX12" s="176"/>
      <c r="AY12" s="176"/>
      <c r="BA12" s="321" t="str">
        <f>USD!CA13</f>
        <v>2Q2000/01</v>
      </c>
      <c r="BB12" s="174">
        <f>USD!DM13</f>
        <v>0.16265100897617601</v>
      </c>
      <c r="BC12" s="176"/>
      <c r="BE12" s="176"/>
      <c r="BF12" s="176"/>
      <c r="BG12" s="176"/>
      <c r="BH12" s="179">
        <f t="shared" ref="BH12:BH43" si="9">BB12/CC12</f>
        <v>0.18873465552009711</v>
      </c>
      <c r="BI12" s="179"/>
      <c r="BJ12" s="176"/>
      <c r="BK12" s="176"/>
      <c r="BL12" s="176"/>
      <c r="BM12" s="176"/>
      <c r="BN12" s="176"/>
      <c r="BO12" s="174">
        <f>USD!DO13</f>
        <v>0.6991462509279881</v>
      </c>
      <c r="BP12" s="179">
        <f t="shared" si="3"/>
        <v>-5.0262049259000019E-3</v>
      </c>
      <c r="BQ12" s="174"/>
      <c r="BR12" s="174"/>
      <c r="BS12" s="174"/>
      <c r="BT12" s="174">
        <f t="shared" si="0"/>
        <v>0.6991462509279881</v>
      </c>
      <c r="BU12" s="174"/>
      <c r="BV12" s="179">
        <f t="shared" si="4"/>
        <v>-5.0262049259000019E-3</v>
      </c>
      <c r="BW12" s="176"/>
      <c r="BX12" s="179">
        <f t="shared" si="1"/>
        <v>0.81126534447990284</v>
      </c>
      <c r="BY12" s="179">
        <f t="shared" si="2"/>
        <v>0.81126534447990284</v>
      </c>
      <c r="BZ12" s="179"/>
      <c r="CA12" s="179"/>
      <c r="CB12" s="179"/>
      <c r="CC12" s="174">
        <f>USD!DP13</f>
        <v>0.86179725990416411</v>
      </c>
      <c r="CD12" s="174"/>
      <c r="CE12" s="174"/>
      <c r="CF12" s="174"/>
      <c r="CG12" s="174">
        <f t="shared" si="5"/>
        <v>0.22644681156936564</v>
      </c>
      <c r="CH12" s="183"/>
      <c r="CI12" s="178">
        <v>0</v>
      </c>
    </row>
    <row r="13" spans="1:95">
      <c r="A13" s="321" t="str">
        <f>USD!AE14</f>
        <v>3Q2000</v>
      </c>
      <c r="B13" s="176"/>
      <c r="C13" s="178"/>
      <c r="D13" s="178"/>
      <c r="E13" s="178"/>
      <c r="F13" s="178"/>
      <c r="G13" s="178"/>
      <c r="H13" s="178"/>
      <c r="I13" s="176"/>
      <c r="J13" s="176"/>
      <c r="K13" s="176"/>
      <c r="L13" s="176"/>
      <c r="M13" s="176"/>
      <c r="N13" s="176"/>
      <c r="O13" s="176"/>
      <c r="P13" s="176"/>
      <c r="Q13" s="176"/>
      <c r="R13" s="176"/>
      <c r="S13" s="176"/>
      <c r="T13" s="176"/>
      <c r="U13" s="176"/>
      <c r="V13" s="176"/>
      <c r="W13" s="181"/>
      <c r="X13" s="181"/>
      <c r="Y13" s="181"/>
      <c r="Z13" s="181"/>
      <c r="AA13" s="181"/>
      <c r="AB13" s="181"/>
      <c r="AD13" s="451" t="str">
        <f>USD!BC14</f>
        <v>2007 </v>
      </c>
      <c r="AE13" s="175">
        <f>USD!BU14</f>
        <v>483.93864652156299</v>
      </c>
      <c r="AF13" s="184">
        <f>(AE13/AE12)-1</f>
        <v>-0.21076267413274441</v>
      </c>
      <c r="AG13" s="185">
        <f t="shared" si="6"/>
        <v>0.68530020703933747</v>
      </c>
      <c r="AH13" s="184">
        <f>AE13/USD!BO14</f>
        <v>1.167845096461888E-3</v>
      </c>
      <c r="AI13" s="177"/>
      <c r="AJ13" s="184"/>
      <c r="AK13" s="186"/>
      <c r="AL13" s="186"/>
      <c r="AM13" s="175">
        <f>USD!BW14</f>
        <v>222.23164432410147</v>
      </c>
      <c r="AN13" s="175"/>
      <c r="AO13" s="175"/>
      <c r="AP13" s="439">
        <f>AM13/USD!BO14</f>
        <v>5.3629140381331421E-4</v>
      </c>
      <c r="AQ13" s="175">
        <f t="shared" si="7"/>
        <v>222.23164432410147</v>
      </c>
      <c r="AR13" s="184">
        <f t="shared" ref="AR13:AR22" si="10">(AQ13/AQ12)-1</f>
        <v>0.32700464334509194</v>
      </c>
      <c r="AS13" s="184">
        <f t="shared" si="8"/>
        <v>0.31469979296066258</v>
      </c>
      <c r="AT13" s="175">
        <f>USD!BX14</f>
        <v>706.17029084566445</v>
      </c>
      <c r="AU13" s="184">
        <f t="shared" ref="AU13:AU22" si="11">(AT13/AT12)-1</f>
        <v>-9.53970502819248E-2</v>
      </c>
      <c r="AV13" s="175"/>
      <c r="AW13" s="177"/>
      <c r="AX13" s="177"/>
      <c r="AY13" s="177"/>
      <c r="BA13" s="321" t="str">
        <f>USD!CA14</f>
        <v>3Q2000/01</v>
      </c>
      <c r="BB13" s="174">
        <f>USD!DM14</f>
        <v>0.32500332314236335</v>
      </c>
      <c r="BC13" s="179">
        <f>(BB13/BB12)-1</f>
        <v>0.99816358464746791</v>
      </c>
      <c r="BD13" s="178"/>
      <c r="BE13" s="179"/>
      <c r="BF13" s="438">
        <f>BB13/USD!CP14</f>
        <v>8.1814015828418776E-5</v>
      </c>
      <c r="BG13" s="438"/>
      <c r="BH13" s="179">
        <f t="shared" si="9"/>
        <v>0.36311467740713843</v>
      </c>
      <c r="BI13" s="179"/>
      <c r="BJ13" s="176"/>
      <c r="BK13" s="176"/>
      <c r="BL13" s="176"/>
      <c r="BM13" s="176"/>
      <c r="BN13" s="176"/>
      <c r="BO13" s="174">
        <f>USD!DO14</f>
        <v>0.57003987770836095</v>
      </c>
      <c r="BP13" s="179">
        <f t="shared" si="3"/>
        <v>-0.18466289856844997</v>
      </c>
      <c r="BQ13" s="174"/>
      <c r="BR13" s="174"/>
      <c r="BS13" s="174"/>
      <c r="BT13" s="174">
        <f t="shared" si="0"/>
        <v>0.57003987770836095</v>
      </c>
      <c r="BU13" s="174"/>
      <c r="BV13" s="179">
        <f t="shared" si="4"/>
        <v>-0.18466289856844997</v>
      </c>
      <c r="BW13" s="176"/>
      <c r="BX13" s="179">
        <f t="shared" si="1"/>
        <v>0.63688532259286157</v>
      </c>
      <c r="BY13" s="179">
        <f t="shared" si="2"/>
        <v>0.63688532259286157</v>
      </c>
      <c r="BZ13" s="179"/>
      <c r="CA13" s="179"/>
      <c r="CB13" s="179"/>
      <c r="CC13" s="174">
        <f>USD!DP14</f>
        <v>0.89504320085072431</v>
      </c>
      <c r="CD13" s="174"/>
      <c r="CE13" s="174"/>
      <c r="CF13" s="174"/>
      <c r="CG13" s="174">
        <f t="shared" si="5"/>
        <v>3.8577450281354286E-2</v>
      </c>
      <c r="CH13" s="183">
        <f>USD!DQ14</f>
        <v>2.2980074454593484E-4</v>
      </c>
      <c r="CI13" s="179">
        <f>BO13/USD!CP14</f>
        <v>1.4349776835122674E-4</v>
      </c>
    </row>
    <row r="14" spans="1:95">
      <c r="A14" s="321" t="str">
        <f>USD!AE15</f>
        <v>4Q2000</v>
      </c>
      <c r="B14" s="177"/>
      <c r="C14" s="186"/>
      <c r="D14" s="186"/>
      <c r="E14" s="186"/>
      <c r="F14" s="186"/>
      <c r="G14" s="186"/>
      <c r="H14" s="186"/>
      <c r="I14" s="177"/>
      <c r="J14" s="177"/>
      <c r="K14" s="175"/>
      <c r="L14" s="177"/>
      <c r="M14" s="177"/>
      <c r="N14" s="177"/>
      <c r="O14" s="177"/>
      <c r="P14" s="175"/>
      <c r="Q14" s="175"/>
      <c r="R14" s="175"/>
      <c r="S14" s="175"/>
      <c r="T14" s="177"/>
      <c r="U14" s="177"/>
      <c r="V14" s="177"/>
      <c r="W14" s="192"/>
      <c r="X14" s="192"/>
      <c r="Y14" s="192"/>
      <c r="Z14" s="192"/>
      <c r="AA14" s="192"/>
      <c r="AB14" s="181"/>
      <c r="AD14" s="451" t="str">
        <f>USD!BC15</f>
        <v>2008 </v>
      </c>
      <c r="AE14" s="174">
        <f>USD!BU15</f>
        <v>433.69534847838264</v>
      </c>
      <c r="AF14" s="179">
        <f t="shared" ref="AF14:AF21" si="12">(AE14/AE13)-1</f>
        <v>-0.10382162781236282</v>
      </c>
      <c r="AG14" s="182">
        <f t="shared" si="6"/>
        <v>0.6</v>
      </c>
      <c r="AH14" s="179">
        <f>AE14/USD!BO15</f>
        <v>1.2515343329562686E-3</v>
      </c>
      <c r="AI14" s="176"/>
      <c r="AJ14" s="179"/>
      <c r="AK14" s="178"/>
      <c r="AL14" s="178"/>
      <c r="AM14" s="174">
        <f>USD!BW15</f>
        <v>289.13023231892174</v>
      </c>
      <c r="AN14" s="174">
        <f t="shared" ref="AN14:AN22" si="13">(AM14/AM13)-1</f>
        <v>0.30103088243029741</v>
      </c>
      <c r="AO14" s="174">
        <f t="shared" ref="AO14:AO22" si="14">AM14/AT14</f>
        <v>0.39999999999999997</v>
      </c>
      <c r="AP14" s="438">
        <f>AM14/USD!BO15</f>
        <v>8.3435622197084564E-4</v>
      </c>
      <c r="AQ14" s="174">
        <f t="shared" si="7"/>
        <v>289.13023231892174</v>
      </c>
      <c r="AR14" s="179">
        <f t="shared" si="10"/>
        <v>0.30103088243029741</v>
      </c>
      <c r="AS14" s="179">
        <f t="shared" si="8"/>
        <v>0.39999999999999997</v>
      </c>
      <c r="AT14" s="174">
        <f>USD!BX15</f>
        <v>722.82558079730438</v>
      </c>
      <c r="AU14" s="179">
        <f t="shared" si="11"/>
        <v>2.3585373340606841E-2</v>
      </c>
      <c r="AV14" s="179">
        <f>AT14/USD!BO15</f>
        <v>2.0858905549271142E-3</v>
      </c>
      <c r="AW14" s="176"/>
      <c r="AX14" s="176"/>
      <c r="AY14" s="176"/>
      <c r="BA14" s="321" t="str">
        <f>USD!CA15</f>
        <v>4Q2000/01</v>
      </c>
      <c r="BB14" s="174">
        <f>USD!DM15</f>
        <v>0.31225033288948062</v>
      </c>
      <c r="BC14" s="179">
        <f t="shared" ref="BC14:BC68" si="15">(BB14/BB13)-1</f>
        <v>-3.923956878218271E-2</v>
      </c>
      <c r="BD14" s="178"/>
      <c r="BE14" s="179"/>
      <c r="BF14" s="438">
        <f>BB14/USD!CP15</f>
        <v>7.2796787379986189E-5</v>
      </c>
      <c r="BG14" s="438"/>
      <c r="BH14" s="179">
        <f t="shared" si="9"/>
        <v>0.24401664932362122</v>
      </c>
      <c r="BI14" s="179"/>
      <c r="BJ14" s="176"/>
      <c r="BK14" s="176"/>
      <c r="BL14" s="176"/>
      <c r="BM14" s="176"/>
      <c r="BN14" s="176"/>
      <c r="BO14" s="174">
        <f>USD!DO15</f>
        <v>0.96737683089214366</v>
      </c>
      <c r="BP14" s="179">
        <f t="shared" si="3"/>
        <v>0.69703360891369948</v>
      </c>
      <c r="BQ14" s="174">
        <f>BO14+BO13+BO12+BO11</f>
        <v>2.9392410143569818</v>
      </c>
      <c r="BR14" s="174">
        <f>(BQ14/BQ10)-1</f>
        <v>1.4034196034204944</v>
      </c>
      <c r="BS14" s="174">
        <f>BQ14/USD!CP15</f>
        <v>6.8524283449335102E-4</v>
      </c>
      <c r="BT14" s="174">
        <f t="shared" si="0"/>
        <v>0.96737683089214366</v>
      </c>
      <c r="BU14" s="174">
        <f>BT14+BT13+BT12+BT11</f>
        <v>2.9392410143569818</v>
      </c>
      <c r="BV14" s="179">
        <f t="shared" si="4"/>
        <v>0.69703360891369948</v>
      </c>
      <c r="BW14" s="176"/>
      <c r="BX14" s="179">
        <f t="shared" si="1"/>
        <v>0.75598335067637878</v>
      </c>
      <c r="BY14" s="179">
        <f t="shared" si="2"/>
        <v>0.75598335067637878</v>
      </c>
      <c r="BZ14" s="179"/>
      <c r="CA14" s="179">
        <f>BQ14/CD14</f>
        <v>0.78607288038484147</v>
      </c>
      <c r="CB14" s="179"/>
      <c r="CC14" s="174">
        <f>USD!DP15</f>
        <v>1.2796271637816243</v>
      </c>
      <c r="CD14" s="174">
        <f>CC14+CC13+CC12+CC11</f>
        <v>3.7391456793650018</v>
      </c>
      <c r="CE14" s="174"/>
      <c r="CF14" s="174">
        <f>(CD14/CD10)-1</f>
        <v>2.0575022537908199</v>
      </c>
      <c r="CG14" s="174">
        <f t="shared" si="5"/>
        <v>0.42968201151113061</v>
      </c>
      <c r="CH14" s="183">
        <f>USD!DQ15</f>
        <v>2.9843191265043872E-4</v>
      </c>
      <c r="CI14" s="179">
        <f>BO14/USD!CP15</f>
        <v>2.2553034555036232E-4</v>
      </c>
    </row>
    <row r="15" spans="1:95">
      <c r="A15" s="321" t="str">
        <f>USD!AE16</f>
        <v>1Q2001</v>
      </c>
      <c r="B15" s="174">
        <f>USD!AF16</f>
        <v>4.314915853377391</v>
      </c>
      <c r="C15" s="178">
        <v>0</v>
      </c>
      <c r="D15" s="178"/>
      <c r="E15" s="178"/>
      <c r="F15" s="179">
        <f t="shared" ref="F15:F46" si="16">B15/O15</f>
        <v>0.47351428192803008</v>
      </c>
      <c r="G15" s="178">
        <v>0</v>
      </c>
      <c r="H15" s="178">
        <v>0</v>
      </c>
      <c r="I15" s="174">
        <f>USD!AG16</f>
        <v>4.7976199624551272</v>
      </c>
      <c r="J15" s="176">
        <v>0</v>
      </c>
      <c r="K15" s="174"/>
      <c r="L15" s="174"/>
      <c r="M15" s="179">
        <f t="shared" ref="M15:M46" si="17">I15/O15</f>
        <v>0.52648571807196987</v>
      </c>
      <c r="N15" s="174"/>
      <c r="O15" s="174">
        <f>USD!AH16</f>
        <v>9.1125358158325191</v>
      </c>
      <c r="P15" s="174"/>
      <c r="Q15" s="174"/>
      <c r="R15" s="174"/>
      <c r="S15" s="174"/>
      <c r="T15" s="174"/>
      <c r="U15" s="176"/>
      <c r="V15" s="176"/>
      <c r="W15" s="174">
        <f>USD!AJ16</f>
        <v>1.4136413037511937</v>
      </c>
      <c r="X15" s="181"/>
      <c r="Y15" s="179">
        <f t="shared" ref="Y15:Y67" si="18">W15/O15</f>
        <v>0.15513149493416215</v>
      </c>
      <c r="Z15" s="179">
        <f>W15/B15</f>
        <v>0.32761735148199977</v>
      </c>
      <c r="AA15" s="181"/>
      <c r="AB15" s="181"/>
      <c r="AD15" s="451" t="str">
        <f>USD!BC16</f>
        <v>2009 </v>
      </c>
      <c r="AE15" s="174">
        <f>USD!BU16</f>
        <v>1086.1050293693131</v>
      </c>
      <c r="AF15" s="180">
        <f>(AE15/AE14)-1</f>
        <v>1.5043040769976104</v>
      </c>
      <c r="AG15" s="182">
        <f t="shared" si="6"/>
        <v>0.76697061803444788</v>
      </c>
      <c r="AH15" s="179">
        <f>AE15/USD!BO16</f>
        <v>2.9424454559235668E-3</v>
      </c>
      <c r="AI15" s="176"/>
      <c r="AJ15" s="317"/>
      <c r="AK15" s="178"/>
      <c r="AL15" s="178"/>
      <c r="AM15" s="174">
        <f>USD!BW16</f>
        <v>329.99228105012151</v>
      </c>
      <c r="AN15" s="174">
        <f t="shared" si="13"/>
        <v>0.14132748555373253</v>
      </c>
      <c r="AO15" s="174">
        <f t="shared" si="14"/>
        <v>0.23302938196555217</v>
      </c>
      <c r="AP15" s="438">
        <f>AM15/USD!BO16</f>
        <v>8.9400588489091186E-4</v>
      </c>
      <c r="AQ15" s="174">
        <f t="shared" si="7"/>
        <v>329.99228105012151</v>
      </c>
      <c r="AR15" s="180">
        <f t="shared" si="10"/>
        <v>0.14132748555373253</v>
      </c>
      <c r="AS15" s="179">
        <f t="shared" si="8"/>
        <v>0.23302938196555217</v>
      </c>
      <c r="AT15" s="174">
        <f>USD!BX16</f>
        <v>1416.0973104194345</v>
      </c>
      <c r="AU15" s="179">
        <f t="shared" si="11"/>
        <v>0.95911344042005919</v>
      </c>
      <c r="AV15" s="179">
        <f>AT15/USD!BO16</f>
        <v>3.8364513408144785E-3</v>
      </c>
      <c r="AW15" s="174">
        <f>USD!BY16</f>
        <v>832.15444786552382</v>
      </c>
      <c r="AX15" s="179">
        <f t="shared" ref="AX15:AX22" si="19">AW15/AT15</f>
        <v>0.58763931104356637</v>
      </c>
      <c r="AY15" s="179">
        <f>AW15/AE15</f>
        <v>0.76618229854689557</v>
      </c>
      <c r="BA15" s="321" t="str">
        <f>USD!CA16</f>
        <v>1Q2001/01</v>
      </c>
      <c r="BB15" s="174">
        <f>USD!DM16</f>
        <v>0.21338752699098185</v>
      </c>
      <c r="BC15" s="179">
        <f t="shared" si="15"/>
        <v>-0.31661393274956329</v>
      </c>
      <c r="BD15" s="178"/>
      <c r="BE15" s="179"/>
      <c r="BF15" s="438">
        <f>BB15/USD!CP16</f>
        <v>4.6951354902916203E-5</v>
      </c>
      <c r="BG15" s="438"/>
      <c r="BH15" s="179">
        <f t="shared" si="9"/>
        <v>0.15346719387519736</v>
      </c>
      <c r="BI15" s="179"/>
      <c r="BJ15" s="176"/>
      <c r="BK15" s="176"/>
      <c r="BL15" s="176"/>
      <c r="BM15" s="176"/>
      <c r="BN15" s="176"/>
      <c r="BO15" s="174">
        <f>USD!DO16</f>
        <v>1.1770563952749904</v>
      </c>
      <c r="BP15" s="179">
        <f t="shared" si="3"/>
        <v>0.21675065774469093</v>
      </c>
      <c r="BQ15" s="174"/>
      <c r="BR15" s="174"/>
      <c r="BS15" s="174"/>
      <c r="BT15" s="174">
        <f t="shared" si="0"/>
        <v>1.1770563952749904</v>
      </c>
      <c r="BU15" s="174"/>
      <c r="BV15" s="179">
        <f t="shared" si="4"/>
        <v>0.21675065774469093</v>
      </c>
      <c r="BW15" s="176"/>
      <c r="BX15" s="179">
        <f t="shared" si="1"/>
        <v>0.84653280612480253</v>
      </c>
      <c r="BY15" s="179">
        <f t="shared" si="2"/>
        <v>0.84653280612480253</v>
      </c>
      <c r="BZ15" s="179"/>
      <c r="CA15" s="179"/>
      <c r="CB15" s="179"/>
      <c r="CC15" s="174">
        <f>USD!DP16</f>
        <v>1.3904439222659724</v>
      </c>
      <c r="CD15" s="174"/>
      <c r="CE15" s="174"/>
      <c r="CF15" s="174"/>
      <c r="CG15" s="174">
        <f t="shared" si="5"/>
        <v>8.6600817504417726E-2</v>
      </c>
      <c r="CH15" s="183">
        <f>USD!DQ16</f>
        <v>3.0603037194117171E-4</v>
      </c>
      <c r="CI15" s="179">
        <f>BO15/USD!CP16</f>
        <v>2.58986049159466E-4</v>
      </c>
    </row>
    <row r="16" spans="1:95">
      <c r="A16" s="321" t="str">
        <f>USD!AE17</f>
        <v>2Q2001</v>
      </c>
      <c r="B16" s="174">
        <f>USD!AF17</f>
        <v>4.4900035883181513</v>
      </c>
      <c r="C16" s="179">
        <f>(B16/B15)-1</f>
        <v>4.0577323148425881E-2</v>
      </c>
      <c r="D16" s="178"/>
      <c r="E16" s="179"/>
      <c r="F16" s="179">
        <f t="shared" si="16"/>
        <v>0.50325957763557583</v>
      </c>
      <c r="G16" s="178">
        <v>0</v>
      </c>
      <c r="H16" s="178">
        <v>0</v>
      </c>
      <c r="I16" s="174">
        <f>USD!AG17</f>
        <v>4.4318407000969371</v>
      </c>
      <c r="J16" s="180">
        <f t="shared" ref="J16:J47" si="20">(I16/I15)-1</f>
        <v>-7.6241816821815744E-2</v>
      </c>
      <c r="K16" s="174"/>
      <c r="L16" s="174"/>
      <c r="M16" s="179">
        <f t="shared" si="17"/>
        <v>0.49674042236442428</v>
      </c>
      <c r="N16" s="174"/>
      <c r="O16" s="174">
        <f>USD!AH17</f>
        <v>8.9218442884150875</v>
      </c>
      <c r="P16" s="174"/>
      <c r="Q16" s="174"/>
      <c r="R16" s="174"/>
      <c r="S16" s="174"/>
      <c r="T16" s="174"/>
      <c r="U16" s="179">
        <f>(O16/O15)-1</f>
        <v>-2.0926285643356857E-2</v>
      </c>
      <c r="V16" s="176"/>
      <c r="W16" s="174">
        <f>USD!AJ17</f>
        <v>1.9593288238350017</v>
      </c>
      <c r="X16" s="174">
        <f>(W16/W15)-1</f>
        <v>0.38601554626041912</v>
      </c>
      <c r="Y16" s="179">
        <f t="shared" si="18"/>
        <v>0.21961029138102844</v>
      </c>
      <c r="Z16" s="179">
        <f t="shared" ref="Z16:Z78" si="21">W16/B16</f>
        <v>0.43637578128727506</v>
      </c>
      <c r="AA16" s="181"/>
      <c r="AB16" s="181"/>
      <c r="AD16" s="451" t="str">
        <f>USD!BC17</f>
        <v>2010 </v>
      </c>
      <c r="AE16" s="174">
        <f>USD!BU17</f>
        <v>1711.8187940531736</v>
      </c>
      <c r="AF16" s="179">
        <f t="shared" si="12"/>
        <v>0.57610797092727228</v>
      </c>
      <c r="AG16" s="182">
        <f t="shared" si="6"/>
        <v>0.78426551936078681</v>
      </c>
      <c r="AH16" s="179">
        <f>AE16/USD!BO17</f>
        <v>4.8965432553570339E-3</v>
      </c>
      <c r="AI16" s="176"/>
      <c r="AJ16" s="179"/>
      <c r="AK16" s="178"/>
      <c r="AL16" s="178"/>
      <c r="AM16" s="174">
        <f>USD!BW17</f>
        <v>470.88432344252664</v>
      </c>
      <c r="AN16" s="174">
        <f t="shared" si="13"/>
        <v>0.42695556982136029</v>
      </c>
      <c r="AO16" s="174">
        <f t="shared" si="14"/>
        <v>0.2157344806392133</v>
      </c>
      <c r="AP16" s="438">
        <f>AM16/USD!BO17</f>
        <v>1.3469331368576166E-3</v>
      </c>
      <c r="AQ16" s="174">
        <f t="shared" si="7"/>
        <v>470.88432344252664</v>
      </c>
      <c r="AR16" s="180">
        <f>(AQ16/AQ15)-1</f>
        <v>0.42695556982136029</v>
      </c>
      <c r="AS16" s="179">
        <f t="shared" si="8"/>
        <v>0.2157344806392133</v>
      </c>
      <c r="AT16" s="174">
        <f>USD!BX17</f>
        <v>2182.7031174957001</v>
      </c>
      <c r="AU16" s="179">
        <f t="shared" si="11"/>
        <v>0.54135107907888358</v>
      </c>
      <c r="AV16" s="179">
        <f>AT16/USD!BO17</f>
        <v>6.2434763922146501E-3</v>
      </c>
      <c r="AW16" s="174">
        <f>USD!BY17</f>
        <v>764.68394405196625</v>
      </c>
      <c r="AX16" s="179">
        <f t="shared" si="19"/>
        <v>0.3503380454824831</v>
      </c>
      <c r="AY16" s="179">
        <f t="shared" ref="AY16:AY22" si="22">AW16/AE16</f>
        <v>0.44670846394984326</v>
      </c>
      <c r="BA16" s="321" t="str">
        <f>USD!CA17</f>
        <v>2Q2001/02</v>
      </c>
      <c r="BB16" s="174">
        <f>USD!DM17</f>
        <v>0.45993674222456504</v>
      </c>
      <c r="BC16" s="179">
        <f t="shared" si="15"/>
        <v>1.1554059354369048</v>
      </c>
      <c r="BD16" s="178"/>
      <c r="BE16" s="179"/>
      <c r="BF16" s="438">
        <f>BB16/USD!CP17</f>
        <v>6.362952665284076E-5</v>
      </c>
      <c r="BG16" s="438"/>
      <c r="BH16" s="179">
        <f t="shared" si="9"/>
        <v>0.27578032398261559</v>
      </c>
      <c r="BI16" s="179"/>
      <c r="BJ16" s="176"/>
      <c r="BK16" s="176"/>
      <c r="BL16" s="176"/>
      <c r="BM16" s="176"/>
      <c r="BN16" s="176"/>
      <c r="BO16" s="174">
        <f>USD!DO17</f>
        <v>1.2078281497100682</v>
      </c>
      <c r="BP16" s="179">
        <f t="shared" si="3"/>
        <v>2.6142973742467879E-2</v>
      </c>
      <c r="BQ16" s="174"/>
      <c r="BR16" s="174"/>
      <c r="BS16" s="174"/>
      <c r="BT16" s="174">
        <f t="shared" si="0"/>
        <v>1.2078281497100682</v>
      </c>
      <c r="BU16" s="174"/>
      <c r="BV16" s="179">
        <f t="shared" si="4"/>
        <v>2.6142973742467879E-2</v>
      </c>
      <c r="BW16" s="176"/>
      <c r="BX16" s="179">
        <f t="shared" si="1"/>
        <v>0.72421967601738446</v>
      </c>
      <c r="BY16" s="179">
        <f t="shared" si="2"/>
        <v>0.72421967601738446</v>
      </c>
      <c r="BZ16" s="179"/>
      <c r="CA16" s="179"/>
      <c r="CB16" s="179"/>
      <c r="CC16" s="174">
        <f>USD!DP17</f>
        <v>1.6677648919346333</v>
      </c>
      <c r="CD16" s="174"/>
      <c r="CE16" s="174"/>
      <c r="CF16" s="174"/>
      <c r="CG16" s="174">
        <f t="shared" si="5"/>
        <v>0.19944779162090742</v>
      </c>
      <c r="CH16" s="183">
        <f>USD!DQ17</f>
        <v>2.3078085994182238E-4</v>
      </c>
      <c r="CI16" s="179">
        <f>BO16/USD!CP17</f>
        <v>1.6709587729893567E-4</v>
      </c>
    </row>
    <row r="17" spans="1:87" ht="14.25" customHeight="1">
      <c r="A17" s="321" t="str">
        <f>USD!AE18</f>
        <v>3Q2001</v>
      </c>
      <c r="B17" s="174">
        <f>USD!AF18</f>
        <v>2.2447587532625666</v>
      </c>
      <c r="C17" s="179">
        <f t="shared" ref="C17:C68" si="23">(B17/B16)-1</f>
        <v>-0.50005412933235549</v>
      </c>
      <c r="D17" s="178"/>
      <c r="E17" s="179"/>
      <c r="F17" s="179">
        <f t="shared" si="16"/>
        <v>0.24523026518370716</v>
      </c>
      <c r="G17" s="178">
        <v>0</v>
      </c>
      <c r="H17" s="178">
        <v>0</v>
      </c>
      <c r="I17" s="174">
        <f>USD!AG18</f>
        <v>6.9089187162821109</v>
      </c>
      <c r="J17" s="180">
        <f t="shared" si="20"/>
        <v>0.55892758422724742</v>
      </c>
      <c r="K17" s="174"/>
      <c r="L17" s="174"/>
      <c r="M17" s="179">
        <f t="shared" si="17"/>
        <v>0.75476973481629295</v>
      </c>
      <c r="N17" s="174"/>
      <c r="O17" s="174">
        <f>USD!AH18</f>
        <v>9.153677469544677</v>
      </c>
      <c r="P17" s="174"/>
      <c r="Q17" s="174"/>
      <c r="R17" s="174"/>
      <c r="S17" s="174"/>
      <c r="T17" s="174"/>
      <c r="U17" s="179">
        <f t="shared" ref="U17:U68" si="24">(O17/O16)-1</f>
        <v>2.5984894337443443E-2</v>
      </c>
      <c r="V17" s="176"/>
      <c r="W17" s="174">
        <f>USD!AJ18</f>
        <v>-0.37476534886211832</v>
      </c>
      <c r="X17" s="174">
        <f t="shared" ref="X17:X78" si="25">(W17/W16)-1</f>
        <v>-1.1912723093250823</v>
      </c>
      <c r="Y17" s="179">
        <f t="shared" si="18"/>
        <v>-4.094150685437685E-2</v>
      </c>
      <c r="Z17" s="179">
        <f t="shared" si="21"/>
        <v>-0.16695128076343557</v>
      </c>
      <c r="AA17" s="181"/>
      <c r="AB17" s="181"/>
      <c r="AD17" s="451" t="str">
        <f>USD!BC18</f>
        <v>2011 </v>
      </c>
      <c r="AE17" s="174">
        <f>USD!BU18</f>
        <v>1535.7114576017718</v>
      </c>
      <c r="AF17" s="179">
        <f t="shared" si="12"/>
        <v>-0.10287732385179749</v>
      </c>
      <c r="AG17" s="182">
        <f t="shared" si="6"/>
        <v>0.63194444444444453</v>
      </c>
      <c r="AH17" s="179">
        <f>AE17/USD!BO18</f>
        <v>4.4155301248889594E-3</v>
      </c>
      <c r="AI17" s="174">
        <f>USD!BV18</f>
        <v>318.04675157433144</v>
      </c>
      <c r="AJ17" s="179"/>
      <c r="AK17" s="179">
        <f t="shared" ref="AK17:AK22" si="26">AI17/AT17</f>
        <v>0.13087606837606838</v>
      </c>
      <c r="AL17" s="183">
        <f>AI17/USD!AV18</f>
        <v>1.1871048289936899E-3</v>
      </c>
      <c r="AM17" s="174">
        <f>USD!BW18</f>
        <v>576.37860285307409</v>
      </c>
      <c r="AN17" s="174">
        <f t="shared" si="13"/>
        <v>0.22403438415469656</v>
      </c>
      <c r="AO17" s="174">
        <f t="shared" si="14"/>
        <v>0.23717948717948717</v>
      </c>
      <c r="AP17" s="438">
        <f>AM17/USD!BO18</f>
        <v>1.6572234788256109E-3</v>
      </c>
      <c r="AQ17" s="174">
        <f t="shared" si="7"/>
        <v>894.42535442740552</v>
      </c>
      <c r="AR17" s="180">
        <f t="shared" si="10"/>
        <v>0.89945876279861725</v>
      </c>
      <c r="AS17" s="179">
        <f>AQ17/AT17</f>
        <v>0.36805555555555558</v>
      </c>
      <c r="AT17" s="174">
        <f>USD!BX18</f>
        <v>2430.1368120291772</v>
      </c>
      <c r="AU17" s="179">
        <f t="shared" si="11"/>
        <v>0.11336113122767122</v>
      </c>
      <c r="AV17" s="179">
        <f>AT17/USD!BO18</f>
        <v>6.9872125053187916E-3</v>
      </c>
      <c r="AW17" s="174">
        <f>USD!BY18</f>
        <v>589.36010291733248</v>
      </c>
      <c r="AX17" s="179">
        <f t="shared" si="19"/>
        <v>0.24252136752136752</v>
      </c>
      <c r="AY17" s="179">
        <f t="shared" si="22"/>
        <v>0.38377007607776836</v>
      </c>
      <c r="BA17" s="321" t="str">
        <f>USD!CA18</f>
        <v>3Q2001/02</v>
      </c>
      <c r="BB17" s="174">
        <f>USD!DM18</f>
        <v>0.44438817496993094</v>
      </c>
      <c r="BC17" s="179">
        <f t="shared" si="15"/>
        <v>-3.3805882042453717E-2</v>
      </c>
      <c r="BD17" s="178"/>
      <c r="BE17" s="179"/>
      <c r="BF17" s="438">
        <f>BB17/USD!CP18</f>
        <v>5.8400849956985527E-5</v>
      </c>
      <c r="BG17" s="438"/>
      <c r="BH17" s="179">
        <f t="shared" si="9"/>
        <v>0.27507836990595613</v>
      </c>
      <c r="BI17" s="179"/>
      <c r="BJ17" s="176"/>
      <c r="BK17" s="176"/>
      <c r="BL17" s="176"/>
      <c r="BM17" s="176"/>
      <c r="BN17" s="176"/>
      <c r="BO17" s="174">
        <f>USD!DO18</f>
        <v>1.1711084383110715</v>
      </c>
      <c r="BP17" s="179">
        <f t="shared" si="3"/>
        <v>-3.0401436998973019E-2</v>
      </c>
      <c r="BQ17" s="174"/>
      <c r="BR17" s="174"/>
      <c r="BS17" s="174"/>
      <c r="BT17" s="174">
        <f t="shared" si="0"/>
        <v>1.1711084383110715</v>
      </c>
      <c r="BU17" s="174"/>
      <c r="BV17" s="179">
        <f t="shared" si="4"/>
        <v>-3.0401436998973019E-2</v>
      </c>
      <c r="BW17" s="176"/>
      <c r="BX17" s="179">
        <f t="shared" si="1"/>
        <v>0.72492163009404387</v>
      </c>
      <c r="BY17" s="179">
        <f t="shared" si="2"/>
        <v>0.72492163009404387</v>
      </c>
      <c r="BZ17" s="179"/>
      <c r="CA17" s="179"/>
      <c r="CB17" s="179"/>
      <c r="CC17" s="174">
        <f>USD!DP18</f>
        <v>1.6154966132810025</v>
      </c>
      <c r="CD17" s="174"/>
      <c r="CE17" s="174"/>
      <c r="CF17" s="174"/>
      <c r="CG17" s="174">
        <f t="shared" si="5"/>
        <v>-3.1340315956045139E-2</v>
      </c>
      <c r="CH17" s="183">
        <f>USD!DQ18</f>
        <v>2.1245483149509673E-4</v>
      </c>
      <c r="CI17" s="179">
        <f>BO17/USD!CP18</f>
        <v>1.539053738182667E-4</v>
      </c>
    </row>
    <row r="18" spans="1:87">
      <c r="A18" s="321" t="str">
        <f>USD!AE19</f>
        <v>4Q2001</v>
      </c>
      <c r="B18" s="174">
        <f>USD!AF19</f>
        <v>4.5763883469167039</v>
      </c>
      <c r="C18" s="179">
        <f t="shared" si="23"/>
        <v>1.0386994104668537</v>
      </c>
      <c r="D18" s="440">
        <f>B18+B17+B16+B15</f>
        <v>15.626066541874813</v>
      </c>
      <c r="E18" s="179"/>
      <c r="F18" s="179">
        <f t="shared" si="16"/>
        <v>0.38263341878350027</v>
      </c>
      <c r="G18" s="178">
        <v>0</v>
      </c>
      <c r="H18" s="178">
        <v>0</v>
      </c>
      <c r="I18" s="174">
        <f>USD!AG19</f>
        <v>7.3838538124491322</v>
      </c>
      <c r="J18" s="180">
        <f t="shared" si="20"/>
        <v>6.8742319264482266E-2</v>
      </c>
      <c r="K18" s="174">
        <f>I18+I17+I16+I15</f>
        <v>23.522233191283306</v>
      </c>
      <c r="L18" s="174"/>
      <c r="M18" s="179">
        <f t="shared" si="17"/>
        <v>0.61736658121649968</v>
      </c>
      <c r="N18" s="174"/>
      <c r="O18" s="174">
        <f>USD!AH19</f>
        <v>11.960242159365837</v>
      </c>
      <c r="P18" s="174">
        <f>O18+O17+O16+O15</f>
        <v>39.148299733158126</v>
      </c>
      <c r="Q18" s="174">
        <f>K18/P18</f>
        <v>0.60084942006715725</v>
      </c>
      <c r="R18" s="174">
        <f>D18/P18</f>
        <v>0.39915057993284259</v>
      </c>
      <c r="S18" s="174"/>
      <c r="T18" s="174"/>
      <c r="U18" s="179">
        <f t="shared" si="24"/>
        <v>0.30660515395685706</v>
      </c>
      <c r="V18" s="176"/>
      <c r="W18" s="174">
        <f>USD!AJ19</f>
        <v>1.1542706788712607</v>
      </c>
      <c r="X18" s="174">
        <f t="shared" si="25"/>
        <v>-4.0799824006566148</v>
      </c>
      <c r="Y18" s="179">
        <f t="shared" si="18"/>
        <v>9.6508972267536686E-2</v>
      </c>
      <c r="Z18" s="179">
        <f t="shared" si="21"/>
        <v>0.25222306136867495</v>
      </c>
      <c r="AA18" s="181"/>
      <c r="AB18" s="181"/>
      <c r="AD18" s="451" t="str">
        <f>USD!BC19</f>
        <v>2012 </v>
      </c>
      <c r="AE18" s="174">
        <f>USD!BU19</f>
        <v>1886.6307622331065</v>
      </c>
      <c r="AF18" s="179">
        <f t="shared" si="12"/>
        <v>0.22850601452133734</v>
      </c>
      <c r="AG18" s="182">
        <f t="shared" si="6"/>
        <v>0.69398642095053342</v>
      </c>
      <c r="AH18" s="179">
        <f>AE18/USD!BO19</f>
        <v>4.5440688945623591E-3</v>
      </c>
      <c r="AI18" s="174">
        <f>USD!BV19</f>
        <v>204.35203923559155</v>
      </c>
      <c r="AJ18" s="179">
        <f>(AI18/AI17)-1</f>
        <v>-0.35747798641536521</v>
      </c>
      <c r="AK18" s="179">
        <f t="shared" si="26"/>
        <v>7.5169738118331719E-2</v>
      </c>
      <c r="AL18" s="183">
        <f>AI18/USD!AV19</f>
        <v>6.4890967507396117E-4</v>
      </c>
      <c r="AM18" s="174">
        <f>USD!BW19</f>
        <v>627.5585204912361</v>
      </c>
      <c r="AN18" s="174">
        <f t="shared" si="13"/>
        <v>8.8795658591109161E-2</v>
      </c>
      <c r="AO18" s="174">
        <f t="shared" si="14"/>
        <v>0.23084384093113486</v>
      </c>
      <c r="AP18" s="438">
        <f>AM18/USD!BO19</f>
        <v>1.5115141815595272E-3</v>
      </c>
      <c r="AQ18" s="174">
        <f t="shared" si="7"/>
        <v>831.91055972682761</v>
      </c>
      <c r="AR18" s="180">
        <f t="shared" si="10"/>
        <v>-6.9893808791454348E-2</v>
      </c>
      <c r="AS18" s="179">
        <f t="shared" si="8"/>
        <v>0.30601357904946658</v>
      </c>
      <c r="AT18" s="174">
        <f>USD!BX19</f>
        <v>2718.5413219599341</v>
      </c>
      <c r="AU18" s="179">
        <f t="shared" si="11"/>
        <v>0.1186783017742683</v>
      </c>
      <c r="AV18" s="179">
        <f>AT18/USD!BO19</f>
        <v>6.5477778201171099E-3</v>
      </c>
      <c r="AW18" s="174">
        <f>USD!BY19</f>
        <v>888.60177061154002</v>
      </c>
      <c r="AX18" s="179">
        <f t="shared" si="19"/>
        <v>0.32686711930164886</v>
      </c>
      <c r="AY18" s="179">
        <f t="shared" si="22"/>
        <v>0.47099930118798045</v>
      </c>
      <c r="BA18" s="321" t="str">
        <f>USD!CA19</f>
        <v>4Q2001/02</v>
      </c>
      <c r="BB18" s="174">
        <f>USD!DM19</f>
        <v>0.46108065779169921</v>
      </c>
      <c r="BC18" s="179">
        <f t="shared" si="15"/>
        <v>3.756284204209015E-2</v>
      </c>
      <c r="BD18" s="440">
        <f>BB18+BB17+BB16+BB15</f>
        <v>1.578793101977177</v>
      </c>
      <c r="BE18" s="179"/>
      <c r="BF18" s="438">
        <f>BB18/USD!CP19</f>
        <v>5.3297137625085347E-5</v>
      </c>
      <c r="BG18" s="438">
        <f>(BB18+BB17+BB16+BB15)/USD!CP19</f>
        <v>1.8249551746676602E-4</v>
      </c>
      <c r="BH18" s="179">
        <f t="shared" si="9"/>
        <v>0.25353083017568029</v>
      </c>
      <c r="BI18" s="179">
        <f>BD18/CD18</f>
        <v>0.24317771508291589</v>
      </c>
      <c r="BJ18" s="176"/>
      <c r="BK18" s="176"/>
      <c r="BL18" s="176"/>
      <c r="BM18" s="176"/>
      <c r="BN18" s="176"/>
      <c r="BO18" s="174">
        <f>USD!DO19</f>
        <v>1.3575567736883318</v>
      </c>
      <c r="BP18" s="179">
        <f t="shared" si="3"/>
        <v>0.15920672183538276</v>
      </c>
      <c r="BQ18" s="174">
        <f>BO18+BO17+BO16+BO15</f>
        <v>4.9135497569844624</v>
      </c>
      <c r="BR18" s="174">
        <f>(BQ18/BQ14)-1</f>
        <v>0.67170699271811851</v>
      </c>
      <c r="BS18" s="174">
        <f>BQ18/USD!CP19</f>
        <v>5.679660016100986E-4</v>
      </c>
      <c r="BT18" s="174">
        <f t="shared" si="0"/>
        <v>1.3575567736883318</v>
      </c>
      <c r="BU18" s="174">
        <f>BT18+BT17+BT16+BT15</f>
        <v>4.9135497569844624</v>
      </c>
      <c r="BV18" s="179">
        <f t="shared" si="4"/>
        <v>0.15920672183538276</v>
      </c>
      <c r="BW18" s="176"/>
      <c r="BX18" s="179">
        <f t="shared" si="1"/>
        <v>0.74646916982431966</v>
      </c>
      <c r="BY18" s="179">
        <f t="shared" si="2"/>
        <v>0.74646916982431966</v>
      </c>
      <c r="BZ18" s="179"/>
      <c r="CA18" s="179">
        <f>BQ18/CD18</f>
        <v>0.75682228491708414</v>
      </c>
      <c r="CB18" s="179"/>
      <c r="CC18" s="174">
        <f>USD!DP19</f>
        <v>1.8186374314800311</v>
      </c>
      <c r="CD18" s="174">
        <f>CC18+CC17+CC16+CC15</f>
        <v>6.4923428589616394</v>
      </c>
      <c r="CE18" s="174">
        <f>CD18/USD!CP19</f>
        <v>7.5046151907686462E-4</v>
      </c>
      <c r="CF18" s="174">
        <f>(CD18/CD14)-1</f>
        <v>0.73631717394444984</v>
      </c>
      <c r="CG18" s="174">
        <f t="shared" si="5"/>
        <v>0.12574512167280782</v>
      </c>
      <c r="CH18" s="183">
        <f>USD!DQ19</f>
        <v>2.1044437689797741E-4</v>
      </c>
      <c r="CI18" s="179">
        <f>BO18/USD!CP19</f>
        <v>1.5692241471951081E-4</v>
      </c>
    </row>
    <row r="19" spans="1:87">
      <c r="A19" s="321" t="str">
        <f>USD!AE20</f>
        <v>1Q2002</v>
      </c>
      <c r="B19" s="174">
        <f>USD!AF20</f>
        <v>6.5427947054360986</v>
      </c>
      <c r="C19" s="179">
        <f t="shared" si="23"/>
        <v>0.42968520358291729</v>
      </c>
      <c r="D19" s="178"/>
      <c r="E19" s="179"/>
      <c r="F19" s="179">
        <f t="shared" si="16"/>
        <v>0.44890539301751059</v>
      </c>
      <c r="G19" s="178">
        <v>0</v>
      </c>
      <c r="H19" s="178">
        <v>0</v>
      </c>
      <c r="I19" s="174">
        <f>USD!AG20</f>
        <v>8.0322021807805974</v>
      </c>
      <c r="J19" s="180">
        <f t="shared" si="20"/>
        <v>8.7806230296481935E-2</v>
      </c>
      <c r="K19" s="174"/>
      <c r="L19" s="179"/>
      <c r="M19" s="179">
        <f t="shared" si="17"/>
        <v>0.55109460698248947</v>
      </c>
      <c r="N19" s="174"/>
      <c r="O19" s="174">
        <f>USD!AH20</f>
        <v>14.574996886216695</v>
      </c>
      <c r="P19" s="174"/>
      <c r="Q19" s="174"/>
      <c r="R19" s="174"/>
      <c r="S19" s="174"/>
      <c r="T19" s="174"/>
      <c r="U19" s="179">
        <f t="shared" si="24"/>
        <v>0.21862055065526365</v>
      </c>
      <c r="V19" s="176"/>
      <c r="W19" s="174">
        <f>USD!AJ20</f>
        <v>1.9653067925767402</v>
      </c>
      <c r="X19" s="174">
        <f t="shared" si="25"/>
        <v>0.70263944891901464</v>
      </c>
      <c r="Y19" s="179">
        <f t="shared" si="18"/>
        <v>0.13484097512468729</v>
      </c>
      <c r="Z19" s="179">
        <f t="shared" si="21"/>
        <v>0.300377267063547</v>
      </c>
      <c r="AA19" s="181"/>
      <c r="AB19" s="181"/>
      <c r="AD19" s="451" t="str">
        <f>USD!BC20</f>
        <v>2013 </v>
      </c>
      <c r="AE19" s="174">
        <f>USD!BU20</f>
        <v>2314.9551615232413</v>
      </c>
      <c r="AF19" s="179">
        <f t="shared" si="12"/>
        <v>0.22703138730927375</v>
      </c>
      <c r="AG19" s="182">
        <f t="shared" si="6"/>
        <v>0.70558588828223434</v>
      </c>
      <c r="AH19" s="179">
        <f>AE19/USD!BO20</f>
        <v>5.1655433659664497E-3</v>
      </c>
      <c r="AI19" s="174">
        <f>USD!BV20</f>
        <v>272.83400117952482</v>
      </c>
      <c r="AJ19" s="179">
        <f>(AI19/AI18)-1</f>
        <v>0.33511758532041069</v>
      </c>
      <c r="AK19" s="179">
        <f t="shared" si="26"/>
        <v>8.3158336833263319E-2</v>
      </c>
      <c r="AL19" s="183">
        <f>AI19/USD!AV20</f>
        <v>8.3889039571605748E-4</v>
      </c>
      <c r="AM19" s="174">
        <f>USD!BW20</f>
        <v>693.10859895606552</v>
      </c>
      <c r="AN19" s="174">
        <f t="shared" si="13"/>
        <v>0.10445253522096798</v>
      </c>
      <c r="AO19" s="174">
        <f t="shared" si="14"/>
        <v>0.21125577488450226</v>
      </c>
      <c r="AP19" s="438">
        <f>AM19/USD!BO20</f>
        <v>1.546588281595907E-3</v>
      </c>
      <c r="AQ19" s="174">
        <f t="shared" si="7"/>
        <v>965.94260013559028</v>
      </c>
      <c r="AR19" s="180">
        <f t="shared" si="10"/>
        <v>0.16111352217091035</v>
      </c>
      <c r="AS19" s="179">
        <f t="shared" si="8"/>
        <v>0.29441411171776555</v>
      </c>
      <c r="AT19" s="174">
        <f>USD!BX20</f>
        <v>3280.8977616588318</v>
      </c>
      <c r="AU19" s="179">
        <f t="shared" si="11"/>
        <v>0.20685962547498327</v>
      </c>
      <c r="AV19" s="179">
        <f>AT19/USD!BO20</f>
        <v>7.3209278299798319E-3</v>
      </c>
      <c r="AW19" s="174">
        <f>USD!BY20</f>
        <v>1266.3355913332489</v>
      </c>
      <c r="AX19" s="179">
        <f t="shared" si="19"/>
        <v>0.38597228055438881</v>
      </c>
      <c r="AY19" s="179">
        <f t="shared" si="22"/>
        <v>0.54702380952380936</v>
      </c>
      <c r="BA19" s="321" t="str">
        <f>USD!CA20</f>
        <v>1Q2002/02</v>
      </c>
      <c r="BB19" s="174">
        <f>USD!DM20</f>
        <v>0.51084367556725574</v>
      </c>
      <c r="BC19" s="179">
        <f t="shared" si="15"/>
        <v>0.10792692544053284</v>
      </c>
      <c r="BD19" s="178"/>
      <c r="BE19" s="179"/>
      <c r="BF19" s="438">
        <f>BB19/USD!CP20</f>
        <v>5.7020608157319229E-5</v>
      </c>
      <c r="BG19" s="438"/>
      <c r="BH19" s="179">
        <f t="shared" si="9"/>
        <v>0.23816481589713609</v>
      </c>
      <c r="BI19" s="179"/>
      <c r="BJ19" s="176"/>
      <c r="BK19" s="176"/>
      <c r="BL19" s="176"/>
      <c r="BM19" s="176"/>
      <c r="BN19" s="176"/>
      <c r="BO19" s="174">
        <f>USD!DO20</f>
        <v>1.6340729597593084</v>
      </c>
      <c r="BP19" s="179">
        <f t="shared" si="3"/>
        <v>0.2036866460617428</v>
      </c>
      <c r="BQ19" s="174"/>
      <c r="BR19" s="174"/>
      <c r="BS19" s="174"/>
      <c r="BT19" s="174">
        <f t="shared" si="0"/>
        <v>1.6340729597593084</v>
      </c>
      <c r="BU19" s="174"/>
      <c r="BV19" s="179">
        <f t="shared" si="4"/>
        <v>0.2036866460617428</v>
      </c>
      <c r="BW19" s="176"/>
      <c r="BX19" s="179">
        <f t="shared" si="1"/>
        <v>0.76183518410286399</v>
      </c>
      <c r="BY19" s="179">
        <f t="shared" si="2"/>
        <v>0.76183518410286399</v>
      </c>
      <c r="BZ19" s="179"/>
      <c r="CA19" s="179"/>
      <c r="CB19" s="179"/>
      <c r="CC19" s="174">
        <f>USD!DP20</f>
        <v>2.1449166353265641</v>
      </c>
      <c r="CD19" s="174"/>
      <c r="CE19" s="174"/>
      <c r="CF19" s="174"/>
      <c r="CG19" s="174">
        <f t="shared" si="5"/>
        <v>0.17940860459525609</v>
      </c>
      <c r="CH19" s="183">
        <f>USD!DQ20</f>
        <v>2.3955254776245182E-4</v>
      </c>
      <c r="CI19" s="179">
        <f>BO19/USD!CP20</f>
        <v>1.8239598216703227E-4</v>
      </c>
    </row>
    <row r="20" spans="1:87">
      <c r="A20" s="321" t="str">
        <f>USD!AE21</f>
        <v>2Q2002</v>
      </c>
      <c r="B20" s="174">
        <f>USD!AF21</f>
        <v>6.8488733126340886</v>
      </c>
      <c r="C20" s="179">
        <f t="shared" si="23"/>
        <v>4.6781019576188632E-2</v>
      </c>
      <c r="D20" s="178"/>
      <c r="E20" s="179"/>
      <c r="F20" s="179">
        <f t="shared" si="16"/>
        <v>0.38872165665794373</v>
      </c>
      <c r="G20" s="178">
        <v>0</v>
      </c>
      <c r="H20" s="178">
        <v>0</v>
      </c>
      <c r="I20" s="174">
        <f>USD!AG21</f>
        <v>10.770091814026625</v>
      </c>
      <c r="J20" s="180">
        <f t="shared" si="20"/>
        <v>0.34086413310128472</v>
      </c>
      <c r="K20" s="174"/>
      <c r="L20" s="179"/>
      <c r="M20" s="179">
        <f t="shared" si="17"/>
        <v>0.61127834334205644</v>
      </c>
      <c r="N20" s="174"/>
      <c r="O20" s="174">
        <f>USD!AH21</f>
        <v>17.618965126660711</v>
      </c>
      <c r="P20" s="174"/>
      <c r="Q20" s="174"/>
      <c r="R20" s="174"/>
      <c r="S20" s="174"/>
      <c r="T20" s="174"/>
      <c r="U20" s="179">
        <f t="shared" si="24"/>
        <v>0.20884863744448823</v>
      </c>
      <c r="V20" s="176"/>
      <c r="W20" s="174">
        <f>USD!AJ21</f>
        <v>2.0488253401383205</v>
      </c>
      <c r="X20" s="174">
        <f t="shared" si="25"/>
        <v>4.2496442732016471E-2</v>
      </c>
      <c r="Y20" s="179">
        <f t="shared" si="18"/>
        <v>0.11628522591477712</v>
      </c>
      <c r="Z20" s="179">
        <f t="shared" si="21"/>
        <v>0.29914779360261501</v>
      </c>
      <c r="AA20" s="181"/>
      <c r="AB20" s="181"/>
      <c r="AD20" s="451" t="str">
        <f>USD!BC21</f>
        <v>2014 </v>
      </c>
      <c r="AE20" s="174">
        <f>USD!BU21</f>
        <v>2230.1225054815277</v>
      </c>
      <c r="AF20" s="179">
        <f t="shared" si="12"/>
        <v>-3.6645485602362027E-2</v>
      </c>
      <c r="AG20" s="182">
        <f t="shared" si="6"/>
        <v>0.7267350157728707</v>
      </c>
      <c r="AH20" s="179">
        <f>AE20/USD!BO21</f>
        <v>4.7023463253829745E-3</v>
      </c>
      <c r="AI20" s="174">
        <f>USD!BV21</f>
        <v>206.91858298282216</v>
      </c>
      <c r="AJ20" s="179">
        <f>(AI20/AI19)-1</f>
        <v>-0.24159532137393058</v>
      </c>
      <c r="AK20" s="179">
        <f t="shared" si="26"/>
        <v>6.7429022082018925E-2</v>
      </c>
      <c r="AL20" s="183">
        <f>AI20/USD!AV21</f>
        <v>5.2794511033246109E-4</v>
      </c>
      <c r="AM20" s="174">
        <f>USD!BW21</f>
        <v>631.64620068440445</v>
      </c>
      <c r="AN20" s="174">
        <f t="shared" si="13"/>
        <v>-8.8676433049934E-2</v>
      </c>
      <c r="AO20" s="174">
        <f t="shared" si="14"/>
        <v>0.20583596214511041</v>
      </c>
      <c r="AP20" s="438">
        <f>AM20/USD!BO21</f>
        <v>1.331863690640213E-3</v>
      </c>
      <c r="AQ20" s="174">
        <f t="shared" si="7"/>
        <v>838.56478366722661</v>
      </c>
      <c r="AR20" s="180">
        <f t="shared" si="10"/>
        <v>-0.13186892932404426</v>
      </c>
      <c r="AS20" s="179">
        <f t="shared" si="8"/>
        <v>0.27326498422712936</v>
      </c>
      <c r="AT20" s="174">
        <f>USD!BX21</f>
        <v>3068.6872891487542</v>
      </c>
      <c r="AU20" s="179">
        <f t="shared" si="11"/>
        <v>-6.4680611200387816E-2</v>
      </c>
      <c r="AV20" s="179">
        <f>AT20/USD!BO21</f>
        <v>6.470510190543257E-3</v>
      </c>
      <c r="AW20" s="174">
        <f>USD!BY21</f>
        <v>1270.5527025261008</v>
      </c>
      <c r="AX20" s="179">
        <f t="shared" si="19"/>
        <v>0.41403785488958988</v>
      </c>
      <c r="AY20" s="179">
        <f t="shared" si="22"/>
        <v>0.56972327726532823</v>
      </c>
      <c r="BA20" s="321" t="str">
        <f>USD!CA21</f>
        <v>2Q2002/03</v>
      </c>
      <c r="BB20" s="174">
        <f>USD!DM21</f>
        <v>0.5647971595765664</v>
      </c>
      <c r="BC20" s="179">
        <f t="shared" si="15"/>
        <v>0.10561642747049604</v>
      </c>
      <c r="BD20" s="178"/>
      <c r="BE20" s="179"/>
      <c r="BF20" s="438">
        <f>BB20/USD!CP21</f>
        <v>4.9867415951198895E-5</v>
      </c>
      <c r="BG20" s="438"/>
      <c r="BH20" s="179">
        <f t="shared" si="9"/>
        <v>0.23405994550408721</v>
      </c>
      <c r="BI20" s="179"/>
      <c r="BJ20" s="176"/>
      <c r="BK20" s="176"/>
      <c r="BL20" s="176"/>
      <c r="BM20" s="176"/>
      <c r="BN20" s="176"/>
      <c r="BO20" s="174">
        <f>USD!DO21</f>
        <v>1.8482477480439212</v>
      </c>
      <c r="BP20" s="179">
        <f t="shared" si="3"/>
        <v>0.13106806951640637</v>
      </c>
      <c r="BQ20" s="174"/>
      <c r="BR20" s="174"/>
      <c r="BS20" s="174"/>
      <c r="BT20" s="174">
        <f t="shared" si="0"/>
        <v>1.8482477480439212</v>
      </c>
      <c r="BU20" s="174"/>
      <c r="BV20" s="179">
        <f t="shared" si="4"/>
        <v>0.13106806951640637</v>
      </c>
      <c r="BW20" s="176"/>
      <c r="BX20" s="179">
        <f t="shared" si="1"/>
        <v>0.76594005449591285</v>
      </c>
      <c r="BY20" s="179">
        <f t="shared" si="2"/>
        <v>0.76594005449591285</v>
      </c>
      <c r="BZ20" s="179"/>
      <c r="CA20" s="179"/>
      <c r="CB20" s="179"/>
      <c r="CC20" s="174">
        <f>USD!DP21</f>
        <v>2.4130449076204874</v>
      </c>
      <c r="CD20" s="174"/>
      <c r="CE20" s="174"/>
      <c r="CF20" s="174"/>
      <c r="CG20" s="174">
        <f t="shared" si="5"/>
        <v>0.12500638387426211</v>
      </c>
      <c r="CH20" s="183">
        <f>USD!DQ21</f>
        <v>2.146778083864266E-4</v>
      </c>
      <c r="CI20" s="179">
        <f>BO20/USD!CP21</f>
        <v>1.6318661960281736E-4</v>
      </c>
    </row>
    <row r="21" spans="1:87">
      <c r="A21" s="321" t="str">
        <f>USD!AE22</f>
        <v>3Q2002</v>
      </c>
      <c r="B21" s="174">
        <f>USD!AF22</f>
        <v>6.8809035461758477</v>
      </c>
      <c r="C21" s="179">
        <f t="shared" si="23"/>
        <v>4.6767157282165961E-3</v>
      </c>
      <c r="D21" s="178"/>
      <c r="E21" s="179"/>
      <c r="F21" s="179">
        <f t="shared" si="16"/>
        <v>0.36052998112260393</v>
      </c>
      <c r="G21" s="178">
        <v>0</v>
      </c>
      <c r="H21" s="178">
        <v>0</v>
      </c>
      <c r="I21" s="174">
        <f>USD!AG22</f>
        <v>12.204620283909973</v>
      </c>
      <c r="J21" s="180">
        <f t="shared" si="20"/>
        <v>0.13319556552109102</v>
      </c>
      <c r="K21" s="174"/>
      <c r="L21" s="179"/>
      <c r="M21" s="179">
        <f t="shared" si="17"/>
        <v>0.63947001887739618</v>
      </c>
      <c r="N21" s="174"/>
      <c r="O21" s="174">
        <f>USD!AH22</f>
        <v>19.085523830085819</v>
      </c>
      <c r="P21" s="174"/>
      <c r="Q21" s="174"/>
      <c r="R21" s="174"/>
      <c r="S21" s="174"/>
      <c r="T21" s="174"/>
      <c r="U21" s="179">
        <f t="shared" si="24"/>
        <v>8.3237505317831362E-2</v>
      </c>
      <c r="V21" s="176"/>
      <c r="W21" s="174">
        <f>USD!AJ22</f>
        <v>2.195039671830302</v>
      </c>
      <c r="X21" s="174">
        <f t="shared" si="25"/>
        <v>7.1364956703488636E-2</v>
      </c>
      <c r="Y21" s="179">
        <f t="shared" si="18"/>
        <v>0.1150107113313867</v>
      </c>
      <c r="Z21" s="179">
        <f t="shared" si="21"/>
        <v>0.3190045692546038</v>
      </c>
      <c r="AA21" s="181"/>
      <c r="AB21" s="181"/>
      <c r="AD21" s="451">
        <f>USD!BC22</f>
        <v>2015</v>
      </c>
      <c r="AE21" s="174">
        <f>USD!BU22</f>
        <v>1738.0800298949766</v>
      </c>
      <c r="AF21" s="179">
        <f t="shared" si="12"/>
        <v>-0.22063472942725604</v>
      </c>
      <c r="AG21" s="182">
        <f t="shared" si="6"/>
        <v>0.67198656026879455</v>
      </c>
      <c r="AH21" s="179">
        <f>AE21/USD!BO22</f>
        <v>4.033549044174925E-3</v>
      </c>
      <c r="AI21" s="174">
        <f>USD!BV22</f>
        <v>236.81340407319055</v>
      </c>
      <c r="AJ21" s="179">
        <f>(AI21/AI20)-1</f>
        <v>0.14447625080078086</v>
      </c>
      <c r="AK21" s="179">
        <f t="shared" si="26"/>
        <v>9.1558168836623252E-2</v>
      </c>
      <c r="AL21" s="183">
        <f>AI21/USD!AV22</f>
        <v>5.969990497795175E-4</v>
      </c>
      <c r="AM21" s="174">
        <f>USD!BW22</f>
        <v>611.58691051929486</v>
      </c>
      <c r="AN21" s="174">
        <f t="shared" si="13"/>
        <v>-3.1757161118637023E-2</v>
      </c>
      <c r="AO21" s="174">
        <f t="shared" si="14"/>
        <v>0.23645527089458207</v>
      </c>
      <c r="AP21" s="438">
        <f>AM21/USD!BO22</f>
        <v>1.4193050699190517E-3</v>
      </c>
      <c r="AQ21" s="174">
        <f t="shared" si="7"/>
        <v>848.40031459248542</v>
      </c>
      <c r="AR21" s="179">
        <f t="shared" si="10"/>
        <v>1.1729005458881669E-2</v>
      </c>
      <c r="AS21" s="179">
        <f t="shared" si="8"/>
        <v>0.32801343973120534</v>
      </c>
      <c r="AT21" s="174">
        <f>USD!BX22</f>
        <v>2586.4803444874624</v>
      </c>
      <c r="AU21" s="179">
        <f t="shared" si="11"/>
        <v>-0.15713785707863859</v>
      </c>
      <c r="AV21" s="179">
        <f>AT21/USD!BO22</f>
        <v>6.0024251713628107E-3</v>
      </c>
      <c r="AW21" s="174">
        <f>USD!BY22</f>
        <v>802.77571380774236</v>
      </c>
      <c r="AX21" s="179">
        <f t="shared" si="19"/>
        <v>0.31037379252414948</v>
      </c>
      <c r="AY21" s="179">
        <f t="shared" si="22"/>
        <v>0.46187500000000004</v>
      </c>
      <c r="BA21" s="321" t="str">
        <f>USD!CA22</f>
        <v>3Q2002/03</v>
      </c>
      <c r="BB21" s="174">
        <f>USD!DM22</f>
        <v>0.56045895851721095</v>
      </c>
      <c r="BC21" s="179">
        <f t="shared" si="15"/>
        <v>-7.6809895124256844E-3</v>
      </c>
      <c r="BD21" s="178"/>
      <c r="BE21" s="179"/>
      <c r="BF21" s="438">
        <f>BB21/USD!CP22</f>
        <v>5.2030412214891339E-5</v>
      </c>
      <c r="BG21" s="438"/>
      <c r="BH21" s="179">
        <f t="shared" si="9"/>
        <v>0.28240152477763658</v>
      </c>
      <c r="BI21" s="179"/>
      <c r="BJ21" s="176"/>
      <c r="BK21" s="176"/>
      <c r="BL21" s="176"/>
      <c r="BM21" s="176"/>
      <c r="BN21" s="176"/>
      <c r="BO21" s="174">
        <f>USD!DO22</f>
        <v>1.4241583659059389</v>
      </c>
      <c r="BP21" s="179">
        <f t="shared" si="3"/>
        <v>-0.22945483503865438</v>
      </c>
      <c r="BQ21" s="174"/>
      <c r="BR21" s="174"/>
      <c r="BS21" s="174"/>
      <c r="BT21" s="174">
        <f t="shared" si="0"/>
        <v>1.4241583659059389</v>
      </c>
      <c r="BU21" s="174"/>
      <c r="BV21" s="179">
        <f t="shared" si="4"/>
        <v>-0.22945483503865438</v>
      </c>
      <c r="BW21" s="176"/>
      <c r="BX21" s="179">
        <f t="shared" si="1"/>
        <v>0.71759847522236342</v>
      </c>
      <c r="BY21" s="179">
        <f t="shared" si="2"/>
        <v>0.71759847522236342</v>
      </c>
      <c r="BZ21" s="179"/>
      <c r="CA21" s="179"/>
      <c r="CB21" s="179"/>
      <c r="CC21" s="174">
        <f>USD!DP22</f>
        <v>1.9846173244231498</v>
      </c>
      <c r="CD21" s="174"/>
      <c r="CE21" s="174"/>
      <c r="CF21" s="174"/>
      <c r="CG21" s="174">
        <f t="shared" si="5"/>
        <v>-0.17754646084055337</v>
      </c>
      <c r="CH21" s="183">
        <f>USD!DQ22</f>
        <v>1.8611237498309148E-4</v>
      </c>
      <c r="CI21" s="179">
        <f>BO21/USD!CP22</f>
        <v>1.3221226230983077E-4</v>
      </c>
    </row>
    <row r="22" spans="1:87">
      <c r="A22" s="321" t="str">
        <f>USD!AE23</f>
        <v>4Q2002</v>
      </c>
      <c r="B22" s="174">
        <f>USD!AF23</f>
        <v>6.9236043448450157</v>
      </c>
      <c r="C22" s="179">
        <f t="shared" si="23"/>
        <v>6.2056964441681295E-3</v>
      </c>
      <c r="D22" s="440">
        <f>B22+B21+B20+B19</f>
        <v>27.19617590909105</v>
      </c>
      <c r="E22" s="179">
        <f>(D22/D18)-1</f>
        <v>0.74043645828658144</v>
      </c>
      <c r="F22" s="179">
        <f t="shared" si="16"/>
        <v>0.30462478406666027</v>
      </c>
      <c r="G22" s="178">
        <v>0</v>
      </c>
      <c r="H22" s="178">
        <v>0</v>
      </c>
      <c r="I22" s="174">
        <f>USD!AG23</f>
        <v>15.804698495182411</v>
      </c>
      <c r="J22" s="180">
        <f t="shared" si="20"/>
        <v>0.29497666682990697</v>
      </c>
      <c r="K22" s="174">
        <f>I22+I21+I20+I19</f>
        <v>46.811612773899611</v>
      </c>
      <c r="L22" s="179">
        <f>(K22/K18)-1</f>
        <v>0.99010070146089313</v>
      </c>
      <c r="M22" s="179">
        <f t="shared" si="17"/>
        <v>0.69537521593333984</v>
      </c>
      <c r="N22" s="174"/>
      <c r="O22" s="174">
        <f>USD!AH23</f>
        <v>22.728302840027425</v>
      </c>
      <c r="P22" s="174">
        <f>O22+O21+O20+O19</f>
        <v>74.00778868299065</v>
      </c>
      <c r="Q22" s="174">
        <f>K22/P22</f>
        <v>0.63252278722196731</v>
      </c>
      <c r="R22" s="174">
        <f>D22/P22</f>
        <v>0.36747721277803291</v>
      </c>
      <c r="S22" s="174"/>
      <c r="T22" s="174">
        <f>(P22/P18)-1</f>
        <v>0.89044707400937173</v>
      </c>
      <c r="U22" s="179">
        <f t="shared" si="24"/>
        <v>0.19086607432798064</v>
      </c>
      <c r="V22" s="176"/>
      <c r="W22" s="174">
        <f>USD!AJ23</f>
        <v>2.5474360362310997</v>
      </c>
      <c r="X22" s="174">
        <f t="shared" si="25"/>
        <v>0.16054213913453186</v>
      </c>
      <c r="Y22" s="179">
        <f t="shared" si="18"/>
        <v>0.11208210547708568</v>
      </c>
      <c r="Z22" s="179">
        <f t="shared" si="21"/>
        <v>0.36793495256958159</v>
      </c>
      <c r="AA22" s="181"/>
      <c r="AB22" s="181"/>
      <c r="AD22" s="451">
        <f>USD!BC23</f>
        <v>2016</v>
      </c>
      <c r="AE22" s="174">
        <f>USD!BU23</f>
        <v>1766.7061846318713</v>
      </c>
      <c r="AF22" s="179">
        <f>(AE22/AE21)-1</f>
        <v>1.646998656248555E-2</v>
      </c>
      <c r="AG22" s="182">
        <f>AE22/AT22</f>
        <v>0.68760262725779975</v>
      </c>
      <c r="AH22" s="179">
        <f>AE22/USD!BO23</f>
        <v>3.966280694276716E-3</v>
      </c>
      <c r="AI22" s="174">
        <f>USD!BV23</f>
        <v>215.16899203874732</v>
      </c>
      <c r="AJ22" s="179">
        <f>(AI22/AI21)-1</f>
        <v>-9.1398593416417095E-2</v>
      </c>
      <c r="AK22" s="179">
        <f t="shared" si="26"/>
        <v>8.3743842364532028E-2</v>
      </c>
      <c r="AL22" s="183">
        <f>AI22/USD!AV23</f>
        <v>5.0950484724194862E-4</v>
      </c>
      <c r="AM22" s="174">
        <f>USD!BW23</f>
        <v>587.49572826265808</v>
      </c>
      <c r="AN22" s="174">
        <f t="shared" si="13"/>
        <v>-3.9391265316945923E-2</v>
      </c>
      <c r="AO22" s="174">
        <f t="shared" si="14"/>
        <v>0.22865353037766831</v>
      </c>
      <c r="AP22" s="438">
        <f>AM22/USD!BO23</f>
        <v>1.318936326395302E-3</v>
      </c>
      <c r="AQ22" s="174">
        <f t="shared" si="7"/>
        <v>802.6647203014054</v>
      </c>
      <c r="AR22" s="179">
        <f t="shared" si="10"/>
        <v>-5.390803551628609E-2</v>
      </c>
      <c r="AS22" s="179">
        <f t="shared" si="8"/>
        <v>0.31239737274220036</v>
      </c>
      <c r="AT22" s="174">
        <f>USD!BX23</f>
        <v>2569.3709049332765</v>
      </c>
      <c r="AU22" s="179">
        <f t="shared" si="11"/>
        <v>-6.6149505410513232E-3</v>
      </c>
      <c r="AV22" s="179">
        <f>AT22/USD!BO23</f>
        <v>5.7682744903033312E-3</v>
      </c>
      <c r="AW22" s="174">
        <f>USD!BY23</f>
        <v>914.46821616467605</v>
      </c>
      <c r="AX22" s="179">
        <f t="shared" si="19"/>
        <v>0.35591133004926112</v>
      </c>
      <c r="AY22" s="179">
        <f t="shared" si="22"/>
        <v>0.51761194029850743</v>
      </c>
      <c r="BA22" s="321" t="str">
        <f>USD!CA23</f>
        <v>4Q2002/03</v>
      </c>
      <c r="BB22" s="174">
        <f>USD!DM23</f>
        <v>3.7979491074819592E-2</v>
      </c>
      <c r="BC22" s="179">
        <f>(BB22/BB21)-1</f>
        <v>-0.93223501828697541</v>
      </c>
      <c r="BD22" s="178">
        <f>BB22+BB21+BB20+BB19</f>
        <v>1.6740792847358525</v>
      </c>
      <c r="BE22" s="179">
        <f>(BD22/BD18)-1</f>
        <v>6.0353812440240073E-2</v>
      </c>
      <c r="BF22" s="438">
        <f>BB22/USD!CP23</f>
        <v>3.2518418161059609E-6</v>
      </c>
      <c r="BG22" s="438">
        <f>(BB22+BB21+BB20+BB19)/USD!CP23</f>
        <v>1.4333633409822254E-4</v>
      </c>
      <c r="BH22" s="179">
        <f t="shared" si="9"/>
        <v>1.8627755355479666E-2</v>
      </c>
      <c r="BI22" s="179">
        <f>BD22/CD22</f>
        <v>0.19508129145983491</v>
      </c>
      <c r="BJ22" s="176"/>
      <c r="BK22" s="176"/>
      <c r="BL22" s="176"/>
      <c r="BM22" s="176"/>
      <c r="BN22" s="176"/>
      <c r="BO22" s="174">
        <f>USD!DO23</f>
        <v>2.000886188125079</v>
      </c>
      <c r="BP22" s="179">
        <f>(BO22/BO21)-1</f>
        <v>0.40496045666401059</v>
      </c>
      <c r="BQ22" s="174">
        <f>BO22+BO21+BO20+BO19</f>
        <v>6.9073652618342471</v>
      </c>
      <c r="BR22" s="174">
        <f>(BQ22/BQ18)-1</f>
        <v>0.40577904029884637</v>
      </c>
      <c r="BS22" s="174">
        <f>BQ22/USD!CP23</f>
        <v>5.9141548667149962E-4</v>
      </c>
      <c r="BT22" s="174">
        <f t="shared" si="0"/>
        <v>2.000886188125079</v>
      </c>
      <c r="BU22" s="174">
        <f>BT22+BT21+BT20+BT19</f>
        <v>6.9073652618342471</v>
      </c>
      <c r="BV22" s="179">
        <f>(BT22/BT21)-1</f>
        <v>0.40496045666401059</v>
      </c>
      <c r="BW22" s="176"/>
      <c r="BX22" s="179">
        <f t="shared" si="1"/>
        <v>0.98137224464452044</v>
      </c>
      <c r="BY22" s="179">
        <f t="shared" si="2"/>
        <v>0.98137224464452044</v>
      </c>
      <c r="BZ22" s="179"/>
      <c r="CA22" s="179">
        <f>BQ22/CD22</f>
        <v>0.80491870854016501</v>
      </c>
      <c r="CB22" s="179"/>
      <c r="CC22" s="174">
        <f>USD!DP23</f>
        <v>2.0388656791998985</v>
      </c>
      <c r="CD22" s="174">
        <f>CC22+CC21+CC20+CC19</f>
        <v>8.5814445465701006</v>
      </c>
      <c r="CE22" s="174">
        <f>CD22/USD!CP23</f>
        <v>7.3475182076972222E-4</v>
      </c>
      <c r="CF22" s="174">
        <f>(CD22/CD18)-1</f>
        <v>0.32177932265619513</v>
      </c>
      <c r="CG22" s="174">
        <f>(CC22/CC21)-1</f>
        <v>2.7334415612096263E-2</v>
      </c>
      <c r="CH22" s="183">
        <f>USD!DQ23</f>
        <v>1.7475022545003475E-4</v>
      </c>
      <c r="CI22" s="179">
        <f>BO22/USD!CP23</f>
        <v>1.7131786634518237E-4</v>
      </c>
    </row>
    <row r="23" spans="1:87">
      <c r="A23" s="321" t="str">
        <f>USD!AE24</f>
        <v>1Q2003</v>
      </c>
      <c r="B23" s="174">
        <f>USD!AF24</f>
        <v>10.041341105461161</v>
      </c>
      <c r="C23" s="179">
        <f t="shared" si="23"/>
        <v>0.4503054486262581</v>
      </c>
      <c r="D23" s="178"/>
      <c r="E23" s="179"/>
      <c r="F23" s="179">
        <f t="shared" si="16"/>
        <v>0.42165962617904063</v>
      </c>
      <c r="G23" s="178">
        <v>0</v>
      </c>
      <c r="H23" s="178">
        <v>0</v>
      </c>
      <c r="I23" s="174">
        <f>USD!AG24</f>
        <v>13.772513677015722</v>
      </c>
      <c r="J23" s="180">
        <f t="shared" si="20"/>
        <v>-0.12858105574023693</v>
      </c>
      <c r="K23" s="174"/>
      <c r="L23" s="179"/>
      <c r="M23" s="179">
        <f t="shared" si="17"/>
        <v>0.57834037382095949</v>
      </c>
      <c r="N23" s="174"/>
      <c r="O23" s="174">
        <f>USD!AH24</f>
        <v>23.813854782476881</v>
      </c>
      <c r="P23" s="174"/>
      <c r="Q23" s="174"/>
      <c r="R23" s="174"/>
      <c r="S23" s="174"/>
      <c r="T23" s="174"/>
      <c r="U23" s="179">
        <f t="shared" si="24"/>
        <v>4.776212065151042E-2</v>
      </c>
      <c r="V23" s="176"/>
      <c r="W23" s="174">
        <f>USD!AJ24</f>
        <v>1.9740377857703912</v>
      </c>
      <c r="X23" s="174">
        <f t="shared" si="25"/>
        <v>-0.22508837996538833</v>
      </c>
      <c r="Y23" s="179">
        <f t="shared" si="18"/>
        <v>8.2894508419651639E-2</v>
      </c>
      <c r="Z23" s="179">
        <f t="shared" si="21"/>
        <v>0.19659104944625136</v>
      </c>
      <c r="AA23" s="181"/>
      <c r="AB23" s="181"/>
      <c r="AW23" s="176"/>
      <c r="AX23" s="176"/>
      <c r="AY23" s="176"/>
      <c r="BA23" s="321" t="str">
        <f>USD!CA24</f>
        <v>1Q2003/03</v>
      </c>
      <c r="BB23" s="174">
        <f>USD!DM24</f>
        <v>0.19443216968625701</v>
      </c>
      <c r="BC23" s="179">
        <f t="shared" si="15"/>
        <v>4.1193990278391475</v>
      </c>
      <c r="BD23" s="178"/>
      <c r="BE23" s="179"/>
      <c r="BF23" s="438">
        <f>BB23/USD!CP24</f>
        <v>1.5942483977246159E-5</v>
      </c>
      <c r="BG23" s="438"/>
      <c r="BH23" s="179">
        <f t="shared" si="9"/>
        <v>9.1902313624678572E-2</v>
      </c>
      <c r="BI23" s="179"/>
      <c r="BJ23" s="176"/>
      <c r="BK23" s="176"/>
      <c r="BL23" s="176"/>
      <c r="BM23" s="176"/>
      <c r="BN23" s="176"/>
      <c r="BO23" s="174">
        <f>USD!DO24</f>
        <v>1.9212073829837861</v>
      </c>
      <c r="BP23" s="179">
        <f t="shared" si="3"/>
        <v>-3.9821757786211442E-2</v>
      </c>
      <c r="BQ23" s="174"/>
      <c r="BR23" s="174"/>
      <c r="BS23" s="174"/>
      <c r="BT23" s="174">
        <f t="shared" si="0"/>
        <v>1.9212073829837861</v>
      </c>
      <c r="BU23" s="174"/>
      <c r="BV23" s="179">
        <f t="shared" si="4"/>
        <v>-3.9821757786211442E-2</v>
      </c>
      <c r="BW23" s="176"/>
      <c r="BX23" s="179">
        <f t="shared" si="1"/>
        <v>0.90809768637532129</v>
      </c>
      <c r="BY23" s="179">
        <f t="shared" si="2"/>
        <v>0.90809768637532129</v>
      </c>
      <c r="BZ23" s="179"/>
      <c r="CA23" s="179"/>
      <c r="CB23" s="179"/>
      <c r="CC23" s="174">
        <f>USD!DP24</f>
        <v>2.1156395526700433</v>
      </c>
      <c r="CD23" s="174"/>
      <c r="CE23" s="174"/>
      <c r="CF23" s="174"/>
      <c r="CG23" s="174">
        <f t="shared" si="5"/>
        <v>3.7655189477843853E-2</v>
      </c>
      <c r="CH23" s="183">
        <f>USD!DQ24</f>
        <v>1.7833050556469111E-4</v>
      </c>
      <c r="CI23" s="179">
        <f>BO23/USD!CP24</f>
        <v>1.575295794395024E-4</v>
      </c>
    </row>
    <row r="24" spans="1:87">
      <c r="A24" s="321" t="str">
        <f>USD!AE25</f>
        <v>2Q2003</v>
      </c>
      <c r="B24" s="174">
        <f>USD!AF25</f>
        <v>10.189792751856364</v>
      </c>
      <c r="C24" s="179">
        <f t="shared" si="23"/>
        <v>1.4784045760029674E-2</v>
      </c>
      <c r="D24" s="178"/>
      <c r="E24" s="179"/>
      <c r="F24" s="179">
        <f t="shared" si="16"/>
        <v>0.46633740577073046</v>
      </c>
      <c r="G24" s="178">
        <v>0</v>
      </c>
      <c r="H24" s="178">
        <v>0</v>
      </c>
      <c r="I24" s="174">
        <f>USD!AG25</f>
        <v>11.660894381026264</v>
      </c>
      <c r="J24" s="180">
        <f t="shared" si="20"/>
        <v>-0.15332127057629552</v>
      </c>
      <c r="K24" s="174"/>
      <c r="L24" s="179"/>
      <c r="M24" s="179">
        <f t="shared" si="17"/>
        <v>0.53366259422926965</v>
      </c>
      <c r="N24" s="174"/>
      <c r="O24" s="174">
        <f>USD!AH25</f>
        <v>21.850687132882626</v>
      </c>
      <c r="P24" s="174"/>
      <c r="Q24" s="174"/>
      <c r="R24" s="174"/>
      <c r="S24" s="174"/>
      <c r="T24" s="174"/>
      <c r="U24" s="179">
        <f t="shared" si="24"/>
        <v>-8.2438045731211274E-2</v>
      </c>
      <c r="V24" s="176"/>
      <c r="W24" s="174">
        <f>USD!AJ25</f>
        <v>2.8600520891056185</v>
      </c>
      <c r="X24" s="174">
        <f t="shared" si="25"/>
        <v>0.44883350750525275</v>
      </c>
      <c r="Y24" s="179">
        <f t="shared" si="18"/>
        <v>0.13089071623754972</v>
      </c>
      <c r="Z24" s="179">
        <f t="shared" si="21"/>
        <v>0.28067814122957285</v>
      </c>
      <c r="AA24" s="181"/>
      <c r="AB24" s="181"/>
      <c r="AO24" s="174"/>
      <c r="AP24" s="174"/>
      <c r="AW24" s="176"/>
      <c r="AX24" s="176"/>
      <c r="AY24" s="176"/>
      <c r="BA24" s="321" t="str">
        <f>USD!CA25</f>
        <v>2Q2003/04</v>
      </c>
      <c r="BB24" s="174">
        <f>USD!DM25</f>
        <v>0.37092916283348665</v>
      </c>
      <c r="BC24" s="179">
        <f t="shared" si="15"/>
        <v>0.90775612611859313</v>
      </c>
      <c r="BD24" s="178"/>
      <c r="BE24" s="179"/>
      <c r="BF24" s="438">
        <f>BB24/USD!CP25</f>
        <v>2.0993763102878187E-5</v>
      </c>
      <c r="BG24" s="438"/>
      <c r="BH24" s="179">
        <f t="shared" si="9"/>
        <v>0.1190363722248465</v>
      </c>
      <c r="BI24" s="179"/>
      <c r="BJ24" s="176"/>
      <c r="BK24" s="176"/>
      <c r="BL24" s="176"/>
      <c r="BM24" s="176"/>
      <c r="BN24" s="176"/>
      <c r="BO24" s="174">
        <f>USD!DO25</f>
        <v>2.7451701931922718</v>
      </c>
      <c r="BP24" s="179">
        <f t="shared" si="3"/>
        <v>0.42887759931923997</v>
      </c>
      <c r="BQ24" s="174"/>
      <c r="BR24" s="174"/>
      <c r="BS24" s="174"/>
      <c r="BT24" s="174">
        <f t="shared" si="0"/>
        <v>2.7451701931922718</v>
      </c>
      <c r="BU24" s="174"/>
      <c r="BV24" s="179">
        <f t="shared" si="4"/>
        <v>0.42887759931923997</v>
      </c>
      <c r="BW24" s="176"/>
      <c r="BX24" s="179">
        <f t="shared" si="1"/>
        <v>0.88096362777515358</v>
      </c>
      <c r="BY24" s="179">
        <f t="shared" si="2"/>
        <v>0.88096362777515358</v>
      </c>
      <c r="BZ24" s="179"/>
      <c r="CA24" s="179"/>
      <c r="CB24" s="179"/>
      <c r="CC24" s="174">
        <f>USD!DP25</f>
        <v>3.1160993560257584</v>
      </c>
      <c r="CD24" s="174"/>
      <c r="CE24" s="174"/>
      <c r="CF24" s="174"/>
      <c r="CG24" s="174">
        <f t="shared" si="5"/>
        <v>0.472887643877278</v>
      </c>
      <c r="CH24" s="183">
        <f>USD!DQ25</f>
        <v>1.7922033735159662E-4</v>
      </c>
      <c r="CI24" s="179">
        <f>BO24/USD!CP25</f>
        <v>1.5537050867804687E-4</v>
      </c>
    </row>
    <row r="25" spans="1:87">
      <c r="A25" s="321" t="str">
        <f>USD!AE26</f>
        <v>3Q2003</v>
      </c>
      <c r="B25" s="174">
        <f>USD!AF26</f>
        <v>11.133519465978829</v>
      </c>
      <c r="C25" s="179">
        <f t="shared" si="23"/>
        <v>9.2614907594714024E-2</v>
      </c>
      <c r="D25" s="178"/>
      <c r="E25" s="179"/>
      <c r="F25" s="179">
        <f t="shared" si="16"/>
        <v>0.42222688036806522</v>
      </c>
      <c r="G25" s="178">
        <v>0</v>
      </c>
      <c r="H25" s="178">
        <v>0</v>
      </c>
      <c r="I25" s="174">
        <f>USD!AG26</f>
        <v>15.23505151717003</v>
      </c>
      <c r="J25" s="180">
        <f t="shared" si="20"/>
        <v>0.30650797609138514</v>
      </c>
      <c r="K25" s="174"/>
      <c r="L25" s="179"/>
      <c r="M25" s="179">
        <f t="shared" si="17"/>
        <v>0.57777311963193478</v>
      </c>
      <c r="N25" s="174"/>
      <c r="O25" s="174">
        <f>USD!AH26</f>
        <v>26.368570983148857</v>
      </c>
      <c r="P25" s="174"/>
      <c r="Q25" s="174"/>
      <c r="R25" s="174"/>
      <c r="S25" s="174"/>
      <c r="T25" s="174"/>
      <c r="U25" s="179">
        <f t="shared" si="24"/>
        <v>0.20676163741630638</v>
      </c>
      <c r="V25" s="176"/>
      <c r="W25" s="174">
        <f>USD!AJ26</f>
        <v>3.5853682733598835</v>
      </c>
      <c r="X25" s="174">
        <f t="shared" si="25"/>
        <v>0.25360243857694287</v>
      </c>
      <c r="Y25" s="179">
        <f t="shared" si="18"/>
        <v>0.13597127715609447</v>
      </c>
      <c r="Z25" s="179">
        <f t="shared" si="21"/>
        <v>0.32203368254897713</v>
      </c>
      <c r="AA25" s="181"/>
      <c r="AB25" s="181"/>
      <c r="AW25" s="176"/>
      <c r="AX25" s="176"/>
      <c r="AY25" s="176"/>
      <c r="BA25" s="321" t="str">
        <f>USD!CA26</f>
        <v>3Q2003/04</v>
      </c>
      <c r="BB25" s="174">
        <f>USD!DM26</f>
        <v>0.62025269554262841</v>
      </c>
      <c r="BC25" s="179">
        <f t="shared" si="15"/>
        <v>0.67215942473917933</v>
      </c>
      <c r="BD25" s="178"/>
      <c r="BE25" s="179"/>
      <c r="BF25" s="438">
        <f>BB25/USD!CP26</f>
        <v>3.0316233082355726E-5</v>
      </c>
      <c r="BG25" s="438"/>
      <c r="BH25" s="179">
        <f t="shared" si="9"/>
        <v>0.16303077522399687</v>
      </c>
      <c r="BI25" s="179"/>
      <c r="BJ25" s="176"/>
      <c r="BK25" s="176"/>
      <c r="BL25" s="176"/>
      <c r="BM25" s="176"/>
      <c r="BN25" s="176"/>
      <c r="BO25" s="174">
        <f>USD!DO26</f>
        <v>3.1842602541776275</v>
      </c>
      <c r="BP25" s="179">
        <f t="shared" si="3"/>
        <v>0.15995003226912918</v>
      </c>
      <c r="BQ25" s="174"/>
      <c r="BR25" s="174"/>
      <c r="BS25" s="174"/>
      <c r="BT25" s="174">
        <f t="shared" si="0"/>
        <v>3.1842602541776275</v>
      </c>
      <c r="BU25" s="174"/>
      <c r="BV25" s="179">
        <f t="shared" si="4"/>
        <v>0.15995003226912918</v>
      </c>
      <c r="BW25" s="176"/>
      <c r="BX25" s="179">
        <f t="shared" si="1"/>
        <v>0.83696922477600311</v>
      </c>
      <c r="BY25" s="179">
        <f t="shared" si="2"/>
        <v>0.83696922477600311</v>
      </c>
      <c r="BZ25" s="179"/>
      <c r="CA25" s="179"/>
      <c r="CB25" s="179"/>
      <c r="CC25" s="174">
        <f>USD!DP26</f>
        <v>3.8045129497202561</v>
      </c>
      <c r="CD25" s="174"/>
      <c r="CE25" s="174"/>
      <c r="CF25" s="174"/>
      <c r="CG25" s="174">
        <f t="shared" si="5"/>
        <v>0.22092158016825669</v>
      </c>
      <c r="CH25" s="183">
        <f>USD!DQ26</f>
        <v>1.8725949701821893E-4</v>
      </c>
      <c r="CI25" s="179">
        <f>BO25/USD!CP26</f>
        <v>1.556378178672432E-4</v>
      </c>
    </row>
    <row r="26" spans="1:87">
      <c r="A26" s="321" t="str">
        <f>USD!AE27</f>
        <v>4Q2003</v>
      </c>
      <c r="B26" s="174">
        <f>USD!AF27</f>
        <v>28.034511784511778</v>
      </c>
      <c r="C26" s="179">
        <f t="shared" si="23"/>
        <v>1.5180278231136195</v>
      </c>
      <c r="D26" s="178">
        <f>B26+B25+B24+B23</f>
        <v>59.39916510780813</v>
      </c>
      <c r="E26" s="179">
        <f>(D26/D22)-1</f>
        <v>1.1840999008964479</v>
      </c>
      <c r="F26" s="179">
        <f t="shared" si="16"/>
        <v>0.76341027141857243</v>
      </c>
      <c r="G26" s="178">
        <v>0</v>
      </c>
      <c r="H26" s="178">
        <v>0</v>
      </c>
      <c r="I26" s="174">
        <f>USD!AG27</f>
        <v>8.6882215007214985</v>
      </c>
      <c r="J26" s="180">
        <f t="shared" si="20"/>
        <v>-0.42972155421136582</v>
      </c>
      <c r="K26" s="174">
        <f>I26+I25+I24+I23</f>
        <v>49.356681075933516</v>
      </c>
      <c r="L26" s="179">
        <f>(K26/K22)-1</f>
        <v>5.4368310579825607E-2</v>
      </c>
      <c r="M26" s="179">
        <f t="shared" si="17"/>
        <v>0.23658972858142763</v>
      </c>
      <c r="N26" s="174"/>
      <c r="O26" s="174">
        <f>USD!AH27</f>
        <v>36.722733285233275</v>
      </c>
      <c r="P26" s="174">
        <f>O26+O25+O24+O23</f>
        <v>108.75584618374164</v>
      </c>
      <c r="Q26" s="174">
        <f>K26/P26</f>
        <v>0.45383014162333879</v>
      </c>
      <c r="R26" s="174">
        <f>D26/P26</f>
        <v>0.54616985837666132</v>
      </c>
      <c r="S26" s="174"/>
      <c r="T26" s="174">
        <f>(P26/P22)-1</f>
        <v>0.4695189265766726</v>
      </c>
      <c r="U26" s="179">
        <f t="shared" si="24"/>
        <v>0.39267058911540431</v>
      </c>
      <c r="V26" s="176"/>
      <c r="W26" s="174">
        <f>USD!AJ27</f>
        <v>28.017225829725827</v>
      </c>
      <c r="X26" s="174">
        <f t="shared" si="25"/>
        <v>6.8143230188932904</v>
      </c>
      <c r="Y26" s="179">
        <f t="shared" si="18"/>
        <v>0.76293955605401376</v>
      </c>
      <c r="Z26" s="179">
        <f t="shared" si="21"/>
        <v>0.99938340446522411</v>
      </c>
      <c r="AA26" s="181"/>
      <c r="AB26" s="181"/>
      <c r="BA26" s="321" t="str">
        <f>USD!CA27</f>
        <v>4Q2003/04</v>
      </c>
      <c r="BB26" s="174">
        <f>USD!DM27</f>
        <v>0.82878699941961687</v>
      </c>
      <c r="BC26" s="179">
        <f t="shared" si="15"/>
        <v>0.33620862170466204</v>
      </c>
      <c r="BD26" s="178">
        <f>BB26+BB25+BB24+BB23</f>
        <v>2.014401027481989</v>
      </c>
      <c r="BE26" s="179">
        <f>(BD26/BD22)-1</f>
        <v>0.20328890384653131</v>
      </c>
      <c r="BF26" s="438">
        <f>BB26/USD!CP27</f>
        <v>3.4430182726219803E-5</v>
      </c>
      <c r="BG26" s="438">
        <f>(BB26+BB25+BB24+BB23)/USD!CP27</f>
        <v>8.3683980936789036E-5</v>
      </c>
      <c r="BH26" s="179">
        <f t="shared" si="9"/>
        <v>0.20926143024618993</v>
      </c>
      <c r="BI26" s="179">
        <f>BD26/CD26</f>
        <v>0.15499224629863889</v>
      </c>
      <c r="BJ26" s="176"/>
      <c r="BK26" s="176"/>
      <c r="BL26" s="176"/>
      <c r="BM26" s="176"/>
      <c r="BN26" s="176"/>
      <c r="BO26" s="174">
        <f>USD!DO27</f>
        <v>3.1317469529889723</v>
      </c>
      <c r="BP26" s="179">
        <f t="shared" si="3"/>
        <v>-1.6491522990232932E-2</v>
      </c>
      <c r="BQ26" s="174">
        <f>BO26+BO25+BO24+BO23</f>
        <v>10.982384783342658</v>
      </c>
      <c r="BR26" s="174">
        <f>(BQ26/BQ22)-1</f>
        <v>0.58995280646651249</v>
      </c>
      <c r="BS26" s="174">
        <f>BQ26/USD!CP27</f>
        <v>4.5623967934455706E-4</v>
      </c>
      <c r="BT26" s="174">
        <f t="shared" si="0"/>
        <v>3.1317469529889723</v>
      </c>
      <c r="BU26" s="174">
        <f>BT26+BT25+BT24+BT23</f>
        <v>10.982384783342658</v>
      </c>
      <c r="BV26" s="179">
        <f t="shared" si="4"/>
        <v>-1.6491522990232932E-2</v>
      </c>
      <c r="BW26" s="176"/>
      <c r="BX26" s="179">
        <f t="shared" si="1"/>
        <v>0.79073856975381007</v>
      </c>
      <c r="BY26" s="179">
        <f t="shared" si="2"/>
        <v>0.79073856975381007</v>
      </c>
      <c r="BZ26" s="179"/>
      <c r="CA26" s="179">
        <f>BQ26/CD26</f>
        <v>0.84500775370136105</v>
      </c>
      <c r="CB26" s="179"/>
      <c r="CC26" s="174">
        <f>USD!DP27</f>
        <v>3.9605339524085892</v>
      </c>
      <c r="CD26" s="174">
        <f>CC26+CC25+CC24+CC23</f>
        <v>12.996785810824647</v>
      </c>
      <c r="CE26" s="174">
        <f>CD26/USD!CP27</f>
        <v>5.3992366028134608E-4</v>
      </c>
      <c r="CF26" s="174">
        <f>(CD26/CD22)-1</f>
        <v>0.51452191298250649</v>
      </c>
      <c r="CG26" s="174">
        <f t="shared" si="5"/>
        <v>4.1009455020991625E-2</v>
      </c>
      <c r="CH26" s="183">
        <f>USD!DQ27</f>
        <v>1.6540603011307593E-4</v>
      </c>
      <c r="CI26" s="179">
        <f>BO26/USD!CP27</f>
        <v>1.3010172688423114E-4</v>
      </c>
    </row>
    <row r="27" spans="1:87">
      <c r="A27" s="321" t="str">
        <f>USD!AE28</f>
        <v>1Q2004</v>
      </c>
      <c r="B27" s="174">
        <f>USD!AF28</f>
        <v>17.171945207075598</v>
      </c>
      <c r="C27" s="179">
        <f t="shared" si="23"/>
        <v>-0.38747122335968132</v>
      </c>
      <c r="D27" s="178"/>
      <c r="E27" s="179"/>
      <c r="F27" s="179">
        <f t="shared" si="16"/>
        <v>0.61963599669947922</v>
      </c>
      <c r="G27" s="178">
        <v>0</v>
      </c>
      <c r="H27" s="178">
        <v>0</v>
      </c>
      <c r="I27" s="174">
        <f>USD!AG28</f>
        <v>10.541010945476522</v>
      </c>
      <c r="J27" s="180">
        <f t="shared" si="20"/>
        <v>0.21325301669635865</v>
      </c>
      <c r="K27" s="174"/>
      <c r="L27" s="179"/>
      <c r="M27" s="179">
        <f t="shared" si="17"/>
        <v>0.38036400330052078</v>
      </c>
      <c r="N27" s="174"/>
      <c r="O27" s="174">
        <f>USD!AH28</f>
        <v>27.71295615255212</v>
      </c>
      <c r="P27" s="174"/>
      <c r="Q27" s="174"/>
      <c r="R27" s="174"/>
      <c r="S27" s="174"/>
      <c r="T27" s="174"/>
      <c r="U27" s="179">
        <f t="shared" si="24"/>
        <v>-0.24534603845253844</v>
      </c>
      <c r="V27" s="176"/>
      <c r="W27" s="174">
        <f>USD!AJ28</f>
        <v>3.9668795560637062</v>
      </c>
      <c r="X27" s="174">
        <f t="shared" si="25"/>
        <v>-0.85841283572569449</v>
      </c>
      <c r="Y27" s="179">
        <f t="shared" si="18"/>
        <v>0.14314169640463967</v>
      </c>
      <c r="Z27" s="179">
        <f t="shared" si="21"/>
        <v>0.23100932994062764</v>
      </c>
      <c r="AA27" s="181"/>
      <c r="AB27" s="181"/>
      <c r="BA27" s="321" t="str">
        <f>USD!CA28</f>
        <v>1Q2004/04</v>
      </c>
      <c r="BB27" s="174">
        <f>USD!DM28</f>
        <v>2.0741867985543081</v>
      </c>
      <c r="BC27" s="179">
        <f t="shared" si="15"/>
        <v>1.5026777688438888</v>
      </c>
      <c r="BD27" s="178"/>
      <c r="BE27" s="179"/>
      <c r="BF27" s="438">
        <f>BB27/USD!CP28</f>
        <v>8.2330910702492862E-5</v>
      </c>
      <c r="BG27" s="438"/>
      <c r="BH27" s="179">
        <f t="shared" si="9"/>
        <v>0.28532551810759882</v>
      </c>
      <c r="BI27" s="179"/>
      <c r="BJ27" s="176"/>
      <c r="BK27" s="176"/>
      <c r="BL27" s="176"/>
      <c r="BM27" s="176"/>
      <c r="BN27" s="176"/>
      <c r="BO27" s="174">
        <f>USD!DO28</f>
        <v>5.1953585695263476</v>
      </c>
      <c r="BP27" s="179">
        <f t="shared" si="3"/>
        <v>0.65893306436135979</v>
      </c>
      <c r="BQ27" s="174"/>
      <c r="BR27" s="174"/>
      <c r="BS27" s="174"/>
      <c r="BT27" s="174">
        <f t="shared" si="0"/>
        <v>5.1953585695263476</v>
      </c>
      <c r="BU27" s="174"/>
      <c r="BV27" s="179">
        <f t="shared" si="4"/>
        <v>0.65893306436135979</v>
      </c>
      <c r="BW27" s="176"/>
      <c r="BX27" s="179">
        <f t="shared" si="1"/>
        <v>0.71467448189240124</v>
      </c>
      <c r="BY27" s="179">
        <f t="shared" si="2"/>
        <v>0.71467448189240124</v>
      </c>
      <c r="BZ27" s="179"/>
      <c r="CA27" s="179"/>
      <c r="CB27" s="179"/>
      <c r="CC27" s="174">
        <f>USD!DP28</f>
        <v>7.2695453680806557</v>
      </c>
      <c r="CD27" s="174"/>
      <c r="CE27" s="174"/>
      <c r="CF27" s="174"/>
      <c r="CG27" s="174">
        <f t="shared" si="5"/>
        <v>0.83549628798402265</v>
      </c>
      <c r="CH27" s="183">
        <f>USD!DQ28</f>
        <v>2.9132182352947284E-4</v>
      </c>
      <c r="CI27" s="179">
        <f>BO27/USD!CP28</f>
        <v>2.0621990398995657E-4</v>
      </c>
    </row>
    <row r="28" spans="1:87">
      <c r="A28" s="321" t="str">
        <f>USD!AE29</f>
        <v>2Q2004</v>
      </c>
      <c r="B28" s="174">
        <f>USD!AF29</f>
        <v>23.059943735122268</v>
      </c>
      <c r="C28" s="179">
        <f t="shared" si="23"/>
        <v>0.34288477263604089</v>
      </c>
      <c r="D28" s="178"/>
      <c r="E28" s="179"/>
      <c r="F28" s="179">
        <f t="shared" si="16"/>
        <v>0.61989528795811522</v>
      </c>
      <c r="G28" s="178">
        <v>0</v>
      </c>
      <c r="H28" s="178">
        <v>0</v>
      </c>
      <c r="I28" s="174">
        <f>USD!AG29</f>
        <v>14.139796580826662</v>
      </c>
      <c r="J28" s="180">
        <f t="shared" si="20"/>
        <v>0.34140801617272687</v>
      </c>
      <c r="K28" s="174"/>
      <c r="L28" s="179"/>
      <c r="M28" s="179">
        <f t="shared" si="17"/>
        <v>0.38010471204188484</v>
      </c>
      <c r="N28" s="174"/>
      <c r="O28" s="174">
        <f>USD!AH29</f>
        <v>37.199740315948929</v>
      </c>
      <c r="P28" s="174"/>
      <c r="Q28" s="174"/>
      <c r="R28" s="174"/>
      <c r="S28" s="174"/>
      <c r="T28" s="174"/>
      <c r="U28" s="179">
        <f t="shared" si="24"/>
        <v>0.34232306763575493</v>
      </c>
      <c r="V28" s="176"/>
      <c r="W28" s="174">
        <f>USD!AJ29</f>
        <v>8.0328933131356823</v>
      </c>
      <c r="X28" s="174">
        <f t="shared" si="25"/>
        <v>1.0249904741515872</v>
      </c>
      <c r="Y28" s="179">
        <f t="shared" si="18"/>
        <v>0.21593949970913315</v>
      </c>
      <c r="Z28" s="179">
        <f t="shared" si="21"/>
        <v>0.34834834834834827</v>
      </c>
      <c r="AA28" s="181"/>
      <c r="AB28" s="181"/>
      <c r="BA28" s="321" t="str">
        <f>USD!CA29</f>
        <v>2Q2004/05</v>
      </c>
      <c r="BB28" s="174">
        <f>USD!DM29</f>
        <v>1.185157561066567</v>
      </c>
      <c r="BC28" s="179">
        <f t="shared" si="15"/>
        <v>-0.42861580167581215</v>
      </c>
      <c r="BD28" s="178"/>
      <c r="BE28" s="179"/>
      <c r="BF28" s="438">
        <f>BB28/USD!CP29</f>
        <v>4.0949121785651778E-5</v>
      </c>
      <c r="BG28" s="438"/>
      <c r="BH28" s="179">
        <f t="shared" si="9"/>
        <v>0.19850093691442847</v>
      </c>
      <c r="BI28" s="179"/>
      <c r="BJ28" s="176"/>
      <c r="BK28" s="176"/>
      <c r="BL28" s="176"/>
      <c r="BM28" s="176"/>
      <c r="BN28" s="176"/>
      <c r="BO28" s="174">
        <f>USD!DO29</f>
        <v>4.7853813164273724</v>
      </c>
      <c r="BP28" s="179">
        <f t="shared" si="3"/>
        <v>-7.8912215126732299E-2</v>
      </c>
      <c r="BQ28" s="174"/>
      <c r="BR28" s="174"/>
      <c r="BS28" s="174"/>
      <c r="BT28" s="174">
        <f t="shared" si="0"/>
        <v>4.7853813164273724</v>
      </c>
      <c r="BU28" s="174"/>
      <c r="BV28" s="179">
        <f t="shared" si="4"/>
        <v>-7.8912215126732299E-2</v>
      </c>
      <c r="BW28" s="176"/>
      <c r="BX28" s="179">
        <f t="shared" si="1"/>
        <v>0.80149906308557162</v>
      </c>
      <c r="BY28" s="179">
        <f t="shared" si="2"/>
        <v>0.80149906308557162</v>
      </c>
      <c r="BZ28" s="179"/>
      <c r="CA28" s="179"/>
      <c r="CB28" s="179"/>
      <c r="CC28" s="174">
        <f>USD!DP29</f>
        <v>5.9705388774939392</v>
      </c>
      <c r="CD28" s="174"/>
      <c r="CE28" s="174"/>
      <c r="CF28" s="174"/>
      <c r="CG28" s="174">
        <f t="shared" si="5"/>
        <v>-0.17869157214293407</v>
      </c>
      <c r="CH28" s="183">
        <f>USD!DQ29</f>
        <v>2.0736625556511579E-4</v>
      </c>
      <c r="CI28" s="179">
        <f>BO28/USD!CP29</f>
        <v>1.6534270948819499E-4</v>
      </c>
    </row>
    <row r="29" spans="1:87">
      <c r="A29" s="321" t="str">
        <f>USD!AE30</f>
        <v>3Q2004</v>
      </c>
      <c r="B29" s="174">
        <f>USD!AF30</f>
        <v>17.633959741513774</v>
      </c>
      <c r="C29" s="179">
        <f t="shared" si="23"/>
        <v>-0.23529909942253047</v>
      </c>
      <c r="D29" s="178"/>
      <c r="E29" s="179"/>
      <c r="F29" s="179">
        <f t="shared" si="16"/>
        <v>0.5414220750491463</v>
      </c>
      <c r="G29" s="178">
        <v>0</v>
      </c>
      <c r="H29" s="178">
        <v>0</v>
      </c>
      <c r="I29" s="174">
        <f>USD!AG30</f>
        <v>14.93574983287529</v>
      </c>
      <c r="J29" s="180">
        <f t="shared" si="20"/>
        <v>5.6291704587032587E-2</v>
      </c>
      <c r="K29" s="174"/>
      <c r="L29" s="179"/>
      <c r="M29" s="179">
        <f t="shared" si="17"/>
        <v>0.4585779249508537</v>
      </c>
      <c r="N29" s="174"/>
      <c r="O29" s="174">
        <f>USD!AH30</f>
        <v>32.569709574389066</v>
      </c>
      <c r="P29" s="174"/>
      <c r="Q29" s="174"/>
      <c r="R29" s="174"/>
      <c r="S29" s="174"/>
      <c r="T29" s="174"/>
      <c r="U29" s="179">
        <f t="shared" si="24"/>
        <v>-0.12446406083041384</v>
      </c>
      <c r="V29" s="176"/>
      <c r="W29" s="174">
        <f>USD!AJ30</f>
        <v>9.7239842531382283</v>
      </c>
      <c r="X29" s="174">
        <f t="shared" si="25"/>
        <v>0.21052077677132996</v>
      </c>
      <c r="Y29" s="179">
        <f t="shared" si="18"/>
        <v>0.29855913301678955</v>
      </c>
      <c r="Z29" s="179">
        <f t="shared" si="21"/>
        <v>0.55143509431101156</v>
      </c>
      <c r="AA29" s="181"/>
      <c r="AB29" s="181"/>
      <c r="BA29" s="321" t="str">
        <f>USD!CA30</f>
        <v>3Q2004/05</v>
      </c>
      <c r="BB29" s="174">
        <f>USD!DM30</f>
        <v>2.2883331357907624</v>
      </c>
      <c r="BC29" s="179">
        <f t="shared" si="15"/>
        <v>0.93082608672842371</v>
      </c>
      <c r="BD29" s="178"/>
      <c r="BE29" s="179"/>
      <c r="BF29" s="438">
        <f>BB29/USD!CP30</f>
        <v>6.5170511351775919E-5</v>
      </c>
      <c r="BG29" s="438"/>
      <c r="BH29" s="179">
        <f t="shared" si="9"/>
        <v>0.28086509552904665</v>
      </c>
      <c r="BI29" s="179"/>
      <c r="BJ29" s="176"/>
      <c r="BK29" s="176"/>
      <c r="BL29" s="176"/>
      <c r="BM29" s="176"/>
      <c r="BN29" s="176"/>
      <c r="BO29" s="174">
        <f>USD!DO30</f>
        <v>5.859112638773655</v>
      </c>
      <c r="BP29" s="179">
        <f t="shared" si="3"/>
        <v>0.22437738005545182</v>
      </c>
      <c r="BQ29" s="174"/>
      <c r="BR29" s="174"/>
      <c r="BS29" s="174"/>
      <c r="BT29" s="174">
        <f t="shared" si="0"/>
        <v>5.859112638773655</v>
      </c>
      <c r="BU29" s="174"/>
      <c r="BV29" s="179">
        <f t="shared" si="4"/>
        <v>0.22437738005545182</v>
      </c>
      <c r="BW29" s="176"/>
      <c r="BX29" s="179">
        <f t="shared" si="1"/>
        <v>0.71913490447095341</v>
      </c>
      <c r="BY29" s="179">
        <f t="shared" si="2"/>
        <v>0.71913490447095341</v>
      </c>
      <c r="BZ29" s="179"/>
      <c r="CA29" s="179"/>
      <c r="CB29" s="179"/>
      <c r="CC29" s="174">
        <f>USD!DP30</f>
        <v>8.1474457745644173</v>
      </c>
      <c r="CD29" s="174"/>
      <c r="CE29" s="174"/>
      <c r="CF29" s="174"/>
      <c r="CG29" s="174">
        <f t="shared" si="5"/>
        <v>0.36460811021202288</v>
      </c>
      <c r="CH29" s="183">
        <f>USD!DQ30</f>
        <v>2.3319886007349192E-4</v>
      </c>
      <c r="CI29" s="179">
        <f>BO29/USD!CP30</f>
        <v>1.668644135612633E-4</v>
      </c>
    </row>
    <row r="30" spans="1:87">
      <c r="A30" s="321" t="str">
        <f>USD!AE31</f>
        <v>4Q2004</v>
      </c>
      <c r="B30" s="174">
        <f>USD!AF31</f>
        <v>35.463994122163243</v>
      </c>
      <c r="C30" s="179">
        <f t="shared" si="23"/>
        <v>1.0111191497547822</v>
      </c>
      <c r="D30" s="178">
        <f>B30+B29+B28+B27</f>
        <v>93.329842805874875</v>
      </c>
      <c r="E30" s="179">
        <f>(D30/D26)-1</f>
        <v>0.5712315591723105</v>
      </c>
      <c r="F30" s="179">
        <f t="shared" si="16"/>
        <v>0.67807241847397171</v>
      </c>
      <c r="G30" s="178">
        <v>0</v>
      </c>
      <c r="H30" s="178">
        <v>0</v>
      </c>
      <c r="I30" s="174">
        <f>USD!AG31</f>
        <v>16.837195479349141</v>
      </c>
      <c r="J30" s="180">
        <f t="shared" si="20"/>
        <v>0.12730834860989382</v>
      </c>
      <c r="K30" s="174">
        <f>I30+I29+I28+I27</f>
        <v>56.453752838527613</v>
      </c>
      <c r="L30" s="179">
        <f>(K30/K26)-1</f>
        <v>0.14379151125813139</v>
      </c>
      <c r="M30" s="179">
        <f t="shared" si="17"/>
        <v>0.32192758152602829</v>
      </c>
      <c r="N30" s="174"/>
      <c r="O30" s="174">
        <f>USD!AH31</f>
        <v>52.301189601512384</v>
      </c>
      <c r="P30" s="174">
        <f>O30+O29+O28+O27</f>
        <v>149.78359564440251</v>
      </c>
      <c r="Q30" s="174">
        <f>K30/P30</f>
        <v>0.37690210730788609</v>
      </c>
      <c r="R30" s="174">
        <f>D30/P30</f>
        <v>0.6230978926921138</v>
      </c>
      <c r="S30" s="174"/>
      <c r="T30" s="174">
        <f>(P30/P26)-1</f>
        <v>0.37724638169193225</v>
      </c>
      <c r="U30" s="179">
        <f t="shared" si="24"/>
        <v>0.60582302651660758</v>
      </c>
      <c r="V30" s="176"/>
      <c r="W30" s="174">
        <f>USD!AJ31</f>
        <v>-9.7283151577191997</v>
      </c>
      <c r="X30" s="174">
        <f t="shared" si="25"/>
        <v>-2.0004453837509635</v>
      </c>
      <c r="Y30" s="179">
        <f t="shared" si="18"/>
        <v>-0.18600561921899167</v>
      </c>
      <c r="Z30" s="179">
        <f t="shared" si="21"/>
        <v>-0.27431527098182895</v>
      </c>
      <c r="AA30" s="181"/>
      <c r="AB30" s="181"/>
      <c r="BA30" s="321" t="str">
        <f>USD!CA31</f>
        <v>4Q2004/05</v>
      </c>
      <c r="BB30" s="174">
        <f>USD!DM31</f>
        <v>5.3724491925051119</v>
      </c>
      <c r="BC30" s="179">
        <f t="shared" si="15"/>
        <v>1.3477565868697674</v>
      </c>
      <c r="BD30" s="178">
        <f>BB30+BB29+BB28+BB27</f>
        <v>10.920126687916749</v>
      </c>
      <c r="BE30" s="179">
        <f>(BD30/BD26)-1</f>
        <v>4.4210291490800913</v>
      </c>
      <c r="BF30" s="438">
        <f>BB30/USD!CP31</f>
        <v>1.2650356622337882E-4</v>
      </c>
      <c r="BG30" s="438">
        <f>(BB30+BB29+BB28+BB27)/USD!CP31</f>
        <v>2.5713318453709106E-4</v>
      </c>
      <c r="BH30" s="179">
        <f t="shared" si="9"/>
        <v>0.40927009155645983</v>
      </c>
      <c r="BI30" s="179">
        <f>BD30/CD30</f>
        <v>0.31639303975934191</v>
      </c>
      <c r="BJ30" s="176"/>
      <c r="BK30" s="176"/>
      <c r="BL30" s="176"/>
      <c r="BM30" s="176"/>
      <c r="BN30" s="176"/>
      <c r="BO30" s="174">
        <f>USD!DO31</f>
        <v>7.7544547844593747</v>
      </c>
      <c r="BP30" s="179">
        <f t="shared" si="3"/>
        <v>0.32348621071781025</v>
      </c>
      <c r="BQ30" s="174">
        <f>BO30+BO29+BO28+BO27</f>
        <v>23.59430730918675</v>
      </c>
      <c r="BR30" s="174">
        <f>(BQ30/BQ26)-1</f>
        <v>1.1483774038743393</v>
      </c>
      <c r="BS30" s="174">
        <f>BQ30/USD!CP31</f>
        <v>5.5556858896802246E-4</v>
      </c>
      <c r="BT30" s="174">
        <f t="shared" si="0"/>
        <v>7.7544547844593747</v>
      </c>
      <c r="BU30" s="174">
        <f>BT30+BT29+BT28+BT27</f>
        <v>23.59430730918675</v>
      </c>
      <c r="BV30" s="179">
        <f t="shared" si="4"/>
        <v>0.32348621071781025</v>
      </c>
      <c r="BW30" s="176"/>
      <c r="BX30" s="179">
        <f t="shared" si="1"/>
        <v>0.59072990844354023</v>
      </c>
      <c r="BY30" s="179">
        <f t="shared" si="2"/>
        <v>0.59072990844354023</v>
      </c>
      <c r="BZ30" s="179"/>
      <c r="CA30" s="179">
        <f>BQ30/CD30</f>
        <v>0.68360696024065815</v>
      </c>
      <c r="CB30" s="179"/>
      <c r="CC30" s="174">
        <f>USD!DP31</f>
        <v>13.126903976964487</v>
      </c>
      <c r="CD30" s="174">
        <f>CC30+CC29+CC28+CC27</f>
        <v>34.514433997103495</v>
      </c>
      <c r="CE30" s="174">
        <f>CD30/USD!CP31</f>
        <v>8.1270177350511346E-4</v>
      </c>
      <c r="CF30" s="174">
        <f>(CD30/CD26)-1</f>
        <v>1.6556130492169396</v>
      </c>
      <c r="CG30" s="174">
        <f t="shared" si="5"/>
        <v>0.61116800776330216</v>
      </c>
      <c r="CH30" s="183">
        <f>USD!DQ31</f>
        <v>3.1094587608229549E-4</v>
      </c>
      <c r="CI30" s="179">
        <f>BO30/USD!CP31</f>
        <v>1.82591989091411E-4</v>
      </c>
    </row>
    <row r="31" spans="1:87">
      <c r="A31" s="321" t="str">
        <f>USD!AE32</f>
        <v>1Q2005</v>
      </c>
      <c r="B31" s="174">
        <f>USD!AF32</f>
        <v>27.191657164576206</v>
      </c>
      <c r="C31" s="179">
        <f t="shared" si="23"/>
        <v>-0.23326016040638908</v>
      </c>
      <c r="D31" s="178"/>
      <c r="E31" s="179"/>
      <c r="F31" s="179">
        <f t="shared" si="16"/>
        <v>0.61681689017577779</v>
      </c>
      <c r="G31" s="178">
        <v>0</v>
      </c>
      <c r="H31" s="178">
        <v>0</v>
      </c>
      <c r="I31" s="174">
        <f>USD!AG32</f>
        <v>16.892182946914982</v>
      </c>
      <c r="J31" s="180">
        <f t="shared" si="20"/>
        <v>3.2658329371588746E-3</v>
      </c>
      <c r="K31" s="174"/>
      <c r="L31" s="179"/>
      <c r="M31" s="179">
        <f t="shared" si="17"/>
        <v>0.38318310982422227</v>
      </c>
      <c r="N31" s="174"/>
      <c r="O31" s="174">
        <f>USD!AH32</f>
        <v>44.083840111491185</v>
      </c>
      <c r="P31" s="174"/>
      <c r="Q31" s="174"/>
      <c r="R31" s="174"/>
      <c r="S31" s="174"/>
      <c r="T31" s="174"/>
      <c r="U31" s="179">
        <f t="shared" si="24"/>
        <v>-0.15711591940125924</v>
      </c>
      <c r="V31" s="176"/>
      <c r="W31" s="174">
        <f>USD!AJ32</f>
        <v>10.084568605093118</v>
      </c>
      <c r="X31" s="174">
        <f t="shared" si="25"/>
        <v>-2.0366202617409286</v>
      </c>
      <c r="Y31" s="179">
        <f t="shared" si="18"/>
        <v>0.22875885085302283</v>
      </c>
      <c r="Z31" s="179">
        <f t="shared" si="21"/>
        <v>0.37086995264969502</v>
      </c>
      <c r="AA31" s="181"/>
      <c r="AB31" s="181"/>
      <c r="BA31" s="321" t="str">
        <f>USD!CA32</f>
        <v>1Q2005/05</v>
      </c>
      <c r="BB31" s="174">
        <f>USD!DM32</f>
        <v>8.1373724015373821</v>
      </c>
      <c r="BC31" s="179">
        <f t="shared" si="15"/>
        <v>0.51464855412490507</v>
      </c>
      <c r="BD31" s="178"/>
      <c r="BE31" s="179"/>
      <c r="BF31" s="438">
        <f>BB31/USD!CP32</f>
        <v>1.6678363826927748E-4</v>
      </c>
      <c r="BG31" s="438"/>
      <c r="BH31" s="179">
        <f t="shared" si="9"/>
        <v>0.53438636486999957</v>
      </c>
      <c r="BI31" s="179"/>
      <c r="BJ31" s="176"/>
      <c r="BK31" s="176"/>
      <c r="BL31" s="176"/>
      <c r="BM31" s="176"/>
      <c r="BN31" s="176"/>
      <c r="BO31" s="174">
        <f>USD!DO32</f>
        <v>7.0901351407199229</v>
      </c>
      <c r="BP31" s="179">
        <f t="shared" si="3"/>
        <v>-8.5669419992080997E-2</v>
      </c>
      <c r="BQ31" s="174"/>
      <c r="BR31" s="174"/>
      <c r="BS31" s="174"/>
      <c r="BT31" s="174">
        <f t="shared" si="0"/>
        <v>7.0901351407199229</v>
      </c>
      <c r="BU31" s="174"/>
      <c r="BV31" s="179">
        <f t="shared" si="4"/>
        <v>-8.5669419992080997E-2</v>
      </c>
      <c r="BW31" s="176"/>
      <c r="BX31" s="179">
        <f t="shared" si="1"/>
        <v>0.46561363513000048</v>
      </c>
      <c r="BY31" s="179">
        <f t="shared" si="2"/>
        <v>0.46561363513000048</v>
      </c>
      <c r="BZ31" s="179"/>
      <c r="CA31" s="179"/>
      <c r="CB31" s="179"/>
      <c r="CC31" s="174">
        <f>USD!DP32</f>
        <v>15.227507542257305</v>
      </c>
      <c r="CD31" s="174"/>
      <c r="CE31" s="174"/>
      <c r="CF31" s="174"/>
      <c r="CG31" s="174">
        <f t="shared" si="5"/>
        <v>0.16002277223776651</v>
      </c>
      <c r="CH31" s="183">
        <f>USD!DQ32</f>
        <v>3.1449418749087462E-4</v>
      </c>
      <c r="CI31" s="179">
        <f>BO31/USD!CP32</f>
        <v>1.4531945648287069E-4</v>
      </c>
    </row>
    <row r="32" spans="1:87">
      <c r="A32" s="321" t="str">
        <f>USD!AE33</f>
        <v>2Q2005</v>
      </c>
      <c r="B32" s="174">
        <f>USD!AF33</f>
        <v>25.402428951635098</v>
      </c>
      <c r="C32" s="179">
        <f t="shared" si="23"/>
        <v>-6.5800631499282614E-2</v>
      </c>
      <c r="D32" s="178"/>
      <c r="E32" s="179"/>
      <c r="F32" s="179">
        <f t="shared" si="16"/>
        <v>0.64003144738921136</v>
      </c>
      <c r="G32" s="178">
        <v>0</v>
      </c>
      <c r="H32" s="178">
        <v>0</v>
      </c>
      <c r="I32" s="174">
        <f>USD!AG33</f>
        <v>14.286916087980678</v>
      </c>
      <c r="J32" s="180">
        <f t="shared" si="20"/>
        <v>-0.1542291406102787</v>
      </c>
      <c r="K32" s="174"/>
      <c r="L32" s="179"/>
      <c r="M32" s="179">
        <f t="shared" si="17"/>
        <v>0.35996855261078875</v>
      </c>
      <c r="N32" s="174"/>
      <c r="O32" s="174">
        <f>USD!AH33</f>
        <v>39.689345039615773</v>
      </c>
      <c r="P32" s="174"/>
      <c r="Q32" s="174"/>
      <c r="R32" s="174"/>
      <c r="S32" s="174"/>
      <c r="T32" s="174"/>
      <c r="U32" s="179">
        <f t="shared" si="24"/>
        <v>-9.9684942617553673E-2</v>
      </c>
      <c r="V32" s="176"/>
      <c r="W32" s="174">
        <f>USD!AJ33</f>
        <v>8.0100339563767626</v>
      </c>
      <c r="X32" s="174">
        <f t="shared" si="25"/>
        <v>-0.20571377219533526</v>
      </c>
      <c r="Y32" s="179">
        <f t="shared" si="18"/>
        <v>0.20181824488112809</v>
      </c>
      <c r="Z32" s="179">
        <f t="shared" si="21"/>
        <v>0.31532551362027034</v>
      </c>
      <c r="AA32" s="181"/>
      <c r="AB32" s="181"/>
      <c r="BA32" s="321" t="str">
        <f>USD!CA33</f>
        <v>2Q2005/06</v>
      </c>
      <c r="BB32" s="174">
        <f>USD!DM33</f>
        <v>6.6125081645983013</v>
      </c>
      <c r="BC32" s="179">
        <f t="shared" si="15"/>
        <v>-0.1873902485587351</v>
      </c>
      <c r="BD32" s="178"/>
      <c r="BE32" s="179"/>
      <c r="BF32" s="438">
        <f>BB32/USD!CP33</f>
        <v>1.1720131197165891E-4</v>
      </c>
      <c r="BG32" s="438"/>
      <c r="BH32" s="179">
        <f t="shared" si="9"/>
        <v>0.4421816990609303</v>
      </c>
      <c r="BI32" s="179"/>
      <c r="BJ32" s="176"/>
      <c r="BK32" s="176"/>
      <c r="BL32" s="176"/>
      <c r="BM32" s="176"/>
      <c r="BN32" s="176"/>
      <c r="BO32" s="174">
        <f>USD!DO33</f>
        <v>8.3417700849118219</v>
      </c>
      <c r="BP32" s="179">
        <f t="shared" si="3"/>
        <v>0.17653188822925725</v>
      </c>
      <c r="BQ32" s="174"/>
      <c r="BR32" s="174"/>
      <c r="BS32" s="174"/>
      <c r="BT32" s="174">
        <f t="shared" si="0"/>
        <v>8.3417700849118219</v>
      </c>
      <c r="BU32" s="174"/>
      <c r="BV32" s="179">
        <f t="shared" si="4"/>
        <v>0.17653188822925725</v>
      </c>
      <c r="BW32" s="176"/>
      <c r="BX32" s="179">
        <f t="shared" si="1"/>
        <v>0.5578183009390697</v>
      </c>
      <c r="BY32" s="179">
        <f t="shared" si="2"/>
        <v>0.5578183009390697</v>
      </c>
      <c r="BZ32" s="179"/>
      <c r="CA32" s="179"/>
      <c r="CB32" s="179"/>
      <c r="CC32" s="174">
        <f>USD!DP33</f>
        <v>14.954278249510123</v>
      </c>
      <c r="CD32" s="174"/>
      <c r="CE32" s="174"/>
      <c r="CF32" s="174"/>
      <c r="CG32" s="174">
        <f t="shared" si="5"/>
        <v>-1.7943139544600695E-2</v>
      </c>
      <c r="CH32" s="183">
        <f>USD!DQ33</f>
        <v>2.6780833298582784E-4</v>
      </c>
      <c r="CI32" s="179">
        <f>BO32/USD!CP33</f>
        <v>1.4785106857815027E-4</v>
      </c>
    </row>
    <row r="33" spans="1:87">
      <c r="A33" s="321" t="str">
        <f>USD!AE34</f>
        <v>3Q2005</v>
      </c>
      <c r="B33" s="174">
        <f>USD!AF34</f>
        <v>30.385481967414133</v>
      </c>
      <c r="C33" s="179">
        <f t="shared" si="23"/>
        <v>0.1961644307820527</v>
      </c>
      <c r="D33" s="178"/>
      <c r="E33" s="179"/>
      <c r="F33" s="179">
        <f t="shared" si="16"/>
        <v>0.67231439152434336</v>
      </c>
      <c r="G33" s="178">
        <v>0</v>
      </c>
      <c r="H33" s="178">
        <v>0</v>
      </c>
      <c r="I33" s="174">
        <f>USD!AG34</f>
        <v>14.809864659810234</v>
      </c>
      <c r="J33" s="180">
        <f t="shared" si="20"/>
        <v>3.6603320731302125E-2</v>
      </c>
      <c r="K33" s="174"/>
      <c r="L33" s="179"/>
      <c r="M33" s="179">
        <f t="shared" si="17"/>
        <v>0.32768560847565664</v>
      </c>
      <c r="N33" s="174"/>
      <c r="O33" s="174">
        <f>USD!AH34</f>
        <v>45.195346627224367</v>
      </c>
      <c r="P33" s="174"/>
      <c r="Q33" s="174"/>
      <c r="R33" s="174"/>
      <c r="S33" s="174"/>
      <c r="T33" s="174"/>
      <c r="U33" s="179">
        <f t="shared" si="24"/>
        <v>0.13872744894411326</v>
      </c>
      <c r="V33" s="176"/>
      <c r="W33" s="174">
        <f>USD!AJ34</f>
        <v>12.472295878485049</v>
      </c>
      <c r="X33" s="174">
        <f t="shared" si="25"/>
        <v>0.55708402066833851</v>
      </c>
      <c r="Y33" s="179">
        <f t="shared" si="18"/>
        <v>0.27596416023441006</v>
      </c>
      <c r="Z33" s="179">
        <f t="shared" si="21"/>
        <v>0.41046891709206834</v>
      </c>
      <c r="AA33" s="181"/>
      <c r="AB33" s="181"/>
      <c r="BA33" s="321" t="str">
        <f>USD!CA34</f>
        <v>3Q2005/06</v>
      </c>
      <c r="BB33" s="174">
        <f>USD!DM34</f>
        <v>14.613131139066001</v>
      </c>
      <c r="BC33" s="179">
        <f t="shared" si="15"/>
        <v>1.2099225853967206</v>
      </c>
      <c r="BD33" s="178"/>
      <c r="BE33" s="179"/>
      <c r="BF33" s="438">
        <f>BB33/USD!CP34</f>
        <v>2.1720479431941846E-4</v>
      </c>
      <c r="BG33" s="438"/>
      <c r="BH33" s="179">
        <f t="shared" si="9"/>
        <v>0.58899114429588462</v>
      </c>
      <c r="BI33" s="179"/>
      <c r="BJ33" s="176"/>
      <c r="BK33" s="176"/>
      <c r="BL33" s="176"/>
      <c r="BM33" s="176"/>
      <c r="BN33" s="176"/>
      <c r="BO33" s="174">
        <f>USD!DO34</f>
        <v>10.197311735309324</v>
      </c>
      <c r="BP33" s="179">
        <f t="shared" si="3"/>
        <v>0.22243979772994615</v>
      </c>
      <c r="BQ33" s="174"/>
      <c r="BR33" s="174"/>
      <c r="BS33" s="174"/>
      <c r="BT33" s="174">
        <f t="shared" si="0"/>
        <v>10.197311735309324</v>
      </c>
      <c r="BU33" s="174"/>
      <c r="BV33" s="179">
        <f t="shared" si="4"/>
        <v>0.22243979772994615</v>
      </c>
      <c r="BW33" s="176"/>
      <c r="BX33" s="179">
        <f t="shared" si="1"/>
        <v>0.41100885570411527</v>
      </c>
      <c r="BY33" s="179">
        <f t="shared" si="2"/>
        <v>0.41100885570411527</v>
      </c>
      <c r="BZ33" s="179"/>
      <c r="CA33" s="179"/>
      <c r="CB33" s="179"/>
      <c r="CC33" s="174">
        <f>USD!DP34</f>
        <v>24.810442874375326</v>
      </c>
      <c r="CD33" s="174"/>
      <c r="CE33" s="174"/>
      <c r="CF33" s="174"/>
      <c r="CG33" s="174">
        <f t="shared" si="5"/>
        <v>0.65908661457386453</v>
      </c>
      <c r="CH33" s="183">
        <f>USD!DQ34</f>
        <v>3.7396472518475877E-4</v>
      </c>
      <c r="CI33" s="179">
        <f>BO33/USD!CP34</f>
        <v>1.5156950122466496E-4</v>
      </c>
    </row>
    <row r="34" spans="1:87">
      <c r="A34" s="321" t="str">
        <f>USD!AE35</f>
        <v>4Q2005</v>
      </c>
      <c r="B34" s="174">
        <f>USD!AF35</f>
        <v>37.751227616762051</v>
      </c>
      <c r="C34" s="179">
        <f t="shared" si="23"/>
        <v>0.2424100317792246</v>
      </c>
      <c r="D34" s="178">
        <f>B34+B33+B32+B31</f>
        <v>120.73079570038749</v>
      </c>
      <c r="E34" s="179">
        <f>(D34/D30)-1</f>
        <v>0.29359261808151027</v>
      </c>
      <c r="F34" s="179">
        <f t="shared" si="16"/>
        <v>0.62966137808551881</v>
      </c>
      <c r="G34" s="178">
        <v>0</v>
      </c>
      <c r="H34" s="178">
        <v>0</v>
      </c>
      <c r="I34" s="174">
        <f>USD!AG35</f>
        <v>22.203581318072732</v>
      </c>
      <c r="J34" s="180">
        <f t="shared" si="20"/>
        <v>0.49924268911970171</v>
      </c>
      <c r="K34" s="174">
        <f>I34+I33+I32+I31</f>
        <v>68.192545012778623</v>
      </c>
      <c r="L34" s="179">
        <f>(K34/K30)-1</f>
        <v>0.20793643618037239</v>
      </c>
      <c r="M34" s="179">
        <f t="shared" si="17"/>
        <v>0.37033862191448108</v>
      </c>
      <c r="N34" s="174"/>
      <c r="O34" s="174">
        <f>USD!AH35</f>
        <v>59.954808934834787</v>
      </c>
      <c r="P34" s="174">
        <f>O34+O33+O32+O31</f>
        <v>188.92334071316611</v>
      </c>
      <c r="Q34" s="174">
        <f>K34/P34</f>
        <v>0.36095352091149141</v>
      </c>
      <c r="R34" s="174">
        <f>D34/P34</f>
        <v>0.63904647908850853</v>
      </c>
      <c r="S34" s="174"/>
      <c r="T34" s="174">
        <f>(P34/P30)-1</f>
        <v>0.26130862261902355</v>
      </c>
      <c r="U34" s="179">
        <f t="shared" si="24"/>
        <v>0.32657039737625881</v>
      </c>
      <c r="V34" s="176"/>
      <c r="W34" s="174">
        <f>USD!AJ35</f>
        <v>18.130035074764631</v>
      </c>
      <c r="X34" s="174">
        <f t="shared" si="25"/>
        <v>0.45362451720210473</v>
      </c>
      <c r="Y34" s="179">
        <f t="shared" si="18"/>
        <v>0.30239501045646339</v>
      </c>
      <c r="Z34" s="179">
        <f t="shared" si="21"/>
        <v>0.4802502122265993</v>
      </c>
      <c r="AA34" s="181"/>
      <c r="AB34" s="181"/>
      <c r="BA34" s="321" t="str">
        <f>USD!CA35</f>
        <v>4Q2005/06</v>
      </c>
      <c r="BB34" s="174">
        <f>USD!DM35</f>
        <v>4.4994221632495828</v>
      </c>
      <c r="BC34" s="179">
        <f t="shared" si="15"/>
        <v>-0.69209732531441825</v>
      </c>
      <c r="BD34" s="178">
        <f>BB34+BB33+BB32+BB31</f>
        <v>33.862433868451269</v>
      </c>
      <c r="BE34" s="179">
        <f>(BD34/BD30)-1</f>
        <v>2.100919507272792</v>
      </c>
      <c r="BF34" s="438">
        <f>BB34/USD!CP35</f>
        <v>6.447784026910519E-5</v>
      </c>
      <c r="BG34" s="438">
        <f>(BB34+BB33+BB32+BB31)/USD!CP35</f>
        <v>4.8525711144122908E-4</v>
      </c>
      <c r="BH34" s="179">
        <f t="shared" si="9"/>
        <v>0.24946604015378041</v>
      </c>
      <c r="BI34" s="179">
        <f>BD34/CD34</f>
        <v>0.46368831068396021</v>
      </c>
      <c r="BJ34" s="176"/>
      <c r="BK34" s="176"/>
      <c r="BL34" s="176"/>
      <c r="BM34" s="176"/>
      <c r="BN34" s="176"/>
      <c r="BO34" s="174">
        <f>USD!DO35</f>
        <v>13.536788939776571</v>
      </c>
      <c r="BP34" s="179">
        <f t="shared" si="3"/>
        <v>0.32748603662903997</v>
      </c>
      <c r="BQ34" s="174">
        <f>BO34+BO33+BO32+BO31</f>
        <v>39.166005900717636</v>
      </c>
      <c r="BR34" s="174">
        <f>(BQ34/BQ30)-1</f>
        <v>0.65997693373553057</v>
      </c>
      <c r="BS34" s="174">
        <f>BQ34/USD!CP35</f>
        <v>5.6125861962271319E-4</v>
      </c>
      <c r="BT34" s="174">
        <f t="shared" si="0"/>
        <v>13.536788939776571</v>
      </c>
      <c r="BU34" s="174">
        <f>BT34+BT33+BT32+BT31</f>
        <v>39.166005900717636</v>
      </c>
      <c r="BV34" s="179">
        <f t="shared" si="4"/>
        <v>0.32748603662903997</v>
      </c>
      <c r="BW34" s="176"/>
      <c r="BX34" s="179">
        <f t="shared" si="1"/>
        <v>0.75053395984621951</v>
      </c>
      <c r="BY34" s="179">
        <f t="shared" si="2"/>
        <v>0.75053395984621951</v>
      </c>
      <c r="BZ34" s="179"/>
      <c r="CA34" s="179">
        <f>BQ34/CD34</f>
        <v>0.53631168931603967</v>
      </c>
      <c r="CB34" s="179"/>
      <c r="CC34" s="174">
        <f>USD!DP35</f>
        <v>18.036211103026154</v>
      </c>
      <c r="CD34" s="174">
        <f>CC34+CC33+CC32+CC31</f>
        <v>73.028439769168912</v>
      </c>
      <c r="CE34" s="174">
        <f>CD34/USD!CP35</f>
        <v>1.0465157310639425E-3</v>
      </c>
      <c r="CF34" s="174">
        <f>(CD34/CD30)-1</f>
        <v>1.1158811346956341</v>
      </c>
      <c r="CG34" s="174">
        <f t="shared" si="5"/>
        <v>-0.27303953442708273</v>
      </c>
      <c r="CH34" s="183">
        <f>USD!DQ35</f>
        <v>2.61481062045749E-4</v>
      </c>
      <c r="CI34" s="179">
        <f>BO34/USD!CP35</f>
        <v>1.9398555711098943E-4</v>
      </c>
    </row>
    <row r="35" spans="1:87">
      <c r="A35" s="321" t="str">
        <f>USD!AE36</f>
        <v>1Q2006</v>
      </c>
      <c r="B35" s="174">
        <f>USD!AF36</f>
        <v>37.73040675925855</v>
      </c>
      <c r="C35" s="179">
        <f t="shared" si="23"/>
        <v>-5.5152795863666615E-4</v>
      </c>
      <c r="D35" s="178"/>
      <c r="E35" s="179"/>
      <c r="F35" s="179">
        <f t="shared" si="16"/>
        <v>0.64219043790603891</v>
      </c>
      <c r="G35" s="178">
        <v>0</v>
      </c>
      <c r="H35" s="178">
        <v>0</v>
      </c>
      <c r="I35" s="174">
        <f>USD!AG36</f>
        <v>21.022269288495085</v>
      </c>
      <c r="J35" s="180">
        <f t="shared" si="20"/>
        <v>-5.3203670734689568E-2</v>
      </c>
      <c r="K35" s="174"/>
      <c r="L35" s="179"/>
      <c r="M35" s="179">
        <f t="shared" si="17"/>
        <v>0.35780956209396109</v>
      </c>
      <c r="N35" s="174"/>
      <c r="O35" s="174">
        <f>USD!AH36</f>
        <v>58.752676047753638</v>
      </c>
      <c r="P35" s="174"/>
      <c r="Q35" s="174"/>
      <c r="R35" s="174"/>
      <c r="S35" s="174"/>
      <c r="T35" s="174"/>
      <c r="U35" s="179">
        <f t="shared" si="24"/>
        <v>-2.005064995516459E-2</v>
      </c>
      <c r="V35" s="176"/>
      <c r="W35" s="174">
        <f>USD!AJ36</f>
        <v>20.022703551048703</v>
      </c>
      <c r="X35" s="174">
        <f t="shared" si="25"/>
        <v>0.10439408795841199</v>
      </c>
      <c r="Y35" s="179">
        <f t="shared" si="18"/>
        <v>0.34079645214414461</v>
      </c>
      <c r="Z35" s="179">
        <f t="shared" si="21"/>
        <v>0.53067817897657288</v>
      </c>
      <c r="AA35" s="181"/>
      <c r="AB35" s="181"/>
      <c r="BA35" s="321" t="str">
        <f>USD!CA36</f>
        <v>1Q2006/06</v>
      </c>
      <c r="BB35" s="174">
        <f>USD!DM36</f>
        <v>4.8731356077490124</v>
      </c>
      <c r="BC35" s="179">
        <f t="shared" si="15"/>
        <v>8.3058097449012269E-2</v>
      </c>
      <c r="BD35" s="178"/>
      <c r="BE35" s="179"/>
      <c r="BF35" s="438">
        <f>BB35/USD!CP36</f>
        <v>6.313299573560766E-5</v>
      </c>
      <c r="BG35" s="438"/>
      <c r="BH35" s="179">
        <f t="shared" si="9"/>
        <v>0.26054078826764437</v>
      </c>
      <c r="BI35" s="179"/>
      <c r="BJ35" s="176"/>
      <c r="BK35" s="176"/>
      <c r="BL35" s="176"/>
      <c r="BM35" s="176"/>
      <c r="BN35" s="176"/>
      <c r="BO35" s="174">
        <f>USD!DO36</f>
        <v>13.830790330876047</v>
      </c>
      <c r="BP35" s="179">
        <f t="shared" si="3"/>
        <v>2.1718695061838655E-2</v>
      </c>
      <c r="BQ35" s="174"/>
      <c r="BR35" s="174"/>
      <c r="BS35" s="174"/>
      <c r="BT35" s="174">
        <f t="shared" si="0"/>
        <v>13.830790330876047</v>
      </c>
      <c r="BU35" s="174"/>
      <c r="BV35" s="179">
        <f>(BT35/BT34)-1</f>
        <v>2.1718695061838655E-2</v>
      </c>
      <c r="BW35" s="176"/>
      <c r="BX35" s="179">
        <f t="shared" si="1"/>
        <v>0.73945921173235574</v>
      </c>
      <c r="BY35" s="179">
        <f t="shared" si="2"/>
        <v>0.73945921173235574</v>
      </c>
      <c r="BZ35" s="179"/>
      <c r="CA35" s="179"/>
      <c r="CB35" s="179"/>
      <c r="CC35" s="174">
        <f>USD!DP36</f>
        <v>18.703925938625058</v>
      </c>
      <c r="CD35" s="174"/>
      <c r="CE35" s="174"/>
      <c r="CF35" s="174"/>
      <c r="CG35" s="174">
        <f t="shared" si="5"/>
        <v>3.7020792880765985E-2</v>
      </c>
      <c r="CH35" s="183">
        <f>USD!DQ36</f>
        <v>2.4646455518908411E-4</v>
      </c>
      <c r="CI35" s="179">
        <f>BO35/USD!CP36</f>
        <v>1.7918221393034824E-4</v>
      </c>
    </row>
    <row r="36" spans="1:87">
      <c r="A36" s="321" t="str">
        <f>USD!AE37</f>
        <v>2Q2006</v>
      </c>
      <c r="B36" s="174">
        <f>USD!AF37</f>
        <v>36.61797319448462</v>
      </c>
      <c r="C36" s="179">
        <f t="shared" si="23"/>
        <v>-2.948374163766343E-2</v>
      </c>
      <c r="D36" s="178"/>
      <c r="E36" s="179"/>
      <c r="F36" s="179">
        <f t="shared" si="16"/>
        <v>0.66878481740855744</v>
      </c>
      <c r="G36" s="178">
        <v>0</v>
      </c>
      <c r="H36" s="178">
        <v>0</v>
      </c>
      <c r="I36" s="174">
        <f>USD!AG37</f>
        <v>18.135023944974776</v>
      </c>
      <c r="J36" s="180">
        <f t="shared" si="20"/>
        <v>-0.13734222998943413</v>
      </c>
      <c r="K36" s="174"/>
      <c r="L36" s="179"/>
      <c r="M36" s="179">
        <f t="shared" si="17"/>
        <v>0.33121518259144256</v>
      </c>
      <c r="N36" s="174"/>
      <c r="O36" s="174">
        <f>USD!AH37</f>
        <v>54.752997139459396</v>
      </c>
      <c r="P36" s="174"/>
      <c r="Q36" s="174"/>
      <c r="R36" s="174"/>
      <c r="S36" s="174"/>
      <c r="T36" s="174"/>
      <c r="U36" s="179">
        <f t="shared" si="24"/>
        <v>-6.8076540122927187E-2</v>
      </c>
      <c r="V36" s="176"/>
      <c r="W36" s="174">
        <f>USD!AJ37</f>
        <v>15.092405103975826</v>
      </c>
      <c r="X36" s="174">
        <f t="shared" si="25"/>
        <v>-0.24623540145329925</v>
      </c>
      <c r="Y36" s="179">
        <f t="shared" si="18"/>
        <v>0.27564527774679626</v>
      </c>
      <c r="Z36" s="179">
        <f t="shared" si="21"/>
        <v>0.4121583962011594</v>
      </c>
      <c r="AA36" s="181"/>
      <c r="AB36" s="181"/>
      <c r="BA36" s="321" t="str">
        <f>USD!CA37</f>
        <v>2Q2006/07</v>
      </c>
      <c r="BB36" s="174">
        <f>USD!DM37</f>
        <v>6.294397985792644</v>
      </c>
      <c r="BC36" s="179">
        <f t="shared" si="15"/>
        <v>0.29165254005729135</v>
      </c>
      <c r="BD36" s="178"/>
      <c r="BE36" s="179"/>
      <c r="BF36" s="438">
        <f>BB36/USD!CP37</f>
        <v>7.405291609804607E-5</v>
      </c>
      <c r="BG36" s="438"/>
      <c r="BH36" s="179">
        <f t="shared" si="9"/>
        <v>0.27999999999999997</v>
      </c>
      <c r="BI36" s="179"/>
      <c r="BJ36" s="176"/>
      <c r="BK36" s="176"/>
      <c r="BL36" s="176"/>
      <c r="BM36" s="176"/>
      <c r="BN36" s="176"/>
      <c r="BO36" s="174">
        <f>USD!DO37</f>
        <v>16.185594820609655</v>
      </c>
      <c r="BP36" s="179">
        <f t="shared" si="3"/>
        <v>0.17025812939096552</v>
      </c>
      <c r="BQ36" s="174"/>
      <c r="BR36" s="174"/>
      <c r="BS36" s="174"/>
      <c r="BT36" s="174">
        <f t="shared" si="0"/>
        <v>16.185594820609655</v>
      </c>
      <c r="BU36" s="174"/>
      <c r="BV36" s="179">
        <f t="shared" si="4"/>
        <v>0.17025812939096552</v>
      </c>
      <c r="BW36" s="176"/>
      <c r="BX36" s="179">
        <f t="shared" si="1"/>
        <v>0.72</v>
      </c>
      <c r="BY36" s="179">
        <f t="shared" si="2"/>
        <v>0.72</v>
      </c>
      <c r="BZ36" s="179"/>
      <c r="CA36" s="179"/>
      <c r="CB36" s="179"/>
      <c r="CC36" s="174">
        <f>USD!DP37</f>
        <v>22.479992806402301</v>
      </c>
      <c r="CD36" s="174"/>
      <c r="CE36" s="174"/>
      <c r="CF36" s="174"/>
      <c r="CG36" s="174">
        <f t="shared" si="5"/>
        <v>0.20188632483725621</v>
      </c>
      <c r="CH36" s="183">
        <f>USD!DQ37</f>
        <v>2.7209403569873749E-4</v>
      </c>
      <c r="CI36" s="179">
        <f>BO36/USD!CP37</f>
        <v>1.9042178425211843E-4</v>
      </c>
    </row>
    <row r="37" spans="1:87">
      <c r="A37" s="321" t="str">
        <f>USD!AE38</f>
        <v>3Q2006</v>
      </c>
      <c r="B37" s="174">
        <f>USD!AF38</f>
        <v>35.045293120508084</v>
      </c>
      <c r="C37" s="179">
        <f t="shared" si="23"/>
        <v>-4.2948310263480449E-2</v>
      </c>
      <c r="D37" s="178"/>
      <c r="E37" s="179"/>
      <c r="F37" s="179">
        <f t="shared" si="16"/>
        <v>0.59905388254297953</v>
      </c>
      <c r="G37" s="178">
        <v>0</v>
      </c>
      <c r="H37" s="178">
        <v>0</v>
      </c>
      <c r="I37" s="174">
        <f>USD!AG38</f>
        <v>23.455776886318453</v>
      </c>
      <c r="J37" s="180">
        <f t="shared" si="20"/>
        <v>0.29339652142108474</v>
      </c>
      <c r="K37" s="174"/>
      <c r="L37" s="179"/>
      <c r="M37" s="179">
        <f t="shared" si="17"/>
        <v>0.40094611745702052</v>
      </c>
      <c r="N37" s="174"/>
      <c r="O37" s="174">
        <f>USD!AH38</f>
        <v>58.501070006826538</v>
      </c>
      <c r="P37" s="174"/>
      <c r="Q37" s="174"/>
      <c r="R37" s="174"/>
      <c r="S37" s="174"/>
      <c r="T37" s="174"/>
      <c r="U37" s="179">
        <f t="shared" si="24"/>
        <v>6.8454204576610778E-2</v>
      </c>
      <c r="V37" s="176"/>
      <c r="W37" s="174">
        <f>USD!AJ38</f>
        <v>13.888918717832683</v>
      </c>
      <c r="X37" s="174">
        <f t="shared" si="25"/>
        <v>-7.9741192861706778E-2</v>
      </c>
      <c r="Y37" s="179">
        <f t="shared" si="18"/>
        <v>0.2374130715252212</v>
      </c>
      <c r="Z37" s="179">
        <f t="shared" si="21"/>
        <v>0.39631338422748286</v>
      </c>
      <c r="AA37" s="181"/>
      <c r="AB37" s="181"/>
      <c r="BA37" s="321" t="str">
        <f>USD!CA38</f>
        <v>3Q2006/07</v>
      </c>
      <c r="BB37" s="176">
        <v>0</v>
      </c>
      <c r="BC37" s="178">
        <v>0</v>
      </c>
      <c r="BD37" s="178"/>
      <c r="BE37" s="178"/>
      <c r="BF37" s="438">
        <f>BB37/USD!CP38</f>
        <v>0</v>
      </c>
      <c r="BG37" s="438"/>
      <c r="BH37" s="179">
        <f t="shared" si="9"/>
        <v>0</v>
      </c>
      <c r="BI37" s="179"/>
      <c r="BJ37" s="176"/>
      <c r="BK37" s="176"/>
      <c r="BL37" s="176"/>
      <c r="BM37" s="176"/>
      <c r="BN37" s="176"/>
      <c r="BO37" s="174">
        <f>USD!DO38</f>
        <v>15.237753775825752</v>
      </c>
      <c r="BP37" s="179">
        <f t="shared" si="3"/>
        <v>-5.8560779216898839E-2</v>
      </c>
      <c r="BQ37" s="174"/>
      <c r="BR37" s="174"/>
      <c r="BS37" s="174"/>
      <c r="BT37" s="174">
        <f t="shared" si="0"/>
        <v>15.237753775825752</v>
      </c>
      <c r="BU37" s="174"/>
      <c r="BV37" s="179">
        <f t="shared" si="4"/>
        <v>-5.8560779216898839E-2</v>
      </c>
      <c r="BW37" s="176"/>
      <c r="BX37" s="179">
        <f t="shared" si="1"/>
        <v>1</v>
      </c>
      <c r="BY37" s="179">
        <f t="shared" si="2"/>
        <v>1</v>
      </c>
      <c r="BZ37" s="179"/>
      <c r="CA37" s="179"/>
      <c r="CB37" s="179"/>
      <c r="CC37" s="174">
        <f>USD!DP38</f>
        <v>15.237753775825752</v>
      </c>
      <c r="CD37" s="174"/>
      <c r="CE37" s="174"/>
      <c r="CF37" s="174"/>
      <c r="CG37" s="174">
        <f t="shared" si="5"/>
        <v>-0.32216376103616717</v>
      </c>
      <c r="CH37" s="183">
        <f>USD!DQ38</f>
        <v>1.724645179616723E-4</v>
      </c>
      <c r="CI37" s="179">
        <f>BO37/USD!CP38</f>
        <v>1.6739862536187643E-4</v>
      </c>
    </row>
    <row r="38" spans="1:87">
      <c r="A38" s="321" t="str">
        <f>USD!AE39</f>
        <v>4Q2006</v>
      </c>
      <c r="B38" s="174">
        <f>USD!AF39</f>
        <v>38.234117902141691</v>
      </c>
      <c r="C38" s="179">
        <f t="shared" si="23"/>
        <v>9.0991528325027549E-2</v>
      </c>
      <c r="D38" s="178">
        <f>B38+B37+B36+B35</f>
        <v>147.62779097639296</v>
      </c>
      <c r="E38" s="179">
        <f>(D38/D34)-1</f>
        <v>0.22278487539131775</v>
      </c>
      <c r="F38" s="179">
        <f t="shared" si="16"/>
        <v>0.56957364341085259</v>
      </c>
      <c r="G38" s="178">
        <v>0</v>
      </c>
      <c r="H38" s="178">
        <v>0</v>
      </c>
      <c r="I38" s="174">
        <f>USD!AG39</f>
        <v>28.89349297742659</v>
      </c>
      <c r="J38" s="180">
        <f t="shared" si="20"/>
        <v>0.2318284368692094</v>
      </c>
      <c r="K38" s="174">
        <f>I38+I37+I36+I35</f>
        <v>91.506563097214908</v>
      </c>
      <c r="L38" s="179">
        <f>(K38/K34)-1</f>
        <v>0.34188514419087102</v>
      </c>
      <c r="M38" s="179">
        <f t="shared" si="17"/>
        <v>0.43042635658914746</v>
      </c>
      <c r="N38" s="183"/>
      <c r="O38" s="174">
        <f>USD!AH39</f>
        <v>67.12761087956828</v>
      </c>
      <c r="P38" s="174">
        <f>O38+O37+O36+O35</f>
        <v>239.13435407360788</v>
      </c>
      <c r="Q38" s="174">
        <f>K38/P38</f>
        <v>0.38265753764951854</v>
      </c>
      <c r="R38" s="174">
        <f>D38/P38</f>
        <v>0.6173424623504814</v>
      </c>
      <c r="S38" s="174"/>
      <c r="T38" s="174">
        <f>(P38/P34)-1</f>
        <v>0.26577453675602158</v>
      </c>
      <c r="U38" s="179">
        <f t="shared" si="24"/>
        <v>0.14745954000046679</v>
      </c>
      <c r="V38" s="176"/>
      <c r="W38" s="174">
        <f>USD!AJ39</f>
        <v>11.557172340135061</v>
      </c>
      <c r="X38" s="174">
        <f t="shared" si="25"/>
        <v>-0.16788537862949515</v>
      </c>
      <c r="Y38" s="179">
        <f t="shared" si="18"/>
        <v>0.17216719303282596</v>
      </c>
      <c r="Z38" s="179">
        <f t="shared" si="21"/>
        <v>0.30227380607328419</v>
      </c>
      <c r="AA38" s="181"/>
      <c r="AB38" s="181"/>
      <c r="BA38" s="321" t="str">
        <f>USD!CA39</f>
        <v>4Q2006/07</v>
      </c>
      <c r="BB38" s="174">
        <f>USD!DM39</f>
        <v>5.1559680329981949</v>
      </c>
      <c r="BC38" s="178">
        <v>0</v>
      </c>
      <c r="BD38" s="178">
        <f>BB38+BB37+BB36+BB35</f>
        <v>16.323501626539851</v>
      </c>
      <c r="BE38" s="179">
        <f>(BD38/BD34)-1</f>
        <v>-0.51794659267690668</v>
      </c>
      <c r="BF38" s="438">
        <f>BB38/USD!CP39</f>
        <v>5.457423004857107E-5</v>
      </c>
      <c r="BG38" s="438">
        <f>(BB38+BB37+BB36+BB35)/USD!CP39</f>
        <v>1.7277890926856369E-4</v>
      </c>
      <c r="BH38" s="179">
        <f t="shared" si="9"/>
        <v>0.17647058823529413</v>
      </c>
      <c r="BI38" s="179">
        <f>BD38/CD38</f>
        <v>0.19060866005842009</v>
      </c>
      <c r="BJ38" s="176"/>
      <c r="BK38" s="176"/>
      <c r="BL38" s="176"/>
      <c r="BM38" s="176"/>
      <c r="BN38" s="174"/>
      <c r="BO38" s="174">
        <f>USD!DO39</f>
        <v>24.061184153991576</v>
      </c>
      <c r="BP38" s="179">
        <f t="shared" si="3"/>
        <v>0.57905059420004124</v>
      </c>
      <c r="BQ38" s="174">
        <f>BO38+BO37+BO36+BO35</f>
        <v>69.315323081303021</v>
      </c>
      <c r="BR38" s="174">
        <f>(BQ38/BQ34)-1</f>
        <v>0.76978278706823566</v>
      </c>
      <c r="BS38" s="174">
        <f>BQ38/USD!CP39</f>
        <v>7.3367995370024507E-4</v>
      </c>
      <c r="BT38" s="174">
        <f t="shared" ref="BT38:BT69" si="27">BO38+BJ38</f>
        <v>24.061184153991576</v>
      </c>
      <c r="BU38" s="174">
        <f>BT38+BT37+BT36+BT35</f>
        <v>69.315323081303021</v>
      </c>
      <c r="BV38" s="179">
        <f t="shared" si="4"/>
        <v>0.57905059420004124</v>
      </c>
      <c r="BW38" s="176"/>
      <c r="BX38" s="179">
        <f t="shared" ref="BX38:BX69" si="28">BT38/CC38</f>
        <v>0.82352941176470584</v>
      </c>
      <c r="BY38" s="179">
        <f t="shared" ref="BY38:BY69" si="29">BO38/CC38</f>
        <v>0.82352941176470584</v>
      </c>
      <c r="BZ38" s="179"/>
      <c r="CA38" s="179">
        <f>BQ38/CD38</f>
        <v>0.80939133994157975</v>
      </c>
      <c r="CB38" s="179"/>
      <c r="CC38" s="174">
        <f>USD!DP39</f>
        <v>29.217152186989772</v>
      </c>
      <c r="CD38" s="174">
        <f>CC38+CC37+CC36+CC35</f>
        <v>85.638824707842886</v>
      </c>
      <c r="CE38" s="174">
        <f>CD38/USD!CP39</f>
        <v>9.0645886296880889E-4</v>
      </c>
      <c r="CF38" s="174">
        <f>(CD38/CD34)-1</f>
        <v>0.17267772635610679</v>
      </c>
      <c r="CG38" s="174">
        <f t="shared" si="5"/>
        <v>0.9174185786714788</v>
      </c>
      <c r="CH38" s="183">
        <f>USD!DQ39</f>
        <v>3.1409936625833754E-4</v>
      </c>
      <c r="CI38" s="179">
        <f>BO38/USD!CP39</f>
        <v>2.5467974022666496E-4</v>
      </c>
    </row>
    <row r="39" spans="1:87">
      <c r="A39" s="321" t="str">
        <f>USD!AE40</f>
        <v>1Q2007</v>
      </c>
      <c r="B39" s="174">
        <f>USD!AF40</f>
        <v>33.859700856801162</v>
      </c>
      <c r="C39" s="179">
        <f t="shared" si="23"/>
        <v>-0.11441135000254565</v>
      </c>
      <c r="D39" s="178"/>
      <c r="E39" s="179"/>
      <c r="F39" s="179">
        <f t="shared" si="16"/>
        <v>0.53521108524461958</v>
      </c>
      <c r="G39" s="174"/>
      <c r="H39" s="183"/>
      <c r="I39" s="174">
        <f>USD!AG40</f>
        <v>29.404498615684535</v>
      </c>
      <c r="J39" s="180">
        <f t="shared" si="20"/>
        <v>1.7685838076316074E-2</v>
      </c>
      <c r="K39" s="174"/>
      <c r="L39" s="179"/>
      <c r="M39" s="179">
        <f t="shared" si="17"/>
        <v>0.46478891475538037</v>
      </c>
      <c r="N39" s="174"/>
      <c r="O39" s="174">
        <f>USD!AH40</f>
        <v>63.2641994724857</v>
      </c>
      <c r="P39" s="174"/>
      <c r="Q39" s="174"/>
      <c r="R39" s="174"/>
      <c r="S39" s="174"/>
      <c r="T39" s="174"/>
      <c r="U39" s="179">
        <f t="shared" si="24"/>
        <v>-5.755323862208972E-2</v>
      </c>
      <c r="V39" s="183">
        <f>USD!AI40</f>
        <v>2.0586969953667841E-4</v>
      </c>
      <c r="W39" s="174">
        <f>USD!AJ40</f>
        <v>7.0288822267000866</v>
      </c>
      <c r="X39" s="174">
        <f t="shared" si="25"/>
        <v>-0.39181643919156572</v>
      </c>
      <c r="Y39" s="179">
        <f t="shared" si="18"/>
        <v>0.1111036302570623</v>
      </c>
      <c r="Z39" s="179">
        <f t="shared" si="21"/>
        <v>0.20758843252710674</v>
      </c>
      <c r="AA39" s="183">
        <f>I39/USD!L40</f>
        <v>6.8075913321241933E-5</v>
      </c>
      <c r="AB39" s="183"/>
      <c r="BA39" s="321" t="str">
        <f>USD!CA40</f>
        <v>1Q2007/07</v>
      </c>
      <c r="BB39" s="174">
        <f>USD!DM40</f>
        <v>10.401768300611103</v>
      </c>
      <c r="BC39" s="179">
        <f t="shared" si="15"/>
        <v>1.0174229619035238</v>
      </c>
      <c r="BD39" s="178"/>
      <c r="BE39" s="179"/>
      <c r="BF39" s="438">
        <f>BB39/USD!CP40</f>
        <v>1.0003417834426762E-4</v>
      </c>
      <c r="BG39" s="438"/>
      <c r="BH39" s="179">
        <f t="shared" si="9"/>
        <v>0.19047619047619047</v>
      </c>
      <c r="BI39" s="179"/>
      <c r="BJ39" s="176"/>
      <c r="BK39" s="176"/>
      <c r="BL39" s="176"/>
      <c r="BM39" s="176"/>
      <c r="BN39" s="176"/>
      <c r="BO39" s="174">
        <f>USD!DO40</f>
        <v>44.207515277597189</v>
      </c>
      <c r="BP39" s="179">
        <f t="shared" si="3"/>
        <v>0.83729591173356632</v>
      </c>
      <c r="BQ39" s="174"/>
      <c r="BR39" s="174"/>
      <c r="BS39" s="174"/>
      <c r="BT39" s="174">
        <f t="shared" si="27"/>
        <v>44.207515277597189</v>
      </c>
      <c r="BU39" s="174"/>
      <c r="BV39" s="179">
        <f t="shared" si="4"/>
        <v>0.83729591173356632</v>
      </c>
      <c r="BW39" s="178"/>
      <c r="BX39" s="179">
        <f t="shared" si="28"/>
        <v>0.80952380952380953</v>
      </c>
      <c r="BY39" s="179">
        <f t="shared" si="29"/>
        <v>0.80952380952380953</v>
      </c>
      <c r="BZ39" s="179"/>
      <c r="CA39" s="179"/>
      <c r="CB39" s="179"/>
      <c r="CC39" s="174">
        <f>USD!DP40</f>
        <v>54.609283578208291</v>
      </c>
      <c r="CD39" s="174"/>
      <c r="CE39" s="174"/>
      <c r="CF39" s="174"/>
      <c r="CG39" s="174">
        <f t="shared" si="5"/>
        <v>0.86908303823414679</v>
      </c>
      <c r="CH39" s="183">
        <f>USD!DQ40</f>
        <v>5.4340794410661145E-4</v>
      </c>
      <c r="CI39" s="179">
        <f>BO39/USD!CP40</f>
        <v>4.2514525796313738E-4</v>
      </c>
    </row>
    <row r="40" spans="1:87">
      <c r="A40" s="321" t="str">
        <f>USD!AE41</f>
        <v>2Q2007</v>
      </c>
      <c r="B40" s="174">
        <f>USD!AF41</f>
        <v>44.808384196669692</v>
      </c>
      <c r="C40" s="179">
        <f t="shared" si="23"/>
        <v>0.3233544025144377</v>
      </c>
      <c r="D40" s="178"/>
      <c r="E40" s="179"/>
      <c r="F40" s="179">
        <f t="shared" si="16"/>
        <v>0.58518885405104226</v>
      </c>
      <c r="G40" s="183">
        <f>B40/USD!L41</f>
        <v>9.8993324363660056E-5</v>
      </c>
      <c r="H40" s="183"/>
      <c r="I40" s="174">
        <f>USD!AG41</f>
        <v>31.76242518645185</v>
      </c>
      <c r="J40" s="180">
        <f t="shared" si="20"/>
        <v>8.0189313940880469E-2</v>
      </c>
      <c r="K40" s="174"/>
      <c r="L40" s="179"/>
      <c r="M40" s="179">
        <f t="shared" si="17"/>
        <v>0.41481114594895768</v>
      </c>
      <c r="N40" s="174"/>
      <c r="O40" s="174">
        <f>USD!AH41</f>
        <v>76.570809383121542</v>
      </c>
      <c r="P40" s="174"/>
      <c r="Q40" s="174"/>
      <c r="R40" s="174"/>
      <c r="S40" s="174"/>
      <c r="T40" s="174"/>
      <c r="U40" s="179">
        <f t="shared" si="24"/>
        <v>0.21033396488993805</v>
      </c>
      <c r="V40" s="183">
        <f>USD!AI41</f>
        <v>2.3327826175317443E-4</v>
      </c>
      <c r="W40" s="174">
        <f>USD!AJ41</f>
        <v>15.468267203941517</v>
      </c>
      <c r="X40" s="174">
        <f t="shared" si="25"/>
        <v>1.2006724120633825</v>
      </c>
      <c r="Y40" s="179">
        <f t="shared" si="18"/>
        <v>0.20201258584777579</v>
      </c>
      <c r="Z40" s="179">
        <f t="shared" si="21"/>
        <v>0.3452092165620016</v>
      </c>
      <c r="AA40" s="183">
        <f>I40/USD!L41</f>
        <v>7.0171422501162314E-5</v>
      </c>
      <c r="AB40" s="183"/>
      <c r="BA40" s="321" t="str">
        <f>USD!CA41</f>
        <v>2Q2007/08</v>
      </c>
      <c r="BB40" s="174">
        <f>USD!DM41</f>
        <v>54.524089306697995</v>
      </c>
      <c r="BC40" s="179">
        <f t="shared" si="15"/>
        <v>4.2418096357226789</v>
      </c>
      <c r="BD40" s="178"/>
      <c r="BE40" s="179"/>
      <c r="BF40" s="438">
        <f>BB40/USD!CP41</f>
        <v>4.674478956785248E-4</v>
      </c>
      <c r="BG40" s="438"/>
      <c r="BH40" s="179">
        <f t="shared" si="9"/>
        <v>0.5420560747663552</v>
      </c>
      <c r="BI40" s="179"/>
      <c r="BJ40" s="174">
        <f>USD!DN41</f>
        <v>15.981198589894239</v>
      </c>
      <c r="BK40" s="174"/>
      <c r="BL40" s="174"/>
      <c r="BM40" s="174"/>
      <c r="BN40" s="174"/>
      <c r="BO40" s="174">
        <f>USD!DO41</f>
        <v>30.082256169212684</v>
      </c>
      <c r="BP40" s="179">
        <f t="shared" si="3"/>
        <v>-0.31952167000760368</v>
      </c>
      <c r="BQ40" s="174"/>
      <c r="BR40" s="174"/>
      <c r="BS40" s="174"/>
      <c r="BT40" s="174">
        <f t="shared" si="27"/>
        <v>46.063454759106925</v>
      </c>
      <c r="BU40" s="174"/>
      <c r="BV40" s="179">
        <f t="shared" si="4"/>
        <v>4.1982442800857056E-2</v>
      </c>
      <c r="BW40" s="179">
        <f t="shared" ref="BW40:BW78" si="30">BJ40/CC40</f>
        <v>0.15887850467289719</v>
      </c>
      <c r="BX40" s="179">
        <f t="shared" si="28"/>
        <v>0.45794392523364486</v>
      </c>
      <c r="BY40" s="179">
        <f t="shared" si="29"/>
        <v>0.29906542056074764</v>
      </c>
      <c r="BZ40" s="179"/>
      <c r="CA40" s="179"/>
      <c r="CB40" s="179"/>
      <c r="CC40" s="174">
        <f>USD!DP41</f>
        <v>100.58754406580492</v>
      </c>
      <c r="CD40" s="174"/>
      <c r="CE40" s="174"/>
      <c r="CF40" s="174"/>
      <c r="CG40" s="174">
        <f t="shared" si="5"/>
        <v>0.8419495271669184</v>
      </c>
      <c r="CH40" s="183">
        <f>USD!DQ41</f>
        <v>8.882100492250991E-4</v>
      </c>
      <c r="CI40" s="179">
        <f>BO40/USD!CP41</f>
        <v>2.579022872709102E-4</v>
      </c>
    </row>
    <row r="41" spans="1:87">
      <c r="A41" s="321" t="str">
        <f>USD!AE42</f>
        <v>3Q2007</v>
      </c>
      <c r="B41" s="174">
        <f>USD!AF42</f>
        <v>45.600627045967997</v>
      </c>
      <c r="C41" s="179">
        <f t="shared" si="23"/>
        <v>1.7680683280634435E-2</v>
      </c>
      <c r="D41" s="178"/>
      <c r="E41" s="179"/>
      <c r="F41" s="179">
        <f t="shared" si="16"/>
        <v>0.51389604775285558</v>
      </c>
      <c r="G41" s="183">
        <f>B41/USD!L42</f>
        <v>9.1139735085911841E-5</v>
      </c>
      <c r="H41" s="183"/>
      <c r="I41" s="174">
        <f>USD!AG42</f>
        <v>43.134492138872247</v>
      </c>
      <c r="J41" s="180">
        <f t="shared" si="20"/>
        <v>0.35803522198522519</v>
      </c>
      <c r="K41" s="174"/>
      <c r="L41" s="179"/>
      <c r="M41" s="179">
        <f t="shared" si="17"/>
        <v>0.48610395224714437</v>
      </c>
      <c r="N41" s="174"/>
      <c r="O41" s="174">
        <f>USD!AH42</f>
        <v>88.735119184840244</v>
      </c>
      <c r="P41" s="174"/>
      <c r="Q41" s="174"/>
      <c r="R41" s="174"/>
      <c r="S41" s="174"/>
      <c r="T41" s="174"/>
      <c r="U41" s="179">
        <f t="shared" si="24"/>
        <v>0.15886353950961474</v>
      </c>
      <c r="V41" s="183">
        <f>USD!AI42</f>
        <v>2.4917024213031173E-4</v>
      </c>
      <c r="W41" s="174">
        <f>USD!AJ42</f>
        <v>11.826824657660568</v>
      </c>
      <c r="X41" s="174">
        <f t="shared" si="25"/>
        <v>-0.23541373434207691</v>
      </c>
      <c r="Y41" s="179">
        <f t="shared" si="18"/>
        <v>0.13328234374740205</v>
      </c>
      <c r="Z41" s="179">
        <f t="shared" si="21"/>
        <v>0.25935662344595534</v>
      </c>
      <c r="AA41" s="183">
        <f>I41/USD!L42</f>
        <v>8.6210792291062716E-5</v>
      </c>
      <c r="AB41" s="183"/>
      <c r="BA41" s="321" t="str">
        <f>USD!CA42</f>
        <v>3Q2007/08</v>
      </c>
      <c r="BB41" s="174">
        <f>USD!DM42</f>
        <v>53.33601690651102</v>
      </c>
      <c r="BC41" s="179">
        <f t="shared" si="15"/>
        <v>-2.178986233963609E-2</v>
      </c>
      <c r="BD41" s="178"/>
      <c r="BE41" s="179"/>
      <c r="BF41" s="438">
        <f>BB41/USD!CP42</f>
        <v>4.3037645759573848E-4</v>
      </c>
      <c r="BG41" s="438"/>
      <c r="BH41" s="179">
        <f t="shared" si="9"/>
        <v>0.49532710280373826</v>
      </c>
      <c r="BI41" s="179"/>
      <c r="BJ41" s="174">
        <f>USD!DN42</f>
        <v>16.101439066116534</v>
      </c>
      <c r="BK41" s="174">
        <f>(BJ41/BJ40)-1</f>
        <v>7.5238709753804311E-3</v>
      </c>
      <c r="BL41" s="174"/>
      <c r="BM41" s="174"/>
      <c r="BN41" s="174"/>
      <c r="BO41" s="174">
        <f>USD!DO42</f>
        <v>38.24091778202677</v>
      </c>
      <c r="BP41" s="179">
        <f t="shared" si="3"/>
        <v>0.27121175908221828</v>
      </c>
      <c r="BQ41" s="174"/>
      <c r="BR41" s="174"/>
      <c r="BS41" s="174"/>
      <c r="BT41" s="174">
        <f t="shared" si="27"/>
        <v>54.342356848143304</v>
      </c>
      <c r="BU41" s="174"/>
      <c r="BV41" s="179">
        <f t="shared" si="4"/>
        <v>0.17972820606556028</v>
      </c>
      <c r="BW41" s="179">
        <f t="shared" si="30"/>
        <v>0.14953271028037382</v>
      </c>
      <c r="BX41" s="179">
        <f t="shared" si="28"/>
        <v>0.50467289719626163</v>
      </c>
      <c r="BY41" s="179">
        <f t="shared" si="29"/>
        <v>0.35514018691588783</v>
      </c>
      <c r="BZ41" s="179"/>
      <c r="CA41" s="179"/>
      <c r="CB41" s="179"/>
      <c r="CC41" s="174">
        <f>USD!DP42</f>
        <v>107.67837375465433</v>
      </c>
      <c r="CD41" s="174"/>
      <c r="CE41" s="174"/>
      <c r="CF41" s="174"/>
      <c r="CG41" s="174">
        <f t="shared" si="5"/>
        <v>7.0494112911341666E-2</v>
      </c>
      <c r="CH41" s="183">
        <f>USD!DQ42</f>
        <v>8.8243783761494379E-4</v>
      </c>
      <c r="CI41" s="179">
        <f>BO41/USD!CP42</f>
        <v>3.0857179978562385E-4</v>
      </c>
    </row>
    <row r="42" spans="1:87">
      <c r="A42" s="321" t="str">
        <f>USD!AE43</f>
        <v>4Q2007</v>
      </c>
      <c r="B42" s="174">
        <f>USD!AF43</f>
        <v>42.878900890448172</v>
      </c>
      <c r="C42" s="179">
        <f t="shared" si="23"/>
        <v>-5.9686156349915365E-2</v>
      </c>
      <c r="D42" s="178">
        <f>B42+B41+B40+B39</f>
        <v>167.14761298988702</v>
      </c>
      <c r="E42" s="179">
        <f>(D42/D38)-1</f>
        <v>0.13222322087455374</v>
      </c>
      <c r="F42" s="179">
        <f t="shared" si="16"/>
        <v>0.50209831229270263</v>
      </c>
      <c r="G42" s="183">
        <f>B42/USD!L43</f>
        <v>8.4159410776406778E-5</v>
      </c>
      <c r="H42" s="183">
        <f>(B39+B40+B41+B42)/USD!L43</f>
        <v>3.2806448695715942E-4</v>
      </c>
      <c r="I42" s="174">
        <f>USD!AG43</f>
        <v>42.520511616343015</v>
      </c>
      <c r="J42" s="180">
        <f t="shared" si="20"/>
        <v>-1.4234096475565616E-2</v>
      </c>
      <c r="K42" s="174">
        <f>I42+I41+I40+I39</f>
        <v>146.82192755735164</v>
      </c>
      <c r="L42" s="179">
        <f>(K42/K38)-1</f>
        <v>0.60449614309490229</v>
      </c>
      <c r="M42" s="179">
        <f t="shared" si="17"/>
        <v>0.49790168770729748</v>
      </c>
      <c r="N42" s="183">
        <f>K42/USD!L43</f>
        <v>2.8817079392619299E-4</v>
      </c>
      <c r="O42" s="174">
        <f>USD!AH43</f>
        <v>85.39941250679118</v>
      </c>
      <c r="P42" s="174">
        <f>O42+O41+O40+O39</f>
        <v>313.96954054723869</v>
      </c>
      <c r="Q42" s="174">
        <f>K42/P42</f>
        <v>0.46763111893416731</v>
      </c>
      <c r="R42" s="174">
        <f>D42/P42</f>
        <v>0.53236888106583258</v>
      </c>
      <c r="S42" s="174">
        <f>P42/USD!L43</f>
        <v>6.1623528088335252E-4</v>
      </c>
      <c r="T42" s="174">
        <f>(P42/P38)-1</f>
        <v>0.31294201438993507</v>
      </c>
      <c r="U42" s="179">
        <f t="shared" si="24"/>
        <v>-3.7591730407220192E-2</v>
      </c>
      <c r="V42" s="183">
        <f>USD!AI43</f>
        <v>2.2990398893381363E-4</v>
      </c>
      <c r="W42" s="174">
        <f>USD!AJ43</f>
        <v>12.918588911295895</v>
      </c>
      <c r="X42" s="174">
        <f t="shared" si="25"/>
        <v>9.2312542481820081E-2</v>
      </c>
      <c r="Y42" s="179">
        <f t="shared" si="18"/>
        <v>0.15127257357032259</v>
      </c>
      <c r="Z42" s="179">
        <f t="shared" si="21"/>
        <v>0.30128078479207654</v>
      </c>
      <c r="AA42" s="183">
        <f>I42/USD!L43</f>
        <v>8.3455991856823568E-5</v>
      </c>
      <c r="AB42" s="183"/>
      <c r="BA42" s="321" t="str">
        <f>USD!CA43</f>
        <v>4Q2007/08</v>
      </c>
      <c r="BB42" s="174">
        <f>USD!DM43</f>
        <v>41.542124727696432</v>
      </c>
      <c r="BC42" s="179">
        <f t="shared" si="15"/>
        <v>-0.22112435203939729</v>
      </c>
      <c r="BD42" s="178">
        <f>BB42+BB41+BB40+BB39</f>
        <v>159.80399924151655</v>
      </c>
      <c r="BE42" s="179">
        <f>(BD42/BD38)-1</f>
        <v>8.7898112119336211</v>
      </c>
      <c r="BF42" s="438">
        <f>BB42/USD!CP43</f>
        <v>3.3695491378885251E-4</v>
      </c>
      <c r="BG42" s="438">
        <f>(BB42+BB41+BB40+BB39)/USD!CP43</f>
        <v>1.2961961657112606E-3</v>
      </c>
      <c r="BH42" s="179">
        <f t="shared" si="9"/>
        <v>0.37272727272727274</v>
      </c>
      <c r="BI42" s="179">
        <f>BD42/CD42</f>
        <v>0.42690710025300532</v>
      </c>
      <c r="BJ42" s="174">
        <f>USD!DN43</f>
        <v>38.502457064694255</v>
      </c>
      <c r="BK42" s="174">
        <f t="shared" ref="BK42:BK78" si="31">(BJ42/BJ41)-1</f>
        <v>1.3912432240741675</v>
      </c>
      <c r="BL42" s="174">
        <f>BJ42+BJ41+BJ40</f>
        <v>70.58509472070503</v>
      </c>
      <c r="BM42" s="174"/>
      <c r="BN42" s="174">
        <f>BL42/USD!CP43</f>
        <v>5.7252715556304202E-4</v>
      </c>
      <c r="BO42" s="174">
        <f>USD!DO43</f>
        <v>31.40989918435584</v>
      </c>
      <c r="BP42" s="179">
        <f>(BO42/BO41)-1</f>
        <v>-0.17863113632909478</v>
      </c>
      <c r="BQ42" s="174">
        <f>BO42+BO41+BO40+BO39</f>
        <v>143.94058841319247</v>
      </c>
      <c r="BR42" s="174">
        <f>(BQ42/BQ38)-1</f>
        <v>1.0766056048582238</v>
      </c>
      <c r="BS42" s="174">
        <f>BQ42/USD!CP43</f>
        <v>1.1675254666776271E-3</v>
      </c>
      <c r="BT42" s="174">
        <f t="shared" si="27"/>
        <v>69.912356249050092</v>
      </c>
      <c r="BU42" s="174">
        <f>BT42+BT41+BT40+BT39</f>
        <v>214.5256831338975</v>
      </c>
      <c r="BV42" s="179">
        <f>(BT42/BT41)-1</f>
        <v>0.28651682230890874</v>
      </c>
      <c r="BW42" s="179">
        <f t="shared" si="30"/>
        <v>0.34545454545454546</v>
      </c>
      <c r="BX42" s="179">
        <f t="shared" si="28"/>
        <v>0.62727272727272732</v>
      </c>
      <c r="BY42" s="179">
        <f t="shared" si="29"/>
        <v>0.28181818181818186</v>
      </c>
      <c r="BZ42" s="179">
        <f>BL42/CD42</f>
        <v>0.18856397994620008</v>
      </c>
      <c r="CA42" s="179">
        <f>BQ42/CD42</f>
        <v>0.38452891980079446</v>
      </c>
      <c r="CB42" s="179"/>
      <c r="CC42" s="174">
        <f>USD!DP43</f>
        <v>111.45448097674652</v>
      </c>
      <c r="CD42" s="174">
        <f>CC42+CC41+CC40+CC39</f>
        <v>374.32968237541411</v>
      </c>
      <c r="CE42" s="174">
        <f>CD42/USD!CP43</f>
        <v>3.0362487879519303E-3</v>
      </c>
      <c r="CF42" s="174">
        <f>(CD42/CD38)-1</f>
        <v>3.3710277861990861</v>
      </c>
      <c r="CG42" s="174">
        <f>(CC42/CC41)-1</f>
        <v>3.5068390155074791E-2</v>
      </c>
      <c r="CH42" s="183">
        <f>USD!DQ43</f>
        <v>9.2098763364786449E-4</v>
      </c>
      <c r="CI42" s="179">
        <f>BO42/USD!CP43</f>
        <v>2.5477078847449823E-4</v>
      </c>
    </row>
    <row r="43" spans="1:87">
      <c r="A43" s="321" t="str">
        <f>USD!AE44</f>
        <v>1Q2008</v>
      </c>
      <c r="B43" s="174">
        <f>USD!AF44</f>
        <v>46.816549417031531</v>
      </c>
      <c r="C43" s="180">
        <f t="shared" si="23"/>
        <v>9.1831843746268182E-2</v>
      </c>
      <c r="D43" s="178"/>
      <c r="E43" s="179"/>
      <c r="F43" s="179">
        <f t="shared" si="16"/>
        <v>0.49705830735673867</v>
      </c>
      <c r="G43" s="183">
        <f>B43/USD!L44</f>
        <v>8.1659593689375695E-5</v>
      </c>
      <c r="H43" s="183"/>
      <c r="I43" s="174">
        <f>USD!AG44</f>
        <v>47.370689231071978</v>
      </c>
      <c r="J43" s="180">
        <f t="shared" si="20"/>
        <v>0.11406677460731141</v>
      </c>
      <c r="K43" s="174"/>
      <c r="L43" s="179"/>
      <c r="M43" s="179">
        <f t="shared" si="17"/>
        <v>0.50294169264326127</v>
      </c>
      <c r="N43" s="183"/>
      <c r="O43" s="174">
        <f>USD!AH44</f>
        <v>94.187238648103516</v>
      </c>
      <c r="P43" s="174"/>
      <c r="Q43" s="174"/>
      <c r="R43" s="174"/>
      <c r="S43" s="174"/>
      <c r="T43" s="174"/>
      <c r="U43" s="179">
        <f t="shared" si="24"/>
        <v>0.10290265334803683</v>
      </c>
      <c r="V43" s="183">
        <f>USD!AI44</f>
        <v>2.4603601334436802E-4</v>
      </c>
      <c r="W43" s="174">
        <f>USD!AJ44</f>
        <v>14.740788114330693</v>
      </c>
      <c r="X43" s="174">
        <f t="shared" si="25"/>
        <v>0.14105249540385034</v>
      </c>
      <c r="Y43" s="179">
        <f t="shared" si="18"/>
        <v>0.15650515214066638</v>
      </c>
      <c r="Z43" s="179">
        <f t="shared" si="21"/>
        <v>0.31486276322979279</v>
      </c>
      <c r="AA43" s="183">
        <f>I43/USD!L44</f>
        <v>8.2626150016681347E-5</v>
      </c>
      <c r="AB43" s="183"/>
      <c r="BA43" s="321" t="str">
        <f>USD!CA44</f>
        <v>1Q2008/08</v>
      </c>
      <c r="BB43" s="174">
        <f>USD!DM44</f>
        <v>78.943521270893228</v>
      </c>
      <c r="BC43" s="179">
        <f t="shared" si="15"/>
        <v>0.90032459312946544</v>
      </c>
      <c r="BD43" s="178"/>
      <c r="BE43" s="179"/>
      <c r="BF43" s="438">
        <f>BB43/USD!CP44</f>
        <v>6.1970667217517048E-4</v>
      </c>
      <c r="BG43" s="438"/>
      <c r="BH43" s="179">
        <f t="shared" si="9"/>
        <v>0.46022727272727276</v>
      </c>
      <c r="BI43" s="179"/>
      <c r="BJ43" s="174">
        <f>USD!DN44</f>
        <v>40.933677696018705</v>
      </c>
      <c r="BK43" s="174">
        <f t="shared" si="31"/>
        <v>6.3144557949622815E-2</v>
      </c>
      <c r="BL43" s="174"/>
      <c r="BM43" s="174"/>
      <c r="BN43" s="174"/>
      <c r="BO43" s="174">
        <f>USD!DO44</f>
        <v>51.654402806880746</v>
      </c>
      <c r="BP43" s="179">
        <f t="shared" si="3"/>
        <v>0.64452622097583734</v>
      </c>
      <c r="BQ43" s="174"/>
      <c r="BR43" s="174"/>
      <c r="BS43" s="174"/>
      <c r="BT43" s="174">
        <f t="shared" si="27"/>
        <v>92.588080502899459</v>
      </c>
      <c r="BU43" s="174"/>
      <c r="BV43" s="179">
        <f t="shared" si="4"/>
        <v>0.3243450152512557</v>
      </c>
      <c r="BW43" s="179">
        <f t="shared" si="30"/>
        <v>0.23863636363636362</v>
      </c>
      <c r="BX43" s="179">
        <f t="shared" si="28"/>
        <v>0.53977272727272729</v>
      </c>
      <c r="BY43" s="179">
        <f t="shared" si="29"/>
        <v>0.30113636363636359</v>
      </c>
      <c r="BZ43" s="179"/>
      <c r="CA43" s="179"/>
      <c r="CB43" s="179"/>
      <c r="CC43" s="174">
        <f>USD!DP44</f>
        <v>171.53160177379269</v>
      </c>
      <c r="CD43" s="174"/>
      <c r="CE43" s="174"/>
      <c r="CF43" s="174"/>
      <c r="CG43" s="174">
        <f t="shared" si="5"/>
        <v>0.5390283124604065</v>
      </c>
      <c r="CH43" s="183">
        <f>USD!DQ44</f>
        <v>1.4343577581640223E-3</v>
      </c>
      <c r="CI43" s="179">
        <f>BO43/USD!CP44</f>
        <v>4.0548708179362998E-4</v>
      </c>
    </row>
    <row r="44" spans="1:87">
      <c r="A44" s="321" t="str">
        <f>USD!AE45</f>
        <v>2Q2008</v>
      </c>
      <c r="B44" s="174">
        <f>USD!AF45</f>
        <v>33.840520668701949</v>
      </c>
      <c r="C44" s="180">
        <f t="shared" si="23"/>
        <v>-0.2771675595469878</v>
      </c>
      <c r="D44" s="178"/>
      <c r="E44" s="179"/>
      <c r="F44" s="179">
        <f t="shared" si="16"/>
        <v>0.3569808694787725</v>
      </c>
      <c r="G44" s="183">
        <f>B44/USD!L45</f>
        <v>6.0762291527861481E-5</v>
      </c>
      <c r="H44" s="183"/>
      <c r="I44" s="174">
        <f>USD!AG45</f>
        <v>60.955933600997348</v>
      </c>
      <c r="J44" s="180">
        <f t="shared" si="20"/>
        <v>0.28678587097724484</v>
      </c>
      <c r="K44" s="174"/>
      <c r="L44" s="179"/>
      <c r="M44" s="179">
        <f t="shared" si="17"/>
        <v>0.6430191305212275</v>
      </c>
      <c r="N44" s="183"/>
      <c r="O44" s="174">
        <f>USD!AH45</f>
        <v>94.796454269699296</v>
      </c>
      <c r="P44" s="174"/>
      <c r="Q44" s="174"/>
      <c r="R44" s="174"/>
      <c r="S44" s="174"/>
      <c r="T44" s="174"/>
      <c r="U44" s="179">
        <f t="shared" si="24"/>
        <v>6.4681333728435764E-3</v>
      </c>
      <c r="V44" s="183">
        <f>USD!AI45</f>
        <v>2.42560900071687E-4</v>
      </c>
      <c r="W44" s="174">
        <f>USD!AJ45</f>
        <v>28.878657884145316</v>
      </c>
      <c r="X44" s="174">
        <f t="shared" si="25"/>
        <v>0.95909863571473997</v>
      </c>
      <c r="Y44" s="179">
        <f t="shared" si="18"/>
        <v>0.30463858702968472</v>
      </c>
      <c r="Z44" s="179">
        <f t="shared" si="21"/>
        <v>0.8533751051547589</v>
      </c>
      <c r="AA44" s="183">
        <f>I44/USD!L45</f>
        <v>1.0944932686104676E-4</v>
      </c>
      <c r="AB44" s="183"/>
      <c r="BA44" s="321" t="str">
        <f>USD!CA45</f>
        <v>2Q2008/09</v>
      </c>
      <c r="BB44" s="174">
        <f>USD!DM45</f>
        <v>72.938741313883</v>
      </c>
      <c r="BC44" s="179">
        <f t="shared" si="15"/>
        <v>-7.6064252776424035E-2</v>
      </c>
      <c r="BD44" s="178"/>
      <c r="BE44" s="179"/>
      <c r="BF44" s="438">
        <f>BB44/USD!CP45</f>
        <v>5.4044974182569769E-4</v>
      </c>
      <c r="BG44" s="438"/>
      <c r="BH44" s="179">
        <f t="shared" ref="BH44:BH78" si="32">BB44/CC44</f>
        <v>0.53237410071942448</v>
      </c>
      <c r="BI44" s="179"/>
      <c r="BJ44" s="174">
        <f>USD!DN45</f>
        <v>18.727514661672661</v>
      </c>
      <c r="BK44" s="174">
        <f>(BJ44/BJ43)-1</f>
        <v>-0.54249127574739919</v>
      </c>
      <c r="BL44" s="174"/>
      <c r="BM44" s="174"/>
      <c r="BN44" s="174"/>
      <c r="BO44" s="174">
        <f>USD!DO45</f>
        <v>45.340298654575918</v>
      </c>
      <c r="BP44" s="179">
        <f t="shared" si="3"/>
        <v>-0.12223748236740317</v>
      </c>
      <c r="BQ44" s="174"/>
      <c r="BR44" s="174"/>
      <c r="BS44" s="174"/>
      <c r="BT44" s="174">
        <f t="shared" si="27"/>
        <v>64.067813316248575</v>
      </c>
      <c r="BU44" s="174"/>
      <c r="BV44" s="179">
        <f t="shared" si="4"/>
        <v>-0.30803389628276989</v>
      </c>
      <c r="BW44" s="179">
        <f t="shared" si="30"/>
        <v>0.1366906474820144</v>
      </c>
      <c r="BX44" s="179">
        <f t="shared" si="28"/>
        <v>0.46762589928057552</v>
      </c>
      <c r="BY44" s="179">
        <f t="shared" si="29"/>
        <v>0.33093525179856115</v>
      </c>
      <c r="BZ44" s="179"/>
      <c r="CA44" s="179"/>
      <c r="CB44" s="179"/>
      <c r="CC44" s="174">
        <f>USD!DP45</f>
        <v>137.00655463013157</v>
      </c>
      <c r="CD44" s="174"/>
      <c r="CE44" s="174"/>
      <c r="CF44" s="174"/>
      <c r="CG44" s="174">
        <f t="shared" si="5"/>
        <v>-0.20127513989632662</v>
      </c>
      <c r="CH44" s="183">
        <f>USD!DQ45</f>
        <v>1.0884630744774986E-3</v>
      </c>
      <c r="CI44" s="179">
        <f>BO44/USD!CP45</f>
        <v>3.359552449186769E-4</v>
      </c>
    </row>
    <row r="45" spans="1:87">
      <c r="A45" s="321" t="str">
        <f>USD!AE46</f>
        <v>3Q2008</v>
      </c>
      <c r="B45" s="174">
        <f>USD!AF46</f>
        <v>41.931566395480594</v>
      </c>
      <c r="C45" s="180">
        <f t="shared" si="23"/>
        <v>0.23909341720802191</v>
      </c>
      <c r="D45" s="178"/>
      <c r="E45" s="179"/>
      <c r="F45" s="179">
        <f t="shared" si="16"/>
        <v>0.60716017574709646</v>
      </c>
      <c r="G45" s="183">
        <f>B45/USD!L46</f>
        <v>8.2573889061904077E-5</v>
      </c>
      <c r="H45" s="183"/>
      <c r="I45" s="174">
        <f>USD!AG46</f>
        <v>27.130220049726848</v>
      </c>
      <c r="J45" s="180">
        <f t="shared" si="20"/>
        <v>-0.55492076903760279</v>
      </c>
      <c r="K45" s="174"/>
      <c r="L45" s="179"/>
      <c r="M45" s="179">
        <f t="shared" si="17"/>
        <v>0.39283982425290354</v>
      </c>
      <c r="N45" s="183"/>
      <c r="O45" s="174">
        <f>USD!AH46</f>
        <v>69.061786445207446</v>
      </c>
      <c r="P45" s="174"/>
      <c r="Q45" s="174"/>
      <c r="R45" s="174"/>
      <c r="S45" s="174"/>
      <c r="T45" s="174"/>
      <c r="U45" s="179">
        <f t="shared" si="24"/>
        <v>-0.27147289445315959</v>
      </c>
      <c r="V45" s="183">
        <f>USD!AI46</f>
        <v>1.9273003615629335E-4</v>
      </c>
      <c r="W45" s="174">
        <f>USD!AJ46</f>
        <v>6.3799198281548684</v>
      </c>
      <c r="X45" s="174">
        <f t="shared" si="25"/>
        <v>-0.77907838190577716</v>
      </c>
      <c r="Y45" s="179">
        <f t="shared" si="18"/>
        <v>9.2379884108798688E-2</v>
      </c>
      <c r="Z45" s="179">
        <f t="shared" si="21"/>
        <v>0.15215076317402965</v>
      </c>
      <c r="AA45" s="183">
        <f>I45/USD!L46</f>
        <v>5.3426284138353714E-5</v>
      </c>
      <c r="AB45" s="183"/>
      <c r="AW45" s="176"/>
      <c r="AX45" s="176"/>
      <c r="AY45" s="176"/>
      <c r="BA45" s="321" t="str">
        <f>USD!CA46</f>
        <v>3Q2008/09</v>
      </c>
      <c r="BB45" s="174">
        <f>USD!DM46</f>
        <v>93.115124153498854</v>
      </c>
      <c r="BC45" s="179">
        <f t="shared" si="15"/>
        <v>0.27662093526935494</v>
      </c>
      <c r="BD45" s="178"/>
      <c r="BE45" s="179"/>
      <c r="BF45" s="438">
        <f>BB45/USD!CP46</f>
        <v>7.6618270748846854E-4</v>
      </c>
      <c r="BG45" s="438"/>
      <c r="BH45" s="179">
        <f t="shared" si="32"/>
        <v>0.61490683229813659</v>
      </c>
      <c r="BI45" s="179"/>
      <c r="BJ45" s="174">
        <f>USD!DN46</f>
        <v>15.989465763732127</v>
      </c>
      <c r="BK45" s="174">
        <f t="shared" si="31"/>
        <v>-0.14620460575818783</v>
      </c>
      <c r="BL45" s="174"/>
      <c r="BM45" s="174"/>
      <c r="BN45" s="174"/>
      <c r="BO45" s="174">
        <f>USD!DO46</f>
        <v>42.325056433408569</v>
      </c>
      <c r="BP45" s="179">
        <f t="shared" si="3"/>
        <v>-6.6502478162724588E-2</v>
      </c>
      <c r="BQ45" s="174"/>
      <c r="BR45" s="174"/>
      <c r="BS45" s="174"/>
      <c r="BT45" s="174">
        <f t="shared" si="27"/>
        <v>58.314522197140697</v>
      </c>
      <c r="BU45" s="174"/>
      <c r="BV45" s="179">
        <f t="shared" si="4"/>
        <v>-8.9800023152167618E-2</v>
      </c>
      <c r="BW45" s="179">
        <f t="shared" si="30"/>
        <v>0.10559006211180125</v>
      </c>
      <c r="BX45" s="179">
        <f t="shared" si="28"/>
        <v>0.38509316770186336</v>
      </c>
      <c r="BY45" s="179">
        <f t="shared" si="29"/>
        <v>0.27950310559006208</v>
      </c>
      <c r="BZ45" s="179"/>
      <c r="CA45" s="179"/>
      <c r="CB45" s="179"/>
      <c r="CC45" s="174">
        <f>USD!DP46</f>
        <v>151.42964635063956</v>
      </c>
      <c r="CD45" s="174"/>
      <c r="CE45" s="174"/>
      <c r="CF45" s="174"/>
      <c r="CG45" s="174">
        <f t="shared" si="5"/>
        <v>0.10527300507224013</v>
      </c>
      <c r="CH45" s="183">
        <f>USD!DQ46</f>
        <v>1.3711346352015398E-3</v>
      </c>
      <c r="CI45" s="179">
        <f>BO45/USD!CP46</f>
        <v>3.4826486704021294E-4</v>
      </c>
    </row>
    <row r="46" spans="1:87">
      <c r="A46" s="321" t="str">
        <f>USD!AE47</f>
        <v>4Q2008</v>
      </c>
      <c r="B46" s="174">
        <f>USD!AF47</f>
        <v>72.475114608474598</v>
      </c>
      <c r="C46" s="180">
        <f>(B46/B45)-1</f>
        <v>0.72841419576174005</v>
      </c>
      <c r="D46" s="178">
        <f>B46+B45+B44+B43</f>
        <v>195.06375108968865</v>
      </c>
      <c r="E46" s="179">
        <f>(D46/D42)-1</f>
        <v>0.16701487745140975</v>
      </c>
      <c r="F46" s="179">
        <f t="shared" si="16"/>
        <v>0.63799042532862649</v>
      </c>
      <c r="G46" s="183">
        <f>B46/USD!L47</f>
        <v>1.6646171034275542E-4</v>
      </c>
      <c r="H46" s="183">
        <f>(B43+B44+B45+B46)/USD!L47</f>
        <v>4.4802475729326092E-4</v>
      </c>
      <c r="I46" s="174">
        <f>USD!AG47</f>
        <v>41.123948529726789</v>
      </c>
      <c r="J46" s="180">
        <f t="shared" si="20"/>
        <v>0.51579856169064997</v>
      </c>
      <c r="K46" s="174">
        <f>I46+I45+I44+I43</f>
        <v>176.58079141152297</v>
      </c>
      <c r="L46" s="179">
        <f>(K46/K42)-1</f>
        <v>0.20268678084577596</v>
      </c>
      <c r="M46" s="179">
        <f t="shared" si="17"/>
        <v>0.36200957467137351</v>
      </c>
      <c r="N46" s="183">
        <f>K46/USD!L47</f>
        <v>4.0557287436979622E-4</v>
      </c>
      <c r="O46" s="174">
        <f>USD!AH47</f>
        <v>113.59906313820139</v>
      </c>
      <c r="P46" s="174">
        <f>O46+O45+O44+O43</f>
        <v>371.64454250121162</v>
      </c>
      <c r="Q46" s="174">
        <f>K46/P46</f>
        <v>0.47513355160044435</v>
      </c>
      <c r="R46" s="174">
        <f>D46/P46</f>
        <v>0.52486644839955565</v>
      </c>
      <c r="S46" s="174">
        <f>P46/USD!L47</f>
        <v>8.5359763166305703E-4</v>
      </c>
      <c r="T46" s="174">
        <f>(P46/P42)-1</f>
        <v>0.18369616955022861</v>
      </c>
      <c r="U46" s="179">
        <f t="shared" si="24"/>
        <v>0.64489030743983333</v>
      </c>
      <c r="V46" s="183">
        <f>USD!AI47</f>
        <v>3.4988820654978099E-4</v>
      </c>
      <c r="W46" s="174">
        <f>USD!AJ47</f>
        <v>32.438554148041298</v>
      </c>
      <c r="X46" s="174">
        <f t="shared" si="25"/>
        <v>4.0844767680133724</v>
      </c>
      <c r="Y46" s="179">
        <f t="shared" si="18"/>
        <v>0.28555300767381747</v>
      </c>
      <c r="Z46" s="179">
        <f t="shared" si="21"/>
        <v>0.44758196414425844</v>
      </c>
      <c r="AA46" s="183">
        <f>I46/USD!L47</f>
        <v>9.4453977000062637E-5</v>
      </c>
      <c r="AB46" s="183"/>
      <c r="AW46" s="176"/>
      <c r="AX46" s="176"/>
      <c r="AY46" s="176"/>
      <c r="BA46" s="321" t="str">
        <f>USD!CA47</f>
        <v>4Q2008/09</v>
      </c>
      <c r="BB46" s="174">
        <f>USD!DM47</f>
        <v>75.334143377885781</v>
      </c>
      <c r="BC46" s="179">
        <f t="shared" si="15"/>
        <v>-0.19095695717809924</v>
      </c>
      <c r="BD46" s="178">
        <f>BB46+BB45+BB44+BB43</f>
        <v>320.33153011616082</v>
      </c>
      <c r="BE46" s="179">
        <f>(BD46/BD42)-1</f>
        <v>1.0045276190618622</v>
      </c>
      <c r="BF46" s="438">
        <f>BB46/USD!CP47</f>
        <v>7.9862601975096614E-4</v>
      </c>
      <c r="BG46" s="438">
        <f>(BB46+BB45+BB44+BB43)/USD!CP47</f>
        <v>3.395871824202667E-3</v>
      </c>
      <c r="BH46" s="179">
        <f t="shared" si="32"/>
        <v>0.57763975155279501</v>
      </c>
      <c r="BI46" s="179">
        <f>BD46/CD46</f>
        <v>0.54258076221681584</v>
      </c>
      <c r="BJ46" s="174">
        <f>USD!DN47</f>
        <v>16.200891049007694</v>
      </c>
      <c r="BK46" s="174">
        <f t="shared" si="31"/>
        <v>1.3222786076763748E-2</v>
      </c>
      <c r="BL46" s="174">
        <f>BJ46+BJ45+BJ44+BJ43</f>
        <v>91.851549170431184</v>
      </c>
      <c r="BM46" s="174">
        <f>(BL46/BL42)-1</f>
        <v>0.30128817612095626</v>
      </c>
      <c r="BN46" s="174">
        <f>BL46/USD!CP47</f>
        <v>9.7372896050577343E-4</v>
      </c>
      <c r="BO46" s="174">
        <f>USD!DO47</f>
        <v>38.882138517618465</v>
      </c>
      <c r="BP46" s="179">
        <f t="shared" si="3"/>
        <v>-8.134467395706757E-2</v>
      </c>
      <c r="BQ46" s="174">
        <f>BO46+BO45+BO44+BO43</f>
        <v>178.20189641248371</v>
      </c>
      <c r="BR46" s="174">
        <f>(BQ46/BQ42)-1</f>
        <v>0.23802395402846011</v>
      </c>
      <c r="BS46" s="174">
        <f>BQ46/USD!CP47</f>
        <v>1.8891390392547116E-3</v>
      </c>
      <c r="BT46" s="174">
        <f t="shared" si="27"/>
        <v>55.083029566626159</v>
      </c>
      <c r="BU46" s="174">
        <f>BT46+BT45+BT44+BT43</f>
        <v>270.05344558291489</v>
      </c>
      <c r="BV46" s="179">
        <f t="shared" si="4"/>
        <v>-5.5414886528436402E-2</v>
      </c>
      <c r="BW46" s="179">
        <f t="shared" si="30"/>
        <v>0.12422360248447205</v>
      </c>
      <c r="BX46" s="179">
        <f t="shared" si="28"/>
        <v>0.42236024844720493</v>
      </c>
      <c r="BY46" s="179">
        <f t="shared" si="29"/>
        <v>0.29813664596273287</v>
      </c>
      <c r="BZ46" s="179">
        <f>BL46/CD46</f>
        <v>0.15557907628267406</v>
      </c>
      <c r="CA46" s="179">
        <f>BQ46/CD46</f>
        <v>0.30184016150051002</v>
      </c>
      <c r="CB46" s="179"/>
      <c r="CC46" s="174">
        <f>USD!DP47</f>
        <v>130.41717294451195</v>
      </c>
      <c r="CD46" s="174">
        <f>CC46+CC45+CC44+CC43</f>
        <v>590.38497569907577</v>
      </c>
      <c r="CE46" s="174">
        <f>CD46/USD!CP47</f>
        <v>6.2587398239631522E-3</v>
      </c>
      <c r="CF46" s="174">
        <f>(CD46/CD42)-1</f>
        <v>0.57717916450713203</v>
      </c>
      <c r="CG46" s="174">
        <f t="shared" si="5"/>
        <v>-0.13876063183475085</v>
      </c>
      <c r="CH46" s="183">
        <f>USD!DQ47</f>
        <v>1.4788958802186194E-3</v>
      </c>
      <c r="CI46" s="179">
        <f>BO46/USD!CP47</f>
        <v>4.1219407471017604E-4</v>
      </c>
    </row>
    <row r="47" spans="1:87">
      <c r="A47" s="321" t="str">
        <f>USD!AE48</f>
        <v>1Q2009</v>
      </c>
      <c r="B47" s="174">
        <f>USD!AF48</f>
        <v>79.448171679921799</v>
      </c>
      <c r="C47" s="180">
        <f t="shared" si="23"/>
        <v>9.6213122381621385E-2</v>
      </c>
      <c r="D47" s="178"/>
      <c r="E47" s="179"/>
      <c r="F47" s="179">
        <f t="shared" ref="F47:F78" si="33">B47/O47</f>
        <v>0.62493388847597497</v>
      </c>
      <c r="G47" s="183">
        <f>B47/USD!L48</f>
        <v>1.9837664871037537E-4</v>
      </c>
      <c r="H47" s="183"/>
      <c r="I47" s="174">
        <f>USD!AG48</f>
        <v>47.68235067608596</v>
      </c>
      <c r="J47" s="180">
        <f t="shared" si="20"/>
        <v>0.15947890173090684</v>
      </c>
      <c r="K47" s="174"/>
      <c r="L47" s="179"/>
      <c r="M47" s="179">
        <f t="shared" ref="M47:M78" si="34">I47/O47</f>
        <v>0.37506611152402503</v>
      </c>
      <c r="N47" s="183"/>
      <c r="O47" s="174">
        <f>USD!AH48</f>
        <v>127.13052235600776</v>
      </c>
      <c r="P47" s="174"/>
      <c r="Q47" s="174"/>
      <c r="R47" s="174"/>
      <c r="S47" s="174"/>
      <c r="T47" s="174"/>
      <c r="U47" s="179">
        <f t="shared" si="24"/>
        <v>0.11911594025510919</v>
      </c>
      <c r="V47" s="183">
        <f>USD!AI48</f>
        <v>4.1356181424170689E-4</v>
      </c>
      <c r="W47" s="174">
        <f>USD!AJ48</f>
        <v>61.388456924512369</v>
      </c>
      <c r="X47" s="174">
        <f t="shared" si="25"/>
        <v>0.89245354908085872</v>
      </c>
      <c r="Y47" s="179">
        <f t="shared" si="18"/>
        <v>0.48287740651772249</v>
      </c>
      <c r="Z47" s="179">
        <f t="shared" si="21"/>
        <v>0.77268558390282638</v>
      </c>
      <c r="AA47" s="183">
        <f>I47/USD!L48</f>
        <v>1.1905956713344149E-4</v>
      </c>
      <c r="AB47" s="183"/>
      <c r="AW47" s="176"/>
      <c r="AX47" s="176"/>
      <c r="AY47" s="176"/>
      <c r="BA47" s="321" t="str">
        <f>USD!CA48</f>
        <v>1Q2009/09</v>
      </c>
      <c r="BB47" s="174">
        <f>USD!DM48</f>
        <v>92.993681198585222</v>
      </c>
      <c r="BC47" s="179">
        <f t="shared" si="15"/>
        <v>0.23441612300702652</v>
      </c>
      <c r="BD47" s="178"/>
      <c r="BE47" s="179"/>
      <c r="BF47" s="438">
        <f>BB47/USD!CP48</f>
        <v>1.0401294383301034E-3</v>
      </c>
      <c r="BG47" s="438"/>
      <c r="BH47" s="179">
        <f t="shared" si="32"/>
        <v>0.57352941176470595</v>
      </c>
      <c r="BI47" s="179"/>
      <c r="BJ47" s="174">
        <f>USD!DN48</f>
        <v>29.408258156817546</v>
      </c>
      <c r="BK47" s="174">
        <f t="shared" si="31"/>
        <v>0.81522473472956314</v>
      </c>
      <c r="BL47" s="174"/>
      <c r="BM47" s="174"/>
      <c r="BN47" s="174"/>
      <c r="BO47" s="174">
        <f>USD!DO48</f>
        <v>39.740889401104795</v>
      </c>
      <c r="BP47" s="179">
        <f t="shared" si="3"/>
        <v>2.2085999284664037E-2</v>
      </c>
      <c r="BQ47" s="174"/>
      <c r="BR47" s="174"/>
      <c r="BS47" s="174"/>
      <c r="BT47" s="174">
        <f t="shared" si="27"/>
        <v>69.149147557922333</v>
      </c>
      <c r="BU47" s="174"/>
      <c r="BV47" s="179">
        <f t="shared" si="4"/>
        <v>0.25536209794492826</v>
      </c>
      <c r="BW47" s="179">
        <f t="shared" si="30"/>
        <v>0.18137254901960784</v>
      </c>
      <c r="BX47" s="179">
        <f t="shared" si="28"/>
        <v>0.4264705882352941</v>
      </c>
      <c r="BY47" s="179">
        <f t="shared" si="29"/>
        <v>0.24509803921568629</v>
      </c>
      <c r="BZ47" s="179"/>
      <c r="CA47" s="179"/>
      <c r="CB47" s="179"/>
      <c r="CC47" s="174">
        <f>USD!DP48</f>
        <v>162.14282875650755</v>
      </c>
      <c r="CD47" s="174"/>
      <c r="CE47" s="174"/>
      <c r="CF47" s="174"/>
      <c r="CG47" s="174">
        <f t="shared" si="5"/>
        <v>0.24326287018576753</v>
      </c>
      <c r="CH47" s="183">
        <f>USD!DQ48</f>
        <v>1.9336309608439729E-3</v>
      </c>
      <c r="CI47" s="179">
        <f>BO47/USD!CP48</f>
        <v>4.4449975997012963E-4</v>
      </c>
    </row>
    <row r="48" spans="1:87">
      <c r="A48" s="321" t="str">
        <f>USD!AE49</f>
        <v>2Q2009</v>
      </c>
      <c r="B48" s="174">
        <f>USD!AF49</f>
        <v>71.798090592009686</v>
      </c>
      <c r="C48" s="180">
        <f t="shared" si="23"/>
        <v>-9.6290209405101357E-2</v>
      </c>
      <c r="D48" s="178"/>
      <c r="E48" s="179"/>
      <c r="F48" s="179">
        <f t="shared" si="33"/>
        <v>0.60633398672744032</v>
      </c>
      <c r="G48" s="183">
        <f>B48/USD!L49</f>
        <v>1.5894446993402594E-4</v>
      </c>
      <c r="H48" s="183"/>
      <c r="I48" s="174">
        <f>USD!AG49</f>
        <v>46.615345177152342</v>
      </c>
      <c r="J48" s="180">
        <f t="shared" ref="J48:J78" si="35">(I48/I47)-1</f>
        <v>-2.2377367806003523E-2</v>
      </c>
      <c r="K48" s="174"/>
      <c r="L48" s="179"/>
      <c r="M48" s="179">
        <f t="shared" si="34"/>
        <v>0.39366601327255979</v>
      </c>
      <c r="N48" s="183"/>
      <c r="O48" s="174">
        <f>USD!AH49</f>
        <v>118.41343576916202</v>
      </c>
      <c r="P48" s="174"/>
      <c r="Q48" s="174"/>
      <c r="R48" s="174"/>
      <c r="S48" s="174"/>
      <c r="T48" s="174"/>
      <c r="U48" s="179">
        <f t="shared" si="24"/>
        <v>-6.8568007314836588E-2</v>
      </c>
      <c r="V48" s="183">
        <f>USD!AI49</f>
        <v>3.1973416943049124E-4</v>
      </c>
      <c r="W48" s="174">
        <f>USD!AJ49</f>
        <v>55.435287537578361</v>
      </c>
      <c r="X48" s="174">
        <f t="shared" si="25"/>
        <v>-9.6975387315150319E-2</v>
      </c>
      <c r="Y48" s="179">
        <f t="shared" si="18"/>
        <v>0.4681503173815954</v>
      </c>
      <c r="Z48" s="179">
        <f t="shared" si="21"/>
        <v>0.77209974639280565</v>
      </c>
      <c r="AA48" s="183">
        <f>I48/USD!L49</f>
        <v>1.0319565978539681E-4</v>
      </c>
      <c r="AB48" s="183"/>
      <c r="AW48" s="176"/>
      <c r="AX48" s="176"/>
      <c r="AY48" s="176"/>
      <c r="BA48" s="321" t="str">
        <f>USD!CA49</f>
        <v>2Q2009/10</v>
      </c>
      <c r="BB48" s="174">
        <f>USD!DM49</f>
        <v>80.940285013131259</v>
      </c>
      <c r="BC48" s="179">
        <f t="shared" si="15"/>
        <v>-0.12961521718571711</v>
      </c>
      <c r="BD48" s="178"/>
      <c r="BE48" s="179"/>
      <c r="BF48" s="438">
        <f>BB48/USD!CP49</f>
        <v>7.7866136514247847E-4</v>
      </c>
      <c r="BG48" s="438"/>
      <c r="BH48" s="179">
        <f t="shared" si="32"/>
        <v>0.51366120218579225</v>
      </c>
      <c r="BI48" s="179"/>
      <c r="BJ48" s="174">
        <f>USD!DN49</f>
        <v>24.970938993412837</v>
      </c>
      <c r="BK48" s="174">
        <f t="shared" si="31"/>
        <v>-0.15088684068750369</v>
      </c>
      <c r="BL48" s="174"/>
      <c r="BM48" s="174"/>
      <c r="BN48" s="174"/>
      <c r="BO48" s="174">
        <f>USD!DO49</f>
        <v>51.664011710509314</v>
      </c>
      <c r="BP48" s="179">
        <f t="shared" si="3"/>
        <v>0.30002152667154602</v>
      </c>
      <c r="BQ48" s="174"/>
      <c r="BR48" s="174"/>
      <c r="BS48" s="174"/>
      <c r="BT48" s="174">
        <f t="shared" si="27"/>
        <v>76.634950703922158</v>
      </c>
      <c r="BU48" s="174"/>
      <c r="BV48" s="179">
        <f t="shared" si="4"/>
        <v>0.10825589917401923</v>
      </c>
      <c r="BW48" s="179">
        <f t="shared" si="30"/>
        <v>0.15846994535519124</v>
      </c>
      <c r="BX48" s="179">
        <f t="shared" si="28"/>
        <v>0.48633879781420764</v>
      </c>
      <c r="BY48" s="179">
        <f t="shared" si="29"/>
        <v>0.32786885245901637</v>
      </c>
      <c r="BZ48" s="179"/>
      <c r="CA48" s="179"/>
      <c r="CB48" s="179"/>
      <c r="CC48" s="174">
        <f>USD!DP49</f>
        <v>157.57523571705343</v>
      </c>
      <c r="CD48" s="174"/>
      <c r="CE48" s="174"/>
      <c r="CF48" s="174"/>
      <c r="CG48" s="174">
        <f t="shared" si="5"/>
        <v>-2.8170182267594157E-2</v>
      </c>
      <c r="CH48" s="183">
        <f>USD!DQ49</f>
        <v>1.5694278877901942E-3</v>
      </c>
      <c r="CI48" s="179">
        <f>BO48/USD!CP49</f>
        <v>4.9701789264413525E-4</v>
      </c>
    </row>
    <row r="49" spans="1:87">
      <c r="A49" s="321" t="str">
        <f>USD!AE50</f>
        <v>3Q2009</v>
      </c>
      <c r="B49" s="174">
        <f>USD!AF50</f>
        <v>96.536890543405207</v>
      </c>
      <c r="C49" s="180">
        <f>(B49/B48)-1</f>
        <v>0.3445606944058297</v>
      </c>
      <c r="D49" s="178"/>
      <c r="E49" s="179"/>
      <c r="F49" s="179">
        <f t="shared" si="33"/>
        <v>0.63377351039984808</v>
      </c>
      <c r="G49" s="183">
        <f>B49/USD!L50</f>
        <v>1.8805988790323178E-4</v>
      </c>
      <c r="H49" s="183"/>
      <c r="I49" s="174">
        <f>USD!AG50</f>
        <v>55.783913275769919</v>
      </c>
      <c r="J49" s="180">
        <f t="shared" si="35"/>
        <v>0.19668562066363027</v>
      </c>
      <c r="K49" s="174"/>
      <c r="L49" s="179"/>
      <c r="M49" s="179">
        <f t="shared" si="34"/>
        <v>0.36622648960015192</v>
      </c>
      <c r="N49" s="183"/>
      <c r="O49" s="174">
        <f>USD!AH50</f>
        <v>152.32080381917513</v>
      </c>
      <c r="P49" s="174"/>
      <c r="Q49" s="174"/>
      <c r="R49" s="174"/>
      <c r="S49" s="174"/>
      <c r="T49" s="174"/>
      <c r="U49" s="179">
        <f t="shared" si="24"/>
        <v>0.28634730366335237</v>
      </c>
      <c r="V49" s="183">
        <f>USD!AI50</f>
        <v>3.4713176035402441E-4</v>
      </c>
      <c r="W49" s="174">
        <f>USD!AJ50</f>
        <v>80.926873825896621</v>
      </c>
      <c r="X49" s="174">
        <f t="shared" si="25"/>
        <v>0.45984403474119384</v>
      </c>
      <c r="Y49" s="179">
        <f t="shared" si="18"/>
        <v>0.53129232381131264</v>
      </c>
      <c r="Z49" s="179">
        <f t="shared" si="21"/>
        <v>0.83829998428952957</v>
      </c>
      <c r="AA49" s="183">
        <f>I49/USD!L50</f>
        <v>1.0867054468393125E-4</v>
      </c>
      <c r="AB49" s="183"/>
      <c r="AW49" s="176"/>
      <c r="AX49" s="176"/>
      <c r="AY49" s="176"/>
      <c r="BA49" s="321" t="str">
        <f>USD!CA50</f>
        <v>3Q2009/10</v>
      </c>
      <c r="BB49" s="174">
        <f>USD!DM50</f>
        <v>122.98518587533772</v>
      </c>
      <c r="BC49" s="179">
        <f t="shared" si="15"/>
        <v>0.51945580442897321</v>
      </c>
      <c r="BD49" s="178"/>
      <c r="BE49" s="179"/>
      <c r="BF49" s="438">
        <f>BB49/USD!CP50</f>
        <v>1.0298580824354582E-3</v>
      </c>
      <c r="BG49" s="438"/>
      <c r="BH49" s="179">
        <f t="shared" si="32"/>
        <v>0.53012048192771077</v>
      </c>
      <c r="BI49" s="179"/>
      <c r="BJ49" s="174">
        <f>USD!DN50</f>
        <v>49.380415540855303</v>
      </c>
      <c r="BK49" s="174">
        <f t="shared" si="31"/>
        <v>0.97751536511628645</v>
      </c>
      <c r="BL49" s="174"/>
      <c r="BM49" s="174"/>
      <c r="BN49" s="174"/>
      <c r="BO49" s="174">
        <f>USD!DO50</f>
        <v>59.629181030466775</v>
      </c>
      <c r="BP49" s="179">
        <f t="shared" si="3"/>
        <v>0.15417248982887655</v>
      </c>
      <c r="BQ49" s="174"/>
      <c r="BR49" s="174"/>
      <c r="BS49" s="174"/>
      <c r="BT49" s="174">
        <f t="shared" si="27"/>
        <v>109.00959657132208</v>
      </c>
      <c r="BU49" s="174"/>
      <c r="BV49" s="179">
        <f t="shared" si="4"/>
        <v>0.42245275256297643</v>
      </c>
      <c r="BW49" s="179">
        <f t="shared" si="30"/>
        <v>0.21285140562248997</v>
      </c>
      <c r="BX49" s="179">
        <f t="shared" si="28"/>
        <v>0.46987951807228917</v>
      </c>
      <c r="BY49" s="179">
        <f t="shared" si="29"/>
        <v>0.25702811244979917</v>
      </c>
      <c r="BZ49" s="179"/>
      <c r="CA49" s="179"/>
      <c r="CB49" s="179"/>
      <c r="CC49" s="174">
        <f>USD!DP50</f>
        <v>231.9947824466598</v>
      </c>
      <c r="CD49" s="174"/>
      <c r="CE49" s="174"/>
      <c r="CF49" s="174"/>
      <c r="CG49" s="174">
        <f t="shared" si="5"/>
        <v>0.47227945680015493</v>
      </c>
      <c r="CH49" s="183">
        <f>USD!DQ50</f>
        <v>2.0108862435998902E-3</v>
      </c>
      <c r="CI49" s="179">
        <f>BO49/USD!CP50</f>
        <v>4.9932513087779797E-4</v>
      </c>
    </row>
    <row r="50" spans="1:87">
      <c r="A50" s="321" t="str">
        <f>USD!AE51</f>
        <v>4Q2009</v>
      </c>
      <c r="B50" s="174">
        <f>USD!AF51</f>
        <v>47.601267137515563</v>
      </c>
      <c r="C50" s="180">
        <f t="shared" si="23"/>
        <v>-0.50691112102773872</v>
      </c>
      <c r="D50" s="178">
        <f>B50+B49+B48+B47</f>
        <v>295.38441995285223</v>
      </c>
      <c r="E50" s="179">
        <f>(D50/D46)-1</f>
        <v>0.51429683015291228</v>
      </c>
      <c r="F50" s="179">
        <f t="shared" si="33"/>
        <v>0.38002283041918411</v>
      </c>
      <c r="G50" s="183">
        <f>B50/USD!L51</f>
        <v>9.371776122714463E-5</v>
      </c>
      <c r="H50" s="183">
        <f>(B47+B48+B49+B50)/USD!L51</f>
        <v>5.8155524430446618E-4</v>
      </c>
      <c r="I50" s="174">
        <f>USD!AG51</f>
        <v>77.65769976457554</v>
      </c>
      <c r="J50" s="180">
        <f t="shared" si="35"/>
        <v>0.39211638632578039</v>
      </c>
      <c r="K50" s="174">
        <f>I50+I49+I48+I47</f>
        <v>227.73930889358377</v>
      </c>
      <c r="L50" s="179">
        <f>(K50/K46)-1</f>
        <v>0.28971734169451913</v>
      </c>
      <c r="M50" s="179">
        <f t="shared" si="34"/>
        <v>0.61997716958081583</v>
      </c>
      <c r="N50" s="183">
        <f>K50/USD!L51</f>
        <v>4.4837500042310387E-4</v>
      </c>
      <c r="O50" s="174">
        <f>USD!AH51</f>
        <v>125.2589669020911</v>
      </c>
      <c r="P50" s="174">
        <f>O50+O49+O48+O47</f>
        <v>523.12372884643605</v>
      </c>
      <c r="Q50" s="174">
        <f>K50/P50</f>
        <v>0.43534501750815641</v>
      </c>
      <c r="R50" s="174">
        <f>D50/P50</f>
        <v>0.56465498249184354</v>
      </c>
      <c r="S50" s="174">
        <f>P50/USD!L51</f>
        <v>1.0299302447275701E-3</v>
      </c>
      <c r="T50" s="174">
        <f>(P50/P46)-1</f>
        <v>0.40759158018506514</v>
      </c>
      <c r="U50" s="179">
        <f t="shared" si="24"/>
        <v>-0.17766343295568465</v>
      </c>
      <c r="V50" s="183">
        <f>USD!AI51</f>
        <v>2.7442046559959647E-4</v>
      </c>
      <c r="W50" s="174">
        <f>USD!AJ51</f>
        <v>27.85054009140007</v>
      </c>
      <c r="X50" s="174">
        <f t="shared" si="25"/>
        <v>-0.65585548069833033</v>
      </c>
      <c r="Y50" s="179">
        <f t="shared" si="18"/>
        <v>0.22234368349189321</v>
      </c>
      <c r="Z50" s="179">
        <f t="shared" si="21"/>
        <v>0.58507980493339584</v>
      </c>
      <c r="AA50" s="183">
        <f>I50/USD!L51</f>
        <v>1.5289310981912718E-4</v>
      </c>
      <c r="AB50" s="183"/>
      <c r="AW50" s="176"/>
      <c r="AX50" s="176"/>
      <c r="AY50" s="176"/>
      <c r="BA50" s="321" t="str">
        <f>USD!CA51</f>
        <v>4Q2009/10</v>
      </c>
      <c r="BB50" s="174">
        <f>USD!DM51</f>
        <v>107.78842943673391</v>
      </c>
      <c r="BC50" s="179">
        <f t="shared" si="15"/>
        <v>-0.12356574761782935</v>
      </c>
      <c r="BD50" s="178">
        <f>BB50+BB49+BB48+BB47</f>
        <v>404.70758152378812</v>
      </c>
      <c r="BE50" s="179">
        <f>(BD50/BD46)-1</f>
        <v>0.26340226757269347</v>
      </c>
      <c r="BF50" s="438">
        <f>BB50/USD!CP51</f>
        <v>8.8319889951853938E-4</v>
      </c>
      <c r="BG50" s="438">
        <f>(BB50+BB49+BB48+BB47)/USD!CP51</f>
        <v>3.3161007400930352E-3</v>
      </c>
      <c r="BH50" s="179">
        <f t="shared" si="32"/>
        <v>0.60752688172043012</v>
      </c>
      <c r="BI50" s="179">
        <f>BD50/CD50</f>
        <v>0.5550520188422492</v>
      </c>
      <c r="BJ50" s="174">
        <f>USD!DN51</f>
        <v>20.98535794343492</v>
      </c>
      <c r="BK50" s="174">
        <f t="shared" si="31"/>
        <v>-0.5750267041379491</v>
      </c>
      <c r="BL50" s="174">
        <f>BJ50+BJ49+BJ48+BJ47</f>
        <v>124.7449706345206</v>
      </c>
      <c r="BM50" s="174">
        <f>(BL50/BL46)-1</f>
        <v>0.3581150428182267</v>
      </c>
      <c r="BN50" s="174">
        <f>BL50/USD!CP51</f>
        <v>1.0221377318569036E-3</v>
      </c>
      <c r="BO50" s="174">
        <f>USD!DO51</f>
        <v>48.64787523250822</v>
      </c>
      <c r="BP50" s="179">
        <f t="shared" si="3"/>
        <v>-0.18415992988982688</v>
      </c>
      <c r="BQ50" s="174">
        <f>BO50+BO49+BO48+BO47</f>
        <v>199.6819573745891</v>
      </c>
      <c r="BR50" s="174">
        <f>(BQ50/BQ46)-1</f>
        <v>0.12053777986955616</v>
      </c>
      <c r="BS50" s="174">
        <f>BQ50/USD!CP51</f>
        <v>1.6361578504162017E-3</v>
      </c>
      <c r="BT50" s="174">
        <f t="shared" si="27"/>
        <v>69.633233175943133</v>
      </c>
      <c r="BU50" s="174">
        <f>BT50+BT49+BT48+BT47</f>
        <v>324.4269280091097</v>
      </c>
      <c r="BV50" s="179">
        <f t="shared" si="4"/>
        <v>-0.36121923788256605</v>
      </c>
      <c r="BW50" s="179">
        <f t="shared" si="30"/>
        <v>0.11827956989247312</v>
      </c>
      <c r="BX50" s="179">
        <f t="shared" si="28"/>
        <v>0.39247311827956988</v>
      </c>
      <c r="BY50" s="179">
        <f t="shared" si="29"/>
        <v>0.27419354838709675</v>
      </c>
      <c r="BZ50" s="179">
        <f>BL50/CD50</f>
        <v>0.17108636198612437</v>
      </c>
      <c r="CA50" s="179">
        <f>BQ50/CD50</f>
        <v>0.27386161917162644</v>
      </c>
      <c r="CB50" s="179"/>
      <c r="CC50" s="174">
        <f>USD!DP51</f>
        <v>177.42166261267704</v>
      </c>
      <c r="CD50" s="174">
        <f>CC50+CC49+CC48+CC47</f>
        <v>729.13450953289782</v>
      </c>
      <c r="CE50" s="174">
        <f>CD50/USD!CP51</f>
        <v>5.9743963223661406E-3</v>
      </c>
      <c r="CF50" s="174">
        <f>(CD50/CD46)-1</f>
        <v>0.23501535361655934</v>
      </c>
      <c r="CG50" s="174">
        <f t="shared" si="5"/>
        <v>-0.23523425509162132</v>
      </c>
      <c r="CH50" s="183">
        <f>USD!DQ51</f>
        <v>1.5007382664052476E-3</v>
      </c>
      <c r="CI50" s="179">
        <f>BO50/USD!CP51</f>
        <v>3.9861189270305758E-4</v>
      </c>
    </row>
    <row r="51" spans="1:87">
      <c r="A51" s="321" t="str">
        <f>USD!AE52</f>
        <v>1Q2010</v>
      </c>
      <c r="B51" s="174">
        <f>USD!AF52</f>
        <v>49.315666223023399</v>
      </c>
      <c r="C51" s="180">
        <f t="shared" si="23"/>
        <v>3.6015828750001422E-2</v>
      </c>
      <c r="D51" s="178"/>
      <c r="E51" s="179"/>
      <c r="F51" s="179">
        <f t="shared" si="33"/>
        <v>0.45539303538314108</v>
      </c>
      <c r="G51" s="183">
        <f>B51/USD!L52</f>
        <v>9.5540280756037298E-5</v>
      </c>
      <c r="H51" s="183"/>
      <c r="I51" s="174">
        <f>USD!AG52</f>
        <v>58.97686877706083</v>
      </c>
      <c r="J51" s="180">
        <f t="shared" si="35"/>
        <v>-0.2405534936541629</v>
      </c>
      <c r="K51" s="174"/>
      <c r="L51" s="183"/>
      <c r="M51" s="179">
        <f t="shared" si="34"/>
        <v>0.54460696461685898</v>
      </c>
      <c r="N51" s="183"/>
      <c r="O51" s="174">
        <f>USD!AH52</f>
        <v>108.29253500008423</v>
      </c>
      <c r="P51" s="174"/>
      <c r="Q51" s="174"/>
      <c r="R51" s="174"/>
      <c r="S51" s="174"/>
      <c r="T51" s="174"/>
      <c r="U51" s="179">
        <f t="shared" si="24"/>
        <v>-0.13545083694701643</v>
      </c>
      <c r="V51" s="183">
        <f>USD!AI52</f>
        <v>2.3269710084330221E-4</v>
      </c>
      <c r="W51" s="174">
        <f>USD!AJ52</f>
        <v>31.12236130532203</v>
      </c>
      <c r="X51" s="174">
        <f t="shared" si="25"/>
        <v>0.11747783716884763</v>
      </c>
      <c r="Y51" s="179">
        <f t="shared" si="18"/>
        <v>0.28739156678987915</v>
      </c>
      <c r="Z51" s="179">
        <f t="shared" si="21"/>
        <v>0.63108467732292983</v>
      </c>
      <c r="AA51" s="183">
        <f>I51/USD!L52</f>
        <v>1.1425713231958275E-4</v>
      </c>
      <c r="AB51" s="183"/>
      <c r="AW51" s="176"/>
      <c r="AX51" s="176"/>
      <c r="AY51" s="176"/>
      <c r="BA51" s="321" t="str">
        <f>USD!CA52</f>
        <v>1Q2010/10</v>
      </c>
      <c r="BB51" s="174">
        <f>USD!DM52</f>
        <v>125.17865063328568</v>
      </c>
      <c r="BC51" s="179">
        <f t="shared" si="15"/>
        <v>0.16133662293278817</v>
      </c>
      <c r="BD51" s="178"/>
      <c r="BE51" s="179"/>
      <c r="BF51" s="438">
        <f>BB51/USD!CP52</f>
        <v>9.6474502624562257E-4</v>
      </c>
      <c r="BG51" s="438"/>
      <c r="BH51" s="179">
        <f t="shared" si="32"/>
        <v>0.54741379310344829</v>
      </c>
      <c r="BI51" s="179"/>
      <c r="BJ51" s="174">
        <f>USD!DN52</f>
        <v>43.368981321768267</v>
      </c>
      <c r="BK51" s="174">
        <f t="shared" si="31"/>
        <v>1.0666305258488986</v>
      </c>
      <c r="BL51" s="174"/>
      <c r="BM51" s="174"/>
      <c r="BN51" s="174"/>
      <c r="BO51" s="174">
        <f>USD!DO52</f>
        <v>60.125178650633281</v>
      </c>
      <c r="BP51" s="179">
        <f t="shared" si="3"/>
        <v>0.23592609879198845</v>
      </c>
      <c r="BQ51" s="174"/>
      <c r="BR51" s="174"/>
      <c r="BS51" s="174"/>
      <c r="BT51" s="174">
        <f t="shared" si="27"/>
        <v>103.49415997240155</v>
      </c>
      <c r="BU51" s="174"/>
      <c r="BV51" s="179">
        <f t="shared" si="4"/>
        <v>0.48627537817900257</v>
      </c>
      <c r="BW51" s="179">
        <f t="shared" si="30"/>
        <v>0.18965517241379309</v>
      </c>
      <c r="BX51" s="179">
        <f t="shared" si="28"/>
        <v>0.45258620689655171</v>
      </c>
      <c r="BY51" s="179">
        <f t="shared" si="29"/>
        <v>0.26293103448275862</v>
      </c>
      <c r="BZ51" s="179"/>
      <c r="CA51" s="179"/>
      <c r="CB51" s="179"/>
      <c r="CC51" s="174">
        <f>USD!DP52</f>
        <v>228.67281060568723</v>
      </c>
      <c r="CD51" s="174"/>
      <c r="CE51" s="174"/>
      <c r="CF51" s="174"/>
      <c r="CG51" s="174">
        <f t="shared" si="5"/>
        <v>0.28886634945415191</v>
      </c>
      <c r="CH51" s="183">
        <f>USD!DQ52</f>
        <v>1.8177544464467602E-3</v>
      </c>
      <c r="CI51" s="179">
        <f>BO51/USD!CP52</f>
        <v>4.6338146929907856E-4</v>
      </c>
    </row>
    <row r="52" spans="1:87">
      <c r="A52" s="321" t="str">
        <f>USD!AE53</f>
        <v>2Q2010</v>
      </c>
      <c r="B52" s="174">
        <f>USD!AF53</f>
        <v>57.907783151242086</v>
      </c>
      <c r="C52" s="180">
        <f t="shared" si="23"/>
        <v>0.17422692597038036</v>
      </c>
      <c r="D52" s="178"/>
      <c r="E52" s="179"/>
      <c r="F52" s="179">
        <f t="shared" si="33"/>
        <v>0.49456427524545471</v>
      </c>
      <c r="G52" s="183">
        <f>B52/USD!L53</f>
        <v>1.1867677303098279E-4</v>
      </c>
      <c r="H52" s="183"/>
      <c r="I52" s="174">
        <f>USD!AG53</f>
        <v>59.180704735397462</v>
      </c>
      <c r="J52" s="180">
        <f t="shared" si="35"/>
        <v>3.4562017713615223E-3</v>
      </c>
      <c r="K52" s="174"/>
      <c r="L52" s="183"/>
      <c r="M52" s="179">
        <f t="shared" si="34"/>
        <v>0.50543572475454535</v>
      </c>
      <c r="N52" s="183"/>
      <c r="O52" s="174">
        <f>USD!AH53</f>
        <v>117.08848788663954</v>
      </c>
      <c r="P52" s="174"/>
      <c r="Q52" s="174"/>
      <c r="R52" s="174"/>
      <c r="S52" s="174"/>
      <c r="T52" s="174"/>
      <c r="U52" s="179">
        <f t="shared" si="24"/>
        <v>8.1224000218929948E-2</v>
      </c>
      <c r="V52" s="183">
        <f>USD!AI53</f>
        <v>2.7284936603992101E-4</v>
      </c>
      <c r="W52" s="174">
        <f>USD!AJ53</f>
        <v>37.403412192552835</v>
      </c>
      <c r="X52" s="174">
        <f t="shared" si="25"/>
        <v>0.20181794130629549</v>
      </c>
      <c r="Y52" s="179">
        <f t="shared" si="18"/>
        <v>0.31944568477786939</v>
      </c>
      <c r="Z52" s="179">
        <f t="shared" si="21"/>
        <v>0.64591338430040657</v>
      </c>
      <c r="AA52" s="183">
        <f>I52/USD!L53</f>
        <v>1.2128551088465775E-4</v>
      </c>
      <c r="AB52" s="183"/>
      <c r="AW52" s="176"/>
      <c r="AX52" s="176"/>
      <c r="AY52" s="176"/>
      <c r="BA52" s="321" t="str">
        <f>USD!CA53</f>
        <v>2Q2010/11</v>
      </c>
      <c r="BB52" s="174">
        <f>USD!DM53</f>
        <v>97.868536206653175</v>
      </c>
      <c r="BC52" s="179">
        <f t="shared" si="15"/>
        <v>-0.21816910702000014</v>
      </c>
      <c r="BD52" s="178"/>
      <c r="BE52" s="179"/>
      <c r="BF52" s="438">
        <f>BB52/USD!CP53</f>
        <v>7.722122395639971E-4</v>
      </c>
      <c r="BG52" s="438"/>
      <c r="BH52" s="179">
        <f t="shared" si="32"/>
        <v>0.48598130841121501</v>
      </c>
      <c r="BI52" s="179"/>
      <c r="BJ52" s="174">
        <f>USD!DN53</f>
        <v>42.346962781724926</v>
      </c>
      <c r="BK52" s="174">
        <f t="shared" si="31"/>
        <v>-2.3565657040931165E-2</v>
      </c>
      <c r="BL52" s="174"/>
      <c r="BM52" s="174"/>
      <c r="BN52" s="174"/>
      <c r="BO52" s="174">
        <f>USD!DO53</f>
        <v>61.167835129158235</v>
      </c>
      <c r="BP52" s="179">
        <f t="shared" si="3"/>
        <v>1.7341428365368783E-2</v>
      </c>
      <c r="BQ52" s="174"/>
      <c r="BR52" s="174"/>
      <c r="BS52" s="174"/>
      <c r="BT52" s="174">
        <f t="shared" si="27"/>
        <v>103.51479791088316</v>
      </c>
      <c r="BU52" s="174"/>
      <c r="BV52" s="179">
        <f t="shared" si="4"/>
        <v>1.9941162368120047E-4</v>
      </c>
      <c r="BW52" s="179">
        <f t="shared" si="30"/>
        <v>0.2102803738317757</v>
      </c>
      <c r="BX52" s="179">
        <f t="shared" si="28"/>
        <v>0.5140186915887851</v>
      </c>
      <c r="BY52" s="179">
        <f t="shared" si="29"/>
        <v>0.30373831775700938</v>
      </c>
      <c r="BZ52" s="179"/>
      <c r="CA52" s="179"/>
      <c r="CB52" s="179"/>
      <c r="CC52" s="174">
        <f>USD!DP53</f>
        <v>201.38333411753632</v>
      </c>
      <c r="CD52" s="174"/>
      <c r="CE52" s="174"/>
      <c r="CF52" s="174"/>
      <c r="CG52" s="174">
        <f t="shared" si="5"/>
        <v>-0.11933852746143758</v>
      </c>
      <c r="CH52" s="183">
        <f>USD!DQ53</f>
        <v>1.6502159161011719E-3</v>
      </c>
      <c r="CI52" s="179">
        <f>BO52/USD!CP53</f>
        <v>4.8263264972749819E-4</v>
      </c>
    </row>
    <row r="53" spans="1:87">
      <c r="A53" s="321" t="str">
        <f>USD!AE54</f>
        <v>3Q2010</v>
      </c>
      <c r="B53" s="174">
        <f>USD!AF54</f>
        <v>49.861685051740032</v>
      </c>
      <c r="C53" s="180">
        <f t="shared" si="23"/>
        <v>-0.138946747080396</v>
      </c>
      <c r="D53" s="178"/>
      <c r="E53" s="179"/>
      <c r="F53" s="179">
        <f t="shared" si="33"/>
        <v>0.40946078781938289</v>
      </c>
      <c r="G53" s="183">
        <f>B53/USD!L54</f>
        <v>8.8969082938990062E-5</v>
      </c>
      <c r="H53" s="183"/>
      <c r="I53" s="174">
        <f>USD!AG54</f>
        <v>71.912332229090538</v>
      </c>
      <c r="J53" s="180">
        <f t="shared" si="35"/>
        <v>0.21513139376452828</v>
      </c>
      <c r="K53" s="174"/>
      <c r="L53" s="183"/>
      <c r="M53" s="179">
        <f t="shared" si="34"/>
        <v>0.59053921218061711</v>
      </c>
      <c r="N53" s="183"/>
      <c r="O53" s="174">
        <f>USD!AH54</f>
        <v>121.77401728083058</v>
      </c>
      <c r="P53" s="174"/>
      <c r="Q53" s="174"/>
      <c r="R53" s="174"/>
      <c r="S53" s="174"/>
      <c r="T53" s="174"/>
      <c r="U53" s="179">
        <f t="shared" si="24"/>
        <v>4.0016994657300353E-2</v>
      </c>
      <c r="V53" s="183">
        <f>USD!AI54</f>
        <v>2.4541388749131925E-4</v>
      </c>
      <c r="W53" s="174">
        <f>USD!AJ54</f>
        <v>32.956524708855568</v>
      </c>
      <c r="X53" s="174">
        <f t="shared" si="25"/>
        <v>-0.1188898879279966</v>
      </c>
      <c r="Y53" s="179">
        <f t="shared" si="18"/>
        <v>0.27063675359294825</v>
      </c>
      <c r="Z53" s="179">
        <f t="shared" si="21"/>
        <v>0.66095890410958902</v>
      </c>
      <c r="AA53" s="183">
        <f>I53/USD!L54</f>
        <v>1.2831444111419764E-4</v>
      </c>
      <c r="AB53" s="183"/>
      <c r="AW53" s="176"/>
      <c r="AX53" s="176"/>
      <c r="AY53" s="176"/>
      <c r="BA53" s="321" t="str">
        <f>USD!CA54</f>
        <v>3Q2010/11</v>
      </c>
      <c r="BB53" s="174">
        <f>USD!DM54</f>
        <v>113.076960569284</v>
      </c>
      <c r="BC53" s="179">
        <f t="shared" si="15"/>
        <v>0.15539646297066967</v>
      </c>
      <c r="BD53" s="178"/>
      <c r="BE53" s="179"/>
      <c r="BF53" s="438">
        <f>BB53/USD!CP54</f>
        <v>8.0739462108135205E-4</v>
      </c>
      <c r="BG53" s="438"/>
      <c r="BH53" s="179">
        <f t="shared" si="32"/>
        <v>0.52727272727272734</v>
      </c>
      <c r="BI53" s="179"/>
      <c r="BJ53" s="174">
        <f>USD!DN54</f>
        <v>37.042452600282687</v>
      </c>
      <c r="BK53" s="174">
        <f t="shared" si="31"/>
        <v>-0.12526306098465767</v>
      </c>
      <c r="BL53" s="174"/>
      <c r="BM53" s="174"/>
      <c r="BN53" s="174"/>
      <c r="BO53" s="174">
        <f>USD!DO54</f>
        <v>64.336891358385714</v>
      </c>
      <c r="BP53" s="179">
        <f t="shared" si="3"/>
        <v>5.1809193876747317E-2</v>
      </c>
      <c r="BQ53" s="174"/>
      <c r="BR53" s="174"/>
      <c r="BS53" s="174"/>
      <c r="BT53" s="174">
        <f t="shared" si="27"/>
        <v>101.3793439586684</v>
      </c>
      <c r="BU53" s="174"/>
      <c r="BV53" s="179">
        <f t="shared" si="4"/>
        <v>-2.0629455839281996E-2</v>
      </c>
      <c r="BW53" s="179">
        <f t="shared" si="30"/>
        <v>0.17272727272727273</v>
      </c>
      <c r="BX53" s="179">
        <f t="shared" si="28"/>
        <v>0.47272727272727272</v>
      </c>
      <c r="BY53" s="179">
        <f t="shared" si="29"/>
        <v>0.3</v>
      </c>
      <c r="BZ53" s="179"/>
      <c r="CA53" s="179"/>
      <c r="CB53" s="179"/>
      <c r="CC53" s="174">
        <f>USD!DP54</f>
        <v>214.4563045279524</v>
      </c>
      <c r="CD53" s="174"/>
      <c r="CE53" s="174"/>
      <c r="CF53" s="174"/>
      <c r="CG53" s="174">
        <f t="shared" si="5"/>
        <v>6.491585049826476E-2</v>
      </c>
      <c r="CH53" s="183">
        <f>USD!DQ54</f>
        <v>1.5870496746548167E-3</v>
      </c>
      <c r="CI53" s="179">
        <f>BO53/USD!CP54</f>
        <v>4.5937969820145888E-4</v>
      </c>
    </row>
    <row r="54" spans="1:87">
      <c r="A54" s="321" t="str">
        <f>USD!AE55</f>
        <v>4Q2010</v>
      </c>
      <c r="B54" s="174">
        <f>USD!AF55</f>
        <v>82.062451612903217</v>
      </c>
      <c r="C54" s="180">
        <f t="shared" si="23"/>
        <v>0.6458018121078215</v>
      </c>
      <c r="D54" s="178">
        <f>B54+B53+B52+B51</f>
        <v>239.14758603890874</v>
      </c>
      <c r="E54" s="179">
        <f>(D54/D50)-1</f>
        <v>-0.19038524077512187</v>
      </c>
      <c r="F54" s="179">
        <f t="shared" si="33"/>
        <v>0.56640997476621646</v>
      </c>
      <c r="G54" s="183">
        <f>B54/USD!L55</f>
        <v>1.3943600953918311E-4</v>
      </c>
      <c r="H54" s="183">
        <f>(B51+B52+B53+B54)/USD!L55</f>
        <v>4.0634644021469518E-4</v>
      </c>
      <c r="I54" s="174">
        <f>USD!AG55</f>
        <v>62.819268817204282</v>
      </c>
      <c r="J54" s="180">
        <f t="shared" si="35"/>
        <v>-0.12644650966010329</v>
      </c>
      <c r="K54" s="174">
        <f>I54+I53+I52+I51</f>
        <v>252.8891745587531</v>
      </c>
      <c r="L54" s="183">
        <f>(K54/K50)-1</f>
        <v>0.11043269511685905</v>
      </c>
      <c r="M54" s="179">
        <f t="shared" si="34"/>
        <v>0.43359002523378354</v>
      </c>
      <c r="N54" s="183">
        <f>K54/USD!L55</f>
        <v>4.2969539250989163E-4</v>
      </c>
      <c r="O54" s="174">
        <f>USD!AH55</f>
        <v>144.88172043010749</v>
      </c>
      <c r="P54" s="174">
        <f>O54+O53+O52+O51</f>
        <v>492.03676059766184</v>
      </c>
      <c r="Q54" s="174">
        <f>K54/P54</f>
        <v>0.5139639856411875</v>
      </c>
      <c r="R54" s="174">
        <f>D54/P54</f>
        <v>0.48603601435881244</v>
      </c>
      <c r="S54" s="174">
        <f>P54/USD!L55</f>
        <v>8.3604183272458681E-4</v>
      </c>
      <c r="T54" s="174">
        <f>(P54/P50)-1</f>
        <v>-5.9425651207460017E-2</v>
      </c>
      <c r="U54" s="179">
        <f t="shared" si="24"/>
        <v>0.18975889656318734</v>
      </c>
      <c r="V54" s="183">
        <f>USD!AI55</f>
        <v>2.7390980077483497E-4</v>
      </c>
      <c r="W54" s="174">
        <f>USD!AJ55</f>
        <v>62.824946236559143</v>
      </c>
      <c r="X54" s="174">
        <f t="shared" si="25"/>
        <v>0.90629766917377053</v>
      </c>
      <c r="Y54" s="179">
        <f t="shared" si="18"/>
        <v>0.43362921181534819</v>
      </c>
      <c r="Z54" s="179">
        <f t="shared" si="21"/>
        <v>0.7655748152993368</v>
      </c>
      <c r="AA54" s="183">
        <f>I54/USD!L55</f>
        <v>1.0673905048996766E-4</v>
      </c>
      <c r="AB54" s="183"/>
      <c r="AW54" s="176"/>
      <c r="AX54" s="176"/>
      <c r="AY54" s="176"/>
      <c r="BA54" s="321" t="str">
        <f>USD!CA55</f>
        <v>4Q2010/11</v>
      </c>
      <c r="BB54" s="174">
        <f>USD!DM55</f>
        <v>135.86272832486287</v>
      </c>
      <c r="BC54" s="179">
        <f t="shared" si="15"/>
        <v>0.2015067228625913</v>
      </c>
      <c r="BD54" s="178">
        <f>BB54+BB53+BB52+BB51</f>
        <v>471.98687573408574</v>
      </c>
      <c r="BE54" s="179">
        <f>(BD54/BD50)-1</f>
        <v>0.16624174411801329</v>
      </c>
      <c r="BF54" s="438">
        <f>BB54/USD!CP55</f>
        <v>9.3669340290305559E-4</v>
      </c>
      <c r="BG54" s="438">
        <f>(BB54+BB53+BB52+BB51)/USD!CP55</f>
        <v>3.2540712100217473E-3</v>
      </c>
      <c r="BH54" s="179">
        <f t="shared" si="32"/>
        <v>0.4838709677419355</v>
      </c>
      <c r="BI54" s="179">
        <f>BD54/CD54</f>
        <v>0.51009317128304377</v>
      </c>
      <c r="BJ54" s="174">
        <f>USD!DN55</f>
        <v>68.434559452523516</v>
      </c>
      <c r="BK54" s="174">
        <f t="shared" si="31"/>
        <v>0.84746296879924365</v>
      </c>
      <c r="BL54" s="174">
        <f>BJ54+BJ53+BJ52+BJ51</f>
        <v>191.1929561562994</v>
      </c>
      <c r="BM54" s="174">
        <f>(BL54/BL50)-1</f>
        <v>0.53267065745246711</v>
      </c>
      <c r="BN54" s="174">
        <f>BL54/USD!CP55</f>
        <v>1.3181626993748917E-3</v>
      </c>
      <c r="BO54" s="174">
        <f>USD!DO55</f>
        <v>76.485684093996881</v>
      </c>
      <c r="BP54" s="179">
        <f t="shared" si="3"/>
        <v>0.18883089436101086</v>
      </c>
      <c r="BQ54" s="174">
        <f>BO54+BO53+BO52+BO51</f>
        <v>262.1155892321741</v>
      </c>
      <c r="BR54" s="174">
        <f>(BQ54/BQ50)-1</f>
        <v>0.31266536385390076</v>
      </c>
      <c r="BS54" s="174">
        <f>BQ54/USD!CP55</f>
        <v>1.8071324362392786E-3</v>
      </c>
      <c r="BT54" s="174">
        <f t="shared" si="27"/>
        <v>144.9202435465204</v>
      </c>
      <c r="BU54" s="174">
        <f>BT54+BT53+BT52+BT51</f>
        <v>453.30854538847348</v>
      </c>
      <c r="BV54" s="179">
        <f t="shared" si="4"/>
        <v>0.42948492155959594</v>
      </c>
      <c r="BW54" s="179">
        <f t="shared" si="30"/>
        <v>0.24372759856630824</v>
      </c>
      <c r="BX54" s="179">
        <f t="shared" si="28"/>
        <v>0.5161290322580645</v>
      </c>
      <c r="BY54" s="179">
        <f t="shared" si="29"/>
        <v>0.27240143369175629</v>
      </c>
      <c r="BZ54" s="179">
        <f>BL54/CD54</f>
        <v>0.20662909573717117</v>
      </c>
      <c r="CA54" s="179">
        <f>BQ54/CD54</f>
        <v>0.28327773297978509</v>
      </c>
      <c r="CB54" s="179"/>
      <c r="CC54" s="174">
        <f>USD!DP55</f>
        <v>280.78297187138327</v>
      </c>
      <c r="CD54" s="174">
        <f>CC54+CC53+CC52+CC51</f>
        <v>925.29542112255922</v>
      </c>
      <c r="CE54" s="174">
        <f>CD54/USD!CP55</f>
        <v>6.3793663456359175E-3</v>
      </c>
      <c r="CF54" s="174">
        <f>(CD54/CD50)-1</f>
        <v>0.26903254341277449</v>
      </c>
      <c r="CG54" s="174">
        <f t="shared" si="5"/>
        <v>0.3092782349739025</v>
      </c>
      <c r="CH54" s="183">
        <f>USD!DQ55</f>
        <v>1.991406261152589E-3</v>
      </c>
      <c r="CI54" s="179">
        <f>BO54/USD!CP55</f>
        <v>5.2732369348616466E-4</v>
      </c>
    </row>
    <row r="55" spans="1:87">
      <c r="A55" s="321" t="str">
        <f>USD!AE56</f>
        <v>1Q2011</v>
      </c>
      <c r="B55" s="174">
        <f>USD!AF56</f>
        <v>30.912459890631354</v>
      </c>
      <c r="C55" s="180">
        <f t="shared" si="23"/>
        <v>-0.62330567411696991</v>
      </c>
      <c r="D55" s="178"/>
      <c r="E55" s="179"/>
      <c r="F55" s="179">
        <f t="shared" si="33"/>
        <v>0.27895595432300163</v>
      </c>
      <c r="G55" s="183">
        <f>B55/USD!L56</f>
        <v>4.8390246111093821E-5</v>
      </c>
      <c r="H55" s="183"/>
      <c r="I55" s="174">
        <f>USD!AG56</f>
        <v>79.902381705608519</v>
      </c>
      <c r="J55" s="180">
        <f t="shared" si="35"/>
        <v>0.27194065149204172</v>
      </c>
      <c r="K55" s="174"/>
      <c r="L55" s="183"/>
      <c r="M55" s="179">
        <f t="shared" si="34"/>
        <v>0.72104404567699831</v>
      </c>
      <c r="N55" s="183"/>
      <c r="O55" s="174">
        <f>USD!AH56</f>
        <v>110.81484159623987</v>
      </c>
      <c r="P55" s="174"/>
      <c r="Q55" s="174"/>
      <c r="R55" s="174"/>
      <c r="S55" s="174"/>
      <c r="T55" s="174"/>
      <c r="U55" s="179">
        <f t="shared" si="24"/>
        <v>-0.23513579720570654</v>
      </c>
      <c r="V55" s="183">
        <f>USD!AI56</f>
        <v>1.9766529236083297E-4</v>
      </c>
      <c r="W55" s="174">
        <f>USD!AJ56</f>
        <v>8.6771817236859938</v>
      </c>
      <c r="X55" s="174">
        <f t="shared" si="25"/>
        <v>-0.86188318106929696</v>
      </c>
      <c r="Y55" s="179">
        <f t="shared" si="18"/>
        <v>7.8303425774877658E-2</v>
      </c>
      <c r="Z55" s="179">
        <f t="shared" si="21"/>
        <v>0.2807017543859649</v>
      </c>
      <c r="AA55" s="183">
        <f>I55/USD!L56</f>
        <v>1.25078881760839E-4</v>
      </c>
      <c r="AB55" s="183"/>
      <c r="AW55" s="176"/>
      <c r="AX55" s="176"/>
      <c r="AY55" s="176"/>
      <c r="BA55" s="321" t="str">
        <f>USD!CA56</f>
        <v>1Q2011/11</v>
      </c>
      <c r="BB55" s="174">
        <f>USD!DM56</f>
        <v>149.06193780519146</v>
      </c>
      <c r="BC55" s="179">
        <f t="shared" si="15"/>
        <v>9.7151070371322312E-2</v>
      </c>
      <c r="BD55" s="178"/>
      <c r="BE55" s="179"/>
      <c r="BF55" s="438">
        <f>BB55/USD!CP56</f>
        <v>9.4109400555569974E-4</v>
      </c>
      <c r="BG55" s="438"/>
      <c r="BH55" s="179">
        <f t="shared" si="32"/>
        <v>0.50347222222222221</v>
      </c>
      <c r="BI55" s="179"/>
      <c r="BJ55" s="174">
        <f>USD!DN56</f>
        <v>22.616294011822152</v>
      </c>
      <c r="BK55" s="174">
        <f t="shared" si="31"/>
        <v>-0.66951940375224872</v>
      </c>
      <c r="BL55" s="174"/>
      <c r="BM55" s="174"/>
      <c r="BN55" s="174"/>
      <c r="BO55" s="174">
        <f>USD!DO56</f>
        <v>124.38961706502182</v>
      </c>
      <c r="BP55" s="179">
        <f t="shared" si="3"/>
        <v>0.62631240785077535</v>
      </c>
      <c r="BQ55" s="174"/>
      <c r="BR55" s="174"/>
      <c r="BS55" s="174"/>
      <c r="BT55" s="174">
        <f t="shared" si="27"/>
        <v>147.00591107684397</v>
      </c>
      <c r="BU55" s="174"/>
      <c r="BV55" s="179">
        <f t="shared" si="4"/>
        <v>1.4391830149347307E-2</v>
      </c>
      <c r="BW55" s="179">
        <f t="shared" si="30"/>
        <v>7.6388888888888895E-2</v>
      </c>
      <c r="BX55" s="179">
        <f t="shared" si="28"/>
        <v>0.49652777777777773</v>
      </c>
      <c r="BY55" s="179">
        <f t="shared" si="29"/>
        <v>0.42013888888888884</v>
      </c>
      <c r="BZ55" s="179"/>
      <c r="CA55" s="179"/>
      <c r="CB55" s="179"/>
      <c r="CC55" s="174">
        <f>USD!DP56</f>
        <v>296.06784888203543</v>
      </c>
      <c r="CD55" s="174"/>
      <c r="CE55" s="174"/>
      <c r="CF55" s="174"/>
      <c r="CG55" s="174">
        <f t="shared" si="5"/>
        <v>5.4436623805141693E-2</v>
      </c>
      <c r="CH55" s="183">
        <f>USD!DQ56</f>
        <v>1.9433722907500875E-3</v>
      </c>
      <c r="CI55" s="179">
        <f>BO55/USD!CP56</f>
        <v>7.8532672187751483E-4</v>
      </c>
    </row>
    <row r="56" spans="1:87">
      <c r="A56" s="321" t="str">
        <f>USD!AE57</f>
        <v>2Q2011</v>
      </c>
      <c r="B56" s="174">
        <f>USD!AF57</f>
        <v>48.085435517990106</v>
      </c>
      <c r="C56" s="180">
        <f t="shared" si="23"/>
        <v>0.55553571886925024</v>
      </c>
      <c r="D56" s="178"/>
      <c r="E56" s="179"/>
      <c r="F56" s="179">
        <f t="shared" si="33"/>
        <v>0.40758293838862558</v>
      </c>
      <c r="G56" s="183">
        <f>B56/USD!L57</f>
        <v>7.2436749802343134E-5</v>
      </c>
      <c r="H56" s="183"/>
      <c r="I56" s="174">
        <f>USD!AG57</f>
        <v>69.891621392427481</v>
      </c>
      <c r="J56" s="180">
        <f t="shared" si="35"/>
        <v>-0.12528738317293941</v>
      </c>
      <c r="K56" s="174"/>
      <c r="L56" s="183"/>
      <c r="M56" s="179">
        <f t="shared" si="34"/>
        <v>0.59241706161137442</v>
      </c>
      <c r="N56" s="183"/>
      <c r="O56" s="174">
        <f>USD!AH57</f>
        <v>117.97705691041759</v>
      </c>
      <c r="P56" s="174"/>
      <c r="Q56" s="174"/>
      <c r="R56" s="174"/>
      <c r="S56" s="174"/>
      <c r="T56" s="174"/>
      <c r="U56" s="179">
        <f t="shared" si="24"/>
        <v>6.4632274982385995E-2</v>
      </c>
      <c r="V56" s="183">
        <f>USD!AI57</f>
        <v>2.0353651937117829E-4</v>
      </c>
      <c r="W56" s="174">
        <f>USD!AJ57</f>
        <v>31.684201697900455</v>
      </c>
      <c r="X56" s="174">
        <f t="shared" si="25"/>
        <v>2.6514392237991844</v>
      </c>
      <c r="Y56" s="179">
        <f t="shared" si="18"/>
        <v>0.26856240126382303</v>
      </c>
      <c r="Z56" s="179">
        <f t="shared" si="21"/>
        <v>0.65891472868217049</v>
      </c>
      <c r="AA56" s="183">
        <f>I56/USD!L57</f>
        <v>1.0528597354991735E-4</v>
      </c>
      <c r="AB56" s="183"/>
      <c r="AW56" s="176"/>
      <c r="AX56" s="176"/>
      <c r="AY56" s="176"/>
      <c r="BA56" s="321" t="str">
        <f>USD!CA57</f>
        <v>2Q2011/12</v>
      </c>
      <c r="BB56" s="174">
        <f>USD!DM57</f>
        <v>134.7010672469174</v>
      </c>
      <c r="BC56" s="179">
        <f t="shared" si="15"/>
        <v>-9.6341633348697164E-2</v>
      </c>
      <c r="BD56" s="178"/>
      <c r="BE56" s="179"/>
      <c r="BF56" s="438">
        <f>BB56/USD!CP57</f>
        <v>7.9759494447512115E-4</v>
      </c>
      <c r="BG56" s="438"/>
      <c r="BH56" s="179">
        <f t="shared" si="32"/>
        <v>0.46762589928057552</v>
      </c>
      <c r="BI56" s="179"/>
      <c r="BJ56" s="174">
        <f>USD!DN57</f>
        <v>54.916588954512484</v>
      </c>
      <c r="BK56" s="174">
        <f t="shared" si="31"/>
        <v>1.4281869047955467</v>
      </c>
      <c r="BL56" s="174"/>
      <c r="BM56" s="174"/>
      <c r="BN56" s="174"/>
      <c r="BO56" s="174">
        <f>USD!DO57</f>
        <v>98.435395295824264</v>
      </c>
      <c r="BP56" s="179">
        <f t="shared" si="3"/>
        <v>-0.20865263823129698</v>
      </c>
      <c r="BQ56" s="174"/>
      <c r="BR56" s="174"/>
      <c r="BS56" s="174"/>
      <c r="BT56" s="174">
        <f t="shared" si="27"/>
        <v>153.35198425033676</v>
      </c>
      <c r="BU56" s="174"/>
      <c r="BV56" s="179">
        <f t="shared" si="4"/>
        <v>4.3168829926679031E-2</v>
      </c>
      <c r="BW56" s="179">
        <f t="shared" si="30"/>
        <v>0.1906474820143885</v>
      </c>
      <c r="BX56" s="179">
        <f t="shared" si="28"/>
        <v>0.53237410071942448</v>
      </c>
      <c r="BY56" s="179">
        <f t="shared" si="29"/>
        <v>0.34172661870503596</v>
      </c>
      <c r="BZ56" s="179"/>
      <c r="CA56" s="179"/>
      <c r="CB56" s="179"/>
      <c r="CC56" s="174">
        <f>USD!DP57</f>
        <v>288.05305149725416</v>
      </c>
      <c r="CD56" s="174"/>
      <c r="CE56" s="174"/>
      <c r="CF56" s="174"/>
      <c r="CG56" s="174">
        <f t="shared" si="5"/>
        <v>-2.7070813041826347E-2</v>
      </c>
      <c r="CH56" s="183">
        <f>USD!DQ57</f>
        <v>1.8142542958017632E-3</v>
      </c>
      <c r="CI56" s="179">
        <f>BO56/USD!CP57</f>
        <v>5.8285784403951167E-4</v>
      </c>
    </row>
    <row r="57" spans="1:87">
      <c r="A57" s="321" t="str">
        <f>USD!AE58</f>
        <v>3Q2011</v>
      </c>
      <c r="B57" s="174">
        <f>USD!AF58</f>
        <v>50.246976664963377</v>
      </c>
      <c r="C57" s="180">
        <f t="shared" si="23"/>
        <v>4.4952096693905874E-2</v>
      </c>
      <c r="D57" s="178"/>
      <c r="E57" s="179"/>
      <c r="F57" s="179">
        <f t="shared" si="33"/>
        <v>0.42815674891146593</v>
      </c>
      <c r="G57" s="183">
        <f>B57/USD!L58</f>
        <v>8.4230266704432287E-5</v>
      </c>
      <c r="H57" s="183"/>
      <c r="I57" s="174">
        <f>USD!AG58</f>
        <v>67.109521376256168</v>
      </c>
      <c r="J57" s="180">
        <f t="shared" si="35"/>
        <v>-3.9805916084710291E-2</v>
      </c>
      <c r="K57" s="174"/>
      <c r="L57" s="183"/>
      <c r="M57" s="179">
        <f t="shared" si="34"/>
        <v>0.57184325108853418</v>
      </c>
      <c r="N57" s="183"/>
      <c r="O57" s="174">
        <f>USD!AH58</f>
        <v>117.35649804121954</v>
      </c>
      <c r="P57" s="174"/>
      <c r="Q57" s="174"/>
      <c r="R57" s="174"/>
      <c r="S57" s="174"/>
      <c r="T57" s="174"/>
      <c r="U57" s="179">
        <f t="shared" si="24"/>
        <v>-5.2599961844213006E-3</v>
      </c>
      <c r="V57" s="183">
        <f>USD!AI58</f>
        <v>2.2569296584797006E-4</v>
      </c>
      <c r="W57" s="174">
        <f>USD!AJ58</f>
        <v>35.939362970533125</v>
      </c>
      <c r="X57" s="174">
        <f t="shared" si="25"/>
        <v>0.13429914735439397</v>
      </c>
      <c r="Y57" s="179">
        <f t="shared" si="18"/>
        <v>0.30624092888243831</v>
      </c>
      <c r="Z57" s="179">
        <f t="shared" si="21"/>
        <v>0.71525423728813553</v>
      </c>
      <c r="AA57" s="183">
        <f>I57/USD!L58</f>
        <v>1.1249737315778414E-4</v>
      </c>
      <c r="AB57" s="183"/>
      <c r="AW57" s="176"/>
      <c r="AX57" s="176"/>
      <c r="AY57" s="176"/>
      <c r="BA57" s="321" t="str">
        <f>USD!CA58</f>
        <v>3Q2011/12</v>
      </c>
      <c r="BB57" s="174">
        <f>USD!DM58</f>
        <v>147.7856148937191</v>
      </c>
      <c r="BC57" s="179">
        <f t="shared" si="15"/>
        <v>9.7137668722525605E-2</v>
      </c>
      <c r="BD57" s="178"/>
      <c r="BE57" s="179"/>
      <c r="BF57" s="438">
        <f>BB57/USD!CP58</f>
        <v>9.4495339661657596E-4</v>
      </c>
      <c r="BG57" s="438"/>
      <c r="BH57" s="179">
        <f t="shared" si="32"/>
        <v>0.45427728613569318</v>
      </c>
      <c r="BI57" s="179"/>
      <c r="BJ57" s="174">
        <f>USD!DN58</f>
        <v>71.013866896981895</v>
      </c>
      <c r="BK57" s="174">
        <f t="shared" si="31"/>
        <v>0.29312231966560809</v>
      </c>
      <c r="BL57" s="174"/>
      <c r="BM57" s="174"/>
      <c r="BN57" s="174"/>
      <c r="BO57" s="174">
        <f>USD!DO58</f>
        <v>106.52080034547285</v>
      </c>
      <c r="BP57" s="179">
        <f t="shared" si="3"/>
        <v>8.2139204351745709E-2</v>
      </c>
      <c r="BQ57" s="174"/>
      <c r="BR57" s="174"/>
      <c r="BS57" s="174"/>
      <c r="BT57" s="174">
        <f t="shared" si="27"/>
        <v>177.53466724245476</v>
      </c>
      <c r="BU57" s="174"/>
      <c r="BV57" s="179">
        <f t="shared" si="4"/>
        <v>0.15769396861954776</v>
      </c>
      <c r="BW57" s="179">
        <f t="shared" si="30"/>
        <v>0.21828908554572266</v>
      </c>
      <c r="BX57" s="179">
        <f t="shared" si="28"/>
        <v>0.54572271386430671</v>
      </c>
      <c r="BY57" s="179">
        <f t="shared" si="29"/>
        <v>0.32743362831858402</v>
      </c>
      <c r="BZ57" s="179"/>
      <c r="CA57" s="179"/>
      <c r="CB57" s="179"/>
      <c r="CC57" s="174">
        <f>USD!DP58</f>
        <v>325.32028213617389</v>
      </c>
      <c r="CD57" s="174"/>
      <c r="CE57" s="174"/>
      <c r="CF57" s="174"/>
      <c r="CG57" s="174">
        <f t="shared" si="5"/>
        <v>0.12937627442309863</v>
      </c>
      <c r="CH57" s="183">
        <f>USD!DQ58</f>
        <v>2.2259576871052045E-3</v>
      </c>
      <c r="CI57" s="179">
        <f>BO57/USD!CP58</f>
        <v>6.8110277288597359E-4</v>
      </c>
    </row>
    <row r="58" spans="1:87">
      <c r="A58" s="321" t="str">
        <f>USD!AE59</f>
        <v>4Q2011</v>
      </c>
      <c r="B58" s="174">
        <f>USD!AF59</f>
        <v>32.339413031275399</v>
      </c>
      <c r="C58" s="180">
        <f t="shared" si="23"/>
        <v>-0.35639086811315979</v>
      </c>
      <c r="D58" s="178">
        <f>B58+B57+B56+B55</f>
        <v>161.58428510486021</v>
      </c>
      <c r="E58" s="179">
        <f>(D58/D54)-1</f>
        <v>-0.32433235985676712</v>
      </c>
      <c r="F58" s="179">
        <f t="shared" si="33"/>
        <v>0.31953642384105962</v>
      </c>
      <c r="G58" s="183">
        <f>B58/USD!L59</f>
        <v>5.7146122635579187E-5</v>
      </c>
      <c r="H58" s="183">
        <f>(B55+B56+B57+B58)/USD!L59</f>
        <v>2.8553132252754954E-4</v>
      </c>
      <c r="I58" s="174">
        <f>USD!AG59</f>
        <v>68.867869201317035</v>
      </c>
      <c r="J58" s="180">
        <f t="shared" si="35"/>
        <v>2.6201167718102436E-2</v>
      </c>
      <c r="K58" s="174">
        <f>I58+I57+I56+I55</f>
        <v>285.7713936756092</v>
      </c>
      <c r="L58" s="183">
        <f>(K58/K54)-1</f>
        <v>0.13002620287811761</v>
      </c>
      <c r="M58" s="179">
        <f t="shared" si="34"/>
        <v>0.68046357615894038</v>
      </c>
      <c r="N58" s="183">
        <f>K58/USD!L59</f>
        <v>5.0497908211671373E-4</v>
      </c>
      <c r="O58" s="174">
        <f>USD!AH59</f>
        <v>101.20728223259243</v>
      </c>
      <c r="P58" s="174">
        <f>O58+O57+O56+O55</f>
        <v>447.35567878046942</v>
      </c>
      <c r="Q58" s="174">
        <f>K58/P58</f>
        <v>0.63880131007758068</v>
      </c>
      <c r="R58" s="174">
        <f>D58/P58</f>
        <v>0.36119868992241938</v>
      </c>
      <c r="S58" s="174">
        <f>P58/USD!L59</f>
        <v>7.9051040464426321E-4</v>
      </c>
      <c r="T58" s="174">
        <f>(P58/P54)-1</f>
        <v>-9.0808422043344272E-2</v>
      </c>
      <c r="U58" s="179">
        <f t="shared" si="24"/>
        <v>-0.13760819450282979</v>
      </c>
      <c r="V58" s="183">
        <f>USD!AI59</f>
        <v>1.825306668141418E-4</v>
      </c>
      <c r="W58" s="174">
        <f>USD!AJ59</f>
        <v>19.604721889426017</v>
      </c>
      <c r="X58" s="174">
        <f t="shared" si="25"/>
        <v>-0.45450558192976231</v>
      </c>
      <c r="Y58" s="179">
        <f t="shared" si="18"/>
        <v>0.19370860927152317</v>
      </c>
      <c r="Z58" s="179">
        <f t="shared" si="21"/>
        <v>0.60621761658031081</v>
      </c>
      <c r="AA58" s="183">
        <f>I58/USD!L59</f>
        <v>1.2169459276281369E-4</v>
      </c>
      <c r="AB58" s="183"/>
      <c r="AW58" s="176"/>
      <c r="AX58" s="176"/>
      <c r="AY58" s="176"/>
      <c r="BA58" s="321" t="str">
        <f>USD!CA59</f>
        <v>4Q2011/12</v>
      </c>
      <c r="BB58" s="174">
        <f>USD!DM59</f>
        <v>125.70586791063097</v>
      </c>
      <c r="BC58" s="179">
        <f t="shared" si="15"/>
        <v>-0.14940389833588952</v>
      </c>
      <c r="BD58" s="178">
        <f>BB58+BB57+BB56+BB55</f>
        <v>557.25448785645904</v>
      </c>
      <c r="BE58" s="179">
        <f>(BD58/BD54)-1</f>
        <v>0.18065674387609976</v>
      </c>
      <c r="BF58" s="438">
        <f>BB58/USD!CP59</f>
        <v>7.9298210834118045E-4</v>
      </c>
      <c r="BG58" s="438">
        <f>(BB58+BB57+BB56+BB55)/USD!CP59</f>
        <v>3.5152920544421831E-3</v>
      </c>
      <c r="BH58" s="179">
        <f t="shared" si="32"/>
        <v>0.45070422535211269</v>
      </c>
      <c r="BI58" s="179">
        <f>BD58/CD58</f>
        <v>0.46893085609882823</v>
      </c>
      <c r="BJ58" s="174">
        <f>USD!DN59</f>
        <v>42.22931500122759</v>
      </c>
      <c r="BK58" s="174">
        <f t="shared" si="31"/>
        <v>-0.40533705814825383</v>
      </c>
      <c r="BL58" s="174">
        <f>BJ58+BJ57+BJ56+BJ55</f>
        <v>190.77606486454414</v>
      </c>
      <c r="BM58" s="174">
        <f>(BL58/BL54)-1</f>
        <v>-2.1804741144043627E-3</v>
      </c>
      <c r="BN58" s="174">
        <f>BL58/USD!CP59</f>
        <v>1.2034601777291102E-3</v>
      </c>
      <c r="BO58" s="174">
        <f>USD!DO59</f>
        <v>110.97471151485391</v>
      </c>
      <c r="BP58" s="179">
        <f t="shared" si="3"/>
        <v>4.1812595802284136E-2</v>
      </c>
      <c r="BQ58" s="174">
        <f>BO58+BO57+BO56+BO55</f>
        <v>440.32052422117283</v>
      </c>
      <c r="BR58" s="174">
        <f>(BQ58/BQ54)-1</f>
        <v>0.67987156166873453</v>
      </c>
      <c r="BS58" s="174">
        <f>BQ58/USD!CP59</f>
        <v>2.7776451763654735E-3</v>
      </c>
      <c r="BT58" s="174">
        <f t="shared" si="27"/>
        <v>153.20402651608151</v>
      </c>
      <c r="BU58" s="174">
        <f>BT58+BT57+BT56+BT55</f>
        <v>631.09658908571703</v>
      </c>
      <c r="BV58" s="179">
        <f t="shared" si="4"/>
        <v>-0.13704726577793103</v>
      </c>
      <c r="BW58" s="179">
        <f t="shared" si="30"/>
        <v>0.15140845070422534</v>
      </c>
      <c r="BX58" s="179">
        <f t="shared" si="28"/>
        <v>0.54929577464788737</v>
      </c>
      <c r="BY58" s="179">
        <f t="shared" si="29"/>
        <v>0.397887323943662</v>
      </c>
      <c r="BZ58" s="179">
        <f>BL58/CD58</f>
        <v>0.16053847096721832</v>
      </c>
      <c r="CA58" s="179">
        <f>BQ58/CD58</f>
        <v>0.37053067293395353</v>
      </c>
      <c r="CB58" s="179"/>
      <c r="CC58" s="174">
        <f>USD!DP59</f>
        <v>278.90989442671247</v>
      </c>
      <c r="CD58" s="174">
        <f>CC58+CC57+CC56+CC55</f>
        <v>1188.351076942176</v>
      </c>
      <c r="CE58" s="174">
        <f>CD58/USD!CP59</f>
        <v>7.4963974085367662E-3</v>
      </c>
      <c r="CF58" s="174">
        <f>(CD58/CD54)-1</f>
        <v>0.28429369670983595</v>
      </c>
      <c r="CG58" s="174">
        <f t="shared" si="5"/>
        <v>-0.14266060328213648</v>
      </c>
      <c r="CH58" s="183">
        <f>USD!DQ59</f>
        <v>1.8584684649312236E-3</v>
      </c>
      <c r="CI58" s="179">
        <f>BO58/USD!CP59</f>
        <v>7.0005451751994842E-4</v>
      </c>
    </row>
    <row r="59" spans="1:87">
      <c r="A59" s="321" t="str">
        <f>USD!AE60</f>
        <v>1Q2012</v>
      </c>
      <c r="B59" s="174">
        <f>USD!AF60</f>
        <v>31.907153689045501</v>
      </c>
      <c r="C59" s="180">
        <f t="shared" si="23"/>
        <v>-1.3366332339175724E-2</v>
      </c>
      <c r="D59" s="178"/>
      <c r="E59" s="179"/>
      <c r="F59" s="179">
        <f t="shared" si="33"/>
        <v>0.31433506044905007</v>
      </c>
      <c r="G59" s="183">
        <f>B59/USD!L60</f>
        <v>5.0293484589606541E-5</v>
      </c>
      <c r="H59" s="183"/>
      <c r="I59" s="174">
        <f>USD!AG60</f>
        <v>69.599670409621226</v>
      </c>
      <c r="J59" s="180">
        <f t="shared" si="35"/>
        <v>1.0626163068367278E-2</v>
      </c>
      <c r="K59" s="174"/>
      <c r="L59" s="183"/>
      <c r="M59" s="179">
        <f t="shared" si="34"/>
        <v>0.68566493955094987</v>
      </c>
      <c r="N59" s="183"/>
      <c r="O59" s="174">
        <f>USD!AH60</f>
        <v>101.50682409866673</v>
      </c>
      <c r="P59" s="174"/>
      <c r="Q59" s="174"/>
      <c r="R59" s="174"/>
      <c r="S59" s="174"/>
      <c r="T59" s="174"/>
      <c r="U59" s="179">
        <f t="shared" si="24"/>
        <v>2.9596868868180248E-3</v>
      </c>
      <c r="V59" s="183">
        <f>USD!AI60</f>
        <v>1.6562438677499282E-4</v>
      </c>
      <c r="W59" s="174">
        <f>USD!AJ60</f>
        <v>15.778262813264258</v>
      </c>
      <c r="X59" s="174">
        <f t="shared" si="25"/>
        <v>-0.19518048242375707</v>
      </c>
      <c r="Y59" s="179">
        <f t="shared" si="18"/>
        <v>0.15544041450777202</v>
      </c>
      <c r="Z59" s="179">
        <f t="shared" si="21"/>
        <v>0.49450549450549447</v>
      </c>
      <c r="AA59" s="183">
        <f>I59/USD!L60</f>
        <v>1.0970611748392196E-4</v>
      </c>
      <c r="AB59" s="183"/>
      <c r="AW59" s="176"/>
      <c r="AX59" s="176"/>
      <c r="AY59" s="176"/>
      <c r="BA59" s="321" t="str">
        <f>USD!CA60</f>
        <v>1Q2012/12</v>
      </c>
      <c r="BB59" s="174">
        <f>USD!DM60</f>
        <v>238.13097203461902</v>
      </c>
      <c r="BC59" s="179">
        <f t="shared" si="15"/>
        <v>0.89435048651758464</v>
      </c>
      <c r="BD59" s="178"/>
      <c r="BE59" s="179"/>
      <c r="BF59" s="438">
        <f>BB59/USD!CP60</f>
        <v>1.3358628663800362E-3</v>
      </c>
      <c r="BG59" s="438"/>
      <c r="BH59" s="179">
        <f t="shared" si="32"/>
        <v>0.57074340527577927</v>
      </c>
      <c r="BI59" s="179"/>
      <c r="BJ59" s="174">
        <f>USD!DN60</f>
        <v>58.03191755465506</v>
      </c>
      <c r="BK59" s="174">
        <f t="shared" si="31"/>
        <v>0.37420930348901216</v>
      </c>
      <c r="BL59" s="174"/>
      <c r="BM59" s="174"/>
      <c r="BN59" s="174"/>
      <c r="BO59" s="174">
        <f>USD!DO60</f>
        <v>121.06658662264245</v>
      </c>
      <c r="BP59" s="179">
        <f t="shared" si="3"/>
        <v>9.0938511756687435E-2</v>
      </c>
      <c r="BQ59" s="174"/>
      <c r="BR59" s="174"/>
      <c r="BS59" s="174"/>
      <c r="BT59" s="174">
        <f t="shared" si="27"/>
        <v>179.09850417729751</v>
      </c>
      <c r="BU59" s="174"/>
      <c r="BV59" s="179">
        <f t="shared" si="4"/>
        <v>0.16901956332393064</v>
      </c>
      <c r="BW59" s="179">
        <f t="shared" si="30"/>
        <v>0.13908872901678657</v>
      </c>
      <c r="BX59" s="179">
        <f t="shared" si="28"/>
        <v>0.42925659472422062</v>
      </c>
      <c r="BY59" s="179">
        <f t="shared" si="29"/>
        <v>0.29016786570743403</v>
      </c>
      <c r="BZ59" s="179"/>
      <c r="CA59" s="179"/>
      <c r="CB59" s="179"/>
      <c r="CC59" s="174">
        <f>USD!DP60</f>
        <v>417.22947621191656</v>
      </c>
      <c r="CD59" s="174"/>
      <c r="CE59" s="174"/>
      <c r="CF59" s="174"/>
      <c r="CG59" s="174">
        <f t="shared" si="5"/>
        <v>0.4959292751858595</v>
      </c>
      <c r="CH59" s="183">
        <f>USD!DQ60</f>
        <v>2.57987082085674E-3</v>
      </c>
      <c r="CI59" s="179">
        <f>BO59/USD!CP60</f>
        <v>6.7915717156295959E-4</v>
      </c>
    </row>
    <row r="60" spans="1:87">
      <c r="A60" s="321" t="str">
        <f>USD!AE61</f>
        <v>2Q2012</v>
      </c>
      <c r="B60" s="174">
        <f>USD!AF61</f>
        <v>26.411190269915632</v>
      </c>
      <c r="C60" s="180">
        <f t="shared" si="23"/>
        <v>-0.17224862714773481</v>
      </c>
      <c r="D60" s="178"/>
      <c r="E60" s="179"/>
      <c r="F60" s="179">
        <f t="shared" si="33"/>
        <v>0.28754578754578752</v>
      </c>
      <c r="G60" s="183">
        <f>B60/USD!L61</f>
        <v>4.3065270766718171E-5</v>
      </c>
      <c r="H60" s="183"/>
      <c r="I60" s="174">
        <f>USD!AG61</f>
        <v>65.439191178325999</v>
      </c>
      <c r="J60" s="180">
        <f t="shared" si="35"/>
        <v>-5.9777283524608427E-2</v>
      </c>
      <c r="K60" s="174"/>
      <c r="L60" s="183"/>
      <c r="M60" s="179">
        <f t="shared" si="34"/>
        <v>0.71245421245421248</v>
      </c>
      <c r="N60" s="183"/>
      <c r="O60" s="174">
        <f>USD!AH61</f>
        <v>91.850381448241635</v>
      </c>
      <c r="P60" s="174"/>
      <c r="Q60" s="174"/>
      <c r="R60" s="174"/>
      <c r="S60" s="174"/>
      <c r="T60" s="174"/>
      <c r="U60" s="179">
        <f t="shared" si="24"/>
        <v>-9.5130970121169667E-2</v>
      </c>
      <c r="V60" s="183">
        <f>USD!AI61</f>
        <v>1.5337341454446269E-4</v>
      </c>
      <c r="W60" s="174">
        <f>USD!AJ61</f>
        <v>12.448586496648133</v>
      </c>
      <c r="X60" s="174">
        <f t="shared" si="25"/>
        <v>-0.2110293354866023</v>
      </c>
      <c r="Y60" s="179">
        <f t="shared" si="18"/>
        <v>0.13553113553113552</v>
      </c>
      <c r="Z60" s="179">
        <f t="shared" si="21"/>
        <v>0.4713375796178344</v>
      </c>
      <c r="AA60" s="183">
        <f>I60/USD!L61</f>
        <v>1.0670312310989406E-4</v>
      </c>
      <c r="AB60" s="183"/>
      <c r="AW60" s="176"/>
      <c r="AX60" s="176"/>
      <c r="AY60" s="176"/>
      <c r="BA60" s="321" t="str">
        <f>USD!CA61</f>
        <v>2Q2012/13</v>
      </c>
      <c r="BB60" s="174">
        <f>USD!DM61</f>
        <v>137.32895188582077</v>
      </c>
      <c r="BC60" s="179">
        <f t="shared" si="15"/>
        <v>-0.42330495393998491</v>
      </c>
      <c r="BD60" s="178"/>
      <c r="BE60" s="179"/>
      <c r="BF60" s="438">
        <f>BB60/USD!CP61</f>
        <v>7.7937115881357454E-4</v>
      </c>
      <c r="BG60" s="438"/>
      <c r="BH60" s="179">
        <f t="shared" si="32"/>
        <v>0.45901639344262291</v>
      </c>
      <c r="BI60" s="179"/>
      <c r="BJ60" s="174">
        <f>USD!DN61</f>
        <v>46.103290990239827</v>
      </c>
      <c r="BK60" s="174">
        <f t="shared" si="31"/>
        <v>-0.20555285896215181</v>
      </c>
      <c r="BL60" s="174"/>
      <c r="BM60" s="174"/>
      <c r="BN60" s="174"/>
      <c r="BO60" s="174">
        <f>USD!DO61</f>
        <v>115.74868801804892</v>
      </c>
      <c r="BP60" s="179">
        <f t="shared" si="3"/>
        <v>-4.3925402978190031E-2</v>
      </c>
      <c r="BQ60" s="174"/>
      <c r="BR60" s="174"/>
      <c r="BS60" s="174"/>
      <c r="BT60" s="174">
        <f t="shared" si="27"/>
        <v>161.85197900828877</v>
      </c>
      <c r="BU60" s="174"/>
      <c r="BV60" s="179">
        <f t="shared" si="4"/>
        <v>-9.6296310503719562E-2</v>
      </c>
      <c r="BW60" s="179">
        <f t="shared" si="30"/>
        <v>0.15409836065573768</v>
      </c>
      <c r="BX60" s="179">
        <f t="shared" si="28"/>
        <v>0.54098360655737698</v>
      </c>
      <c r="BY60" s="179">
        <f t="shared" si="29"/>
        <v>0.38688524590163925</v>
      </c>
      <c r="BZ60" s="179"/>
      <c r="CA60" s="179"/>
      <c r="CB60" s="179"/>
      <c r="CC60" s="174">
        <f>USD!DP61</f>
        <v>299.18093089410957</v>
      </c>
      <c r="CD60" s="174"/>
      <c r="CE60" s="174"/>
      <c r="CF60" s="174"/>
      <c r="CG60" s="174">
        <f t="shared" si="5"/>
        <v>-0.28293433721314676</v>
      </c>
      <c r="CH60" s="183">
        <f>USD!DQ61</f>
        <v>1.8397987682396448E-3</v>
      </c>
      <c r="CI60" s="179">
        <f>BO60/USD!CP61</f>
        <v>6.568985481428699E-4</v>
      </c>
    </row>
    <row r="61" spans="1:87">
      <c r="A61" s="321" t="str">
        <f>USD!AE62</f>
        <v>3Q2012</v>
      </c>
      <c r="B61" s="447">
        <f>USD!AF62</f>
        <v>4.3669647847959752</v>
      </c>
      <c r="C61" s="180">
        <f t="shared" si="23"/>
        <v>-0.83465475277082524</v>
      </c>
      <c r="D61" s="178"/>
      <c r="E61" s="179"/>
      <c r="F61" s="179">
        <f t="shared" si="33"/>
        <v>6.0532687651331712E-2</v>
      </c>
      <c r="G61" s="183">
        <f>B61/USD!L62</f>
        <v>6.4935520327025668E-6</v>
      </c>
      <c r="H61" s="183"/>
      <c r="I61" s="174">
        <f>USD!AG62</f>
        <v>67.775293460033538</v>
      </c>
      <c r="J61" s="180">
        <f t="shared" si="35"/>
        <v>3.5698825728782468E-2</v>
      </c>
      <c r="K61" s="174"/>
      <c r="L61" s="183"/>
      <c r="M61" s="179">
        <f t="shared" si="34"/>
        <v>0.9394673123486682</v>
      </c>
      <c r="N61" s="183"/>
      <c r="O61" s="174">
        <f>USD!AH62</f>
        <v>72.14225824482952</v>
      </c>
      <c r="P61" s="174"/>
      <c r="Q61" s="174"/>
      <c r="R61" s="174"/>
      <c r="S61" s="174"/>
      <c r="T61" s="174"/>
      <c r="U61" s="179">
        <f t="shared" si="24"/>
        <v>-0.21456767944418154</v>
      </c>
      <c r="V61" s="183">
        <f>USD!AI62</f>
        <v>1.1096384593704401E-4</v>
      </c>
      <c r="W61" s="174">
        <f>USD!AJ62</f>
        <v>-8.0352152040245954</v>
      </c>
      <c r="X61" s="174">
        <f t="shared" si="25"/>
        <v>-1.6454720948589729</v>
      </c>
      <c r="Y61" s="179">
        <f t="shared" si="18"/>
        <v>-0.11138014527845036</v>
      </c>
      <c r="Z61" s="179">
        <f t="shared" si="21"/>
        <v>-1.8400000000000003</v>
      </c>
      <c r="AA61" s="183">
        <f>I61/USD!L62</f>
        <v>1.0077992754754385E-4</v>
      </c>
      <c r="AB61" s="183"/>
      <c r="AW61" s="176"/>
      <c r="AX61" s="176"/>
      <c r="AY61" s="176"/>
      <c r="BA61" s="321" t="str">
        <f>USD!CA62</f>
        <v>3Q2012/13</v>
      </c>
      <c r="BB61" s="174">
        <f>USD!DM62</f>
        <v>243.9148330707861</v>
      </c>
      <c r="BC61" s="179">
        <f t="shared" si="15"/>
        <v>0.77613554695723508</v>
      </c>
      <c r="BD61" s="178"/>
      <c r="BE61" s="179"/>
      <c r="BF61" s="438">
        <f>BB61/USD!CP62</f>
        <v>1.2771663934949657E-3</v>
      </c>
      <c r="BG61" s="438"/>
      <c r="BH61" s="179">
        <f t="shared" si="32"/>
        <v>0.58536585365853655</v>
      </c>
      <c r="BI61" s="179"/>
      <c r="BJ61" s="174">
        <f>USD!DN62</f>
        <v>49.799278418618826</v>
      </c>
      <c r="BK61" s="174">
        <f t="shared" si="31"/>
        <v>8.0167540082148214E-2</v>
      </c>
      <c r="BL61" s="174"/>
      <c r="BM61" s="174"/>
      <c r="BN61" s="174"/>
      <c r="BO61" s="174">
        <f>USD!DO62</f>
        <v>122.97372833985466</v>
      </c>
      <c r="BP61" s="179">
        <f t="shared" si="3"/>
        <v>6.2420062339532789E-2</v>
      </c>
      <c r="BQ61" s="174"/>
      <c r="BR61" s="174"/>
      <c r="BS61" s="174"/>
      <c r="BT61" s="174">
        <f t="shared" si="27"/>
        <v>172.77300675847349</v>
      </c>
      <c r="BU61" s="174"/>
      <c r="BV61" s="179">
        <f t="shared" si="4"/>
        <v>6.7475404484398815E-2</v>
      </c>
      <c r="BW61" s="179">
        <f t="shared" si="30"/>
        <v>0.11951219512195121</v>
      </c>
      <c r="BX61" s="179">
        <f t="shared" si="28"/>
        <v>0.41463414634146339</v>
      </c>
      <c r="BY61" s="179">
        <f t="shared" si="29"/>
        <v>0.29512195121951218</v>
      </c>
      <c r="BZ61" s="179"/>
      <c r="CA61" s="179"/>
      <c r="CB61" s="179"/>
      <c r="CC61" s="174">
        <f>USD!DP62</f>
        <v>416.68783982925959</v>
      </c>
      <c r="CD61" s="174"/>
      <c r="CE61" s="174"/>
      <c r="CF61" s="174"/>
      <c r="CG61" s="174">
        <f t="shared" si="5"/>
        <v>0.39276202725881548</v>
      </c>
      <c r="CH61" s="183">
        <f>USD!DQ62</f>
        <v>2.4103043450144912E-3</v>
      </c>
      <c r="CI61" s="179">
        <f>BO61/USD!CP62</f>
        <v>6.439047233870453E-4</v>
      </c>
    </row>
    <row r="62" spans="1:87">
      <c r="A62" s="321" t="str">
        <f>USD!AE63</f>
        <v>4Q2012</v>
      </c>
      <c r="B62" s="174">
        <f>USD!AF63</f>
        <v>38.6325861371906</v>
      </c>
      <c r="C62" s="180">
        <f t="shared" si="23"/>
        <v>7.8465531647275508</v>
      </c>
      <c r="D62" s="178">
        <f>B62+B61+B60+B59</f>
        <v>101.3178948809477</v>
      </c>
      <c r="E62" s="179">
        <f>(D62/D58)-1</f>
        <v>-0.37297185295465207</v>
      </c>
      <c r="F62" s="179">
        <f t="shared" si="33"/>
        <v>0.32824427480916035</v>
      </c>
      <c r="G62" s="183">
        <f>B62/USD!L63</f>
        <v>5.5449642440073129E-5</v>
      </c>
      <c r="H62" s="183">
        <f>(B59+B60+B61+B62)/USD!L63</f>
        <v>1.4542233916152772E-4</v>
      </c>
      <c r="I62" s="174">
        <f>USD!AG63</f>
        <v>79.06203674587843</v>
      </c>
      <c r="J62" s="180">
        <f t="shared" si="35"/>
        <v>0.16653182464640426</v>
      </c>
      <c r="K62" s="174">
        <f>I62+I61+I60+I59</f>
        <v>281.87619179385922</v>
      </c>
      <c r="L62" s="183">
        <f>(K62/K58)-1</f>
        <v>-1.3630482154458057E-2</v>
      </c>
      <c r="M62" s="179">
        <f t="shared" si="34"/>
        <v>0.6717557251908397</v>
      </c>
      <c r="N62" s="183">
        <f>K62/USD!L63</f>
        <v>4.045790253811777E-4</v>
      </c>
      <c r="O62" s="174">
        <f>USD!AH63</f>
        <v>117.69462288306903</v>
      </c>
      <c r="P62" s="174">
        <f>O62+O61+O60+O59</f>
        <v>383.19408667480695</v>
      </c>
      <c r="Q62" s="174">
        <f>K62/P62</f>
        <v>0.73559640296085793</v>
      </c>
      <c r="R62" s="174">
        <f>D62/P62</f>
        <v>0.26440359703914196</v>
      </c>
      <c r="S62" s="174">
        <f>P62/USD!L63</f>
        <v>5.5000136454270542E-4</v>
      </c>
      <c r="T62" s="174">
        <f>(P62/P58)-1</f>
        <v>-0.14342411452241433</v>
      </c>
      <c r="U62" s="179">
        <f t="shared" si="24"/>
        <v>0.63142415758109816</v>
      </c>
      <c r="V62" s="183">
        <f>USD!AI63</f>
        <v>1.7175480441454423E-4</v>
      </c>
      <c r="W62" s="174">
        <f>USD!AJ63</f>
        <v>33.960738511297784</v>
      </c>
      <c r="X62" s="174">
        <f t="shared" si="25"/>
        <v>-5.2264877354234249</v>
      </c>
      <c r="Y62" s="179">
        <f t="shared" si="18"/>
        <v>0.28854961832061071</v>
      </c>
      <c r="Z62" s="179">
        <f t="shared" si="21"/>
        <v>0.87906976744186049</v>
      </c>
      <c r="AA62" s="183">
        <f>I62/USD!L63</f>
        <v>1.1347833801689384E-4</v>
      </c>
      <c r="AB62" s="183"/>
      <c r="AW62" s="176"/>
      <c r="AX62" s="176"/>
      <c r="AY62" s="176"/>
      <c r="BA62" s="321" t="str">
        <f>USD!CA63</f>
        <v>4Q2012/13</v>
      </c>
      <c r="BB62" s="174">
        <f>USD!DM63</f>
        <v>199.85939540022093</v>
      </c>
      <c r="BC62" s="179">
        <f t="shared" si="15"/>
        <v>-0.18061811623313584</v>
      </c>
      <c r="BD62" s="178">
        <f>BB62+BB61+BB60+BB59</f>
        <v>819.23415239144686</v>
      </c>
      <c r="BE62" s="179">
        <f>(BD62/BD58)-1</f>
        <v>0.47012571499015032</v>
      </c>
      <c r="BF62" s="438">
        <f>BB62/USD!CP63</f>
        <v>1.0261646194940337E-3</v>
      </c>
      <c r="BG62" s="438">
        <f>(BB62+BB61+BB60+BB59)/USD!CP63</f>
        <v>4.2063026388218377E-3</v>
      </c>
      <c r="BH62" s="179">
        <f t="shared" si="32"/>
        <v>0.52785145888594154</v>
      </c>
      <c r="BI62" s="179">
        <f>BD62/CD62</f>
        <v>0.5419196097233735</v>
      </c>
      <c r="BJ62" s="174">
        <f>USD!DN63</f>
        <v>39.168424224163907</v>
      </c>
      <c r="BK62" s="174">
        <f t="shared" si="31"/>
        <v>-0.21347406091089627</v>
      </c>
      <c r="BL62" s="174">
        <f>BJ62+BJ61+BJ60+BJ59</f>
        <v>193.10291118767762</v>
      </c>
      <c r="BM62" s="174">
        <f>(BL62/BL58)-1</f>
        <v>1.2196741372066722E-2</v>
      </c>
      <c r="BN62" s="174">
        <f>BL62/USD!CP63</f>
        <v>9.9147390586909749E-4</v>
      </c>
      <c r="BO62" s="174">
        <f>USD!DO63</f>
        <v>139.60028120919955</v>
      </c>
      <c r="BP62" s="179">
        <f t="shared" si="3"/>
        <v>0.13520410492390011</v>
      </c>
      <c r="BQ62" s="174">
        <f>BO62+BO61+BO60+BO59</f>
        <v>499.38928418974558</v>
      </c>
      <c r="BR62" s="174">
        <f>(BQ62/BQ58)-1</f>
        <v>0.13414945867683992</v>
      </c>
      <c r="BS62" s="174">
        <f>BQ62/USD!CP63</f>
        <v>2.5640806816400567E-3</v>
      </c>
      <c r="BT62" s="174">
        <f t="shared" si="27"/>
        <v>178.76870543336346</v>
      </c>
      <c r="BU62" s="174">
        <f>BT62+BT61+BT60+BT59</f>
        <v>692.49219537742317</v>
      </c>
      <c r="BV62" s="179">
        <f t="shared" si="4"/>
        <v>3.4702751242105867E-2</v>
      </c>
      <c r="BW62" s="179">
        <f t="shared" si="30"/>
        <v>0.10344827586206896</v>
      </c>
      <c r="BX62" s="179">
        <f t="shared" si="28"/>
        <v>0.47214854111405835</v>
      </c>
      <c r="BY62" s="179">
        <f t="shared" si="29"/>
        <v>0.36870026525198935</v>
      </c>
      <c r="BZ62" s="179">
        <f>BL62/CD62</f>
        <v>0.12773668427005638</v>
      </c>
      <c r="CA62" s="179">
        <f>BQ62/CD62</f>
        <v>0.33034370600657015</v>
      </c>
      <c r="CB62" s="179"/>
      <c r="CC62" s="174">
        <f>USD!DP63</f>
        <v>378.62810083358443</v>
      </c>
      <c r="CD62" s="174">
        <f>CC62+CC61+CC60+CC59</f>
        <v>1511.72634776887</v>
      </c>
      <c r="CE62" s="174">
        <f>CD62/USD!CP63</f>
        <v>7.7618572263309918E-3</v>
      </c>
      <c r="CF62" s="174">
        <f>(CD62/CD58)-1</f>
        <v>0.27212098941231422</v>
      </c>
      <c r="CG62" s="174">
        <f t="shared" si="5"/>
        <v>-9.1338732158035563E-2</v>
      </c>
      <c r="CH62" s="183">
        <f>USD!DQ63</f>
        <v>2.1844814898511426E-3</v>
      </c>
      <c r="CI62" s="179">
        <f>BO62/USD!CP63</f>
        <v>7.1676825180739037E-4</v>
      </c>
    </row>
    <row r="63" spans="1:87">
      <c r="A63" s="321" t="str">
        <f>USD!AE64</f>
        <v>1Q2013</v>
      </c>
      <c r="B63" s="174">
        <f>USD!AF64</f>
        <v>27.089584226318042</v>
      </c>
      <c r="C63" s="180">
        <f t="shared" si="23"/>
        <v>-0.29878926225341162</v>
      </c>
      <c r="D63" s="178"/>
      <c r="E63" s="179"/>
      <c r="F63" s="179">
        <f t="shared" si="33"/>
        <v>0.27383015597920279</v>
      </c>
      <c r="G63" s="183">
        <f>B63/USD!L64</f>
        <v>3.6489556827403938E-5</v>
      </c>
      <c r="H63" s="183"/>
      <c r="I63" s="174">
        <f>USD!AG64</f>
        <v>71.83883411915987</v>
      </c>
      <c r="J63" s="180">
        <f t="shared" si="35"/>
        <v>-9.1361200950785149E-2</v>
      </c>
      <c r="K63" s="174"/>
      <c r="L63" s="183"/>
      <c r="M63" s="179">
        <f t="shared" si="34"/>
        <v>0.72616984402079721</v>
      </c>
      <c r="N63" s="183"/>
      <c r="O63" s="174">
        <f>USD!AH64</f>
        <v>98.928418345477908</v>
      </c>
      <c r="P63" s="174"/>
      <c r="Q63" s="174"/>
      <c r="R63" s="174"/>
      <c r="S63" s="174"/>
      <c r="T63" s="174"/>
      <c r="U63" s="179">
        <f t="shared" si="24"/>
        <v>-0.15944827450813592</v>
      </c>
      <c r="V63" s="183">
        <f>USD!AI64</f>
        <v>1.3800559197701978E-4</v>
      </c>
      <c r="W63" s="174">
        <f>USD!AJ64</f>
        <v>10.458636948135448</v>
      </c>
      <c r="X63" s="174">
        <f t="shared" si="25"/>
        <v>-0.6920374112401545</v>
      </c>
      <c r="Y63" s="179">
        <f t="shared" si="18"/>
        <v>0.10571923743500868</v>
      </c>
      <c r="Z63" s="179">
        <f t="shared" si="21"/>
        <v>0.38607594936708867</v>
      </c>
      <c r="AA63" s="183">
        <f>I63/USD!L64</f>
        <v>9.6766609561280047E-5</v>
      </c>
      <c r="AB63" s="183"/>
      <c r="AW63" s="176"/>
      <c r="AX63" s="176"/>
      <c r="AY63" s="176"/>
      <c r="BA63" s="321" t="str">
        <f>USD!CA64</f>
        <v>1Q2013/13</v>
      </c>
      <c r="BB63" s="174">
        <f>USD!DM64</f>
        <v>199.81298292238787</v>
      </c>
      <c r="BC63" s="179">
        <f t="shared" si="15"/>
        <v>-2.3222564913760735E-4</v>
      </c>
      <c r="BD63" s="178"/>
      <c r="BE63" s="179"/>
      <c r="BF63" s="438">
        <f>BB63/USD!CP64</f>
        <v>9.7142665728737476E-4</v>
      </c>
      <c r="BG63" s="438"/>
      <c r="BH63" s="179">
        <f t="shared" si="32"/>
        <v>0.56862745098039214</v>
      </c>
      <c r="BI63" s="179"/>
      <c r="BJ63" s="174">
        <f>USD!DN64</f>
        <v>41.340617156356117</v>
      </c>
      <c r="BK63" s="174">
        <f t="shared" si="31"/>
        <v>5.5457756476507303E-2</v>
      </c>
      <c r="BL63" s="174"/>
      <c r="BM63" s="174"/>
      <c r="BN63" s="174"/>
      <c r="BO63" s="174">
        <f>USD!DO64</f>
        <v>110.24164575028297</v>
      </c>
      <c r="BP63" s="179">
        <f t="shared" si="3"/>
        <v>-0.21030498796002328</v>
      </c>
      <c r="BQ63" s="174"/>
      <c r="BR63" s="174"/>
      <c r="BS63" s="174"/>
      <c r="BT63" s="174">
        <f t="shared" si="27"/>
        <v>151.58226290663907</v>
      </c>
      <c r="BU63" s="174"/>
      <c r="BV63" s="179">
        <f t="shared" si="4"/>
        <v>-0.15207607204415441</v>
      </c>
      <c r="BW63" s="179">
        <f t="shared" si="30"/>
        <v>0.11764705882352942</v>
      </c>
      <c r="BX63" s="179">
        <f t="shared" si="28"/>
        <v>0.43137254901960781</v>
      </c>
      <c r="BY63" s="179">
        <f t="shared" si="29"/>
        <v>0.31372549019607843</v>
      </c>
      <c r="BZ63" s="179"/>
      <c r="CA63" s="179"/>
      <c r="CB63" s="179"/>
      <c r="CC63" s="174">
        <f>USD!DP64</f>
        <v>351.39524582902698</v>
      </c>
      <c r="CD63" s="174"/>
      <c r="CE63" s="174"/>
      <c r="CF63" s="174"/>
      <c r="CG63" s="174">
        <f t="shared" si="5"/>
        <v>-7.1925076201691862E-2</v>
      </c>
      <c r="CH63" s="183">
        <f>USD!DQ64</f>
        <v>1.9480094290204298E-3</v>
      </c>
      <c r="CI63" s="179">
        <f>BO63/USD!CP64</f>
        <v>5.3595953505510333E-4</v>
      </c>
    </row>
    <row r="64" spans="1:87">
      <c r="A64" s="321" t="str">
        <f>USD!AE65</f>
        <v>2Q2013</v>
      </c>
      <c r="B64" s="174">
        <f>USD!AF65</f>
        <v>55.846250849567227</v>
      </c>
      <c r="C64" s="180">
        <f t="shared" si="23"/>
        <v>1.0615396081019042</v>
      </c>
      <c r="D64" s="441"/>
      <c r="E64" s="317"/>
      <c r="F64" s="179">
        <f t="shared" si="33"/>
        <v>0.43219264892268694</v>
      </c>
      <c r="G64" s="183">
        <f>B64/USD!L65</f>
        <v>7.4053258408519467E-5</v>
      </c>
      <c r="H64" s="183"/>
      <c r="I64" s="174">
        <f>USD!AG65</f>
        <v>73.369854488580984</v>
      </c>
      <c r="J64" s="180">
        <f t="shared" si="35"/>
        <v>2.1311876622073234E-2</v>
      </c>
      <c r="K64" s="174"/>
      <c r="L64" s="183"/>
      <c r="M64" s="179">
        <f t="shared" si="34"/>
        <v>0.56780735107731295</v>
      </c>
      <c r="N64" s="183"/>
      <c r="O64" s="174">
        <f>USD!AH65</f>
        <v>129.21610533814822</v>
      </c>
      <c r="P64" s="174"/>
      <c r="Q64" s="174"/>
      <c r="R64" s="174"/>
      <c r="S64" s="174"/>
      <c r="T64" s="174"/>
      <c r="U64" s="179">
        <f t="shared" si="24"/>
        <v>0.30615759858708769</v>
      </c>
      <c r="V64" s="183">
        <f>USD!AI65</f>
        <v>1.7951168725742318E-4</v>
      </c>
      <c r="W64" s="174">
        <f>USD!AJ65</f>
        <v>39.960367176816433</v>
      </c>
      <c r="X64" s="174">
        <f t="shared" si="25"/>
        <v>2.8208006812915056</v>
      </c>
      <c r="Y64" s="179">
        <f t="shared" si="18"/>
        <v>0.30925221799746516</v>
      </c>
      <c r="Z64" s="179">
        <f t="shared" si="21"/>
        <v>0.71554252199413493</v>
      </c>
      <c r="AA64" s="183">
        <f>I64/USD!L65</f>
        <v>9.7289911340224975E-5</v>
      </c>
      <c r="AB64" s="183"/>
      <c r="AW64" s="176"/>
      <c r="AX64" s="176"/>
      <c r="AY64" s="176"/>
      <c r="BA64" s="321" t="str">
        <f>USD!CA65</f>
        <v>2Q2013/14</v>
      </c>
      <c r="BB64" s="174">
        <f>USD!DM65</f>
        <v>207.59277690885824</v>
      </c>
      <c r="BC64" s="179">
        <f t="shared" si="15"/>
        <v>3.8935377835244145E-2</v>
      </c>
      <c r="BD64" s="178"/>
      <c r="BE64" s="179"/>
      <c r="BF64" s="438">
        <f>BB64/USD!CP65</f>
        <v>9.5054971288190192E-4</v>
      </c>
      <c r="BG64" s="438"/>
      <c r="BH64" s="179">
        <f t="shared" si="32"/>
        <v>0.57480314960629919</v>
      </c>
      <c r="BI64" s="179"/>
      <c r="BJ64" s="174">
        <f>USD!DN65</f>
        <v>35.07275226314043</v>
      </c>
      <c r="BK64" s="174">
        <f t="shared" si="31"/>
        <v>-0.15161517472053521</v>
      </c>
      <c r="BL64" s="174"/>
      <c r="BM64" s="174"/>
      <c r="BN64" s="174"/>
      <c r="BO64" s="174">
        <f>USD!DO65</f>
        <v>118.48902791601498</v>
      </c>
      <c r="BP64" s="179">
        <f t="shared" si="3"/>
        <v>7.4811856350673445E-2</v>
      </c>
      <c r="BQ64" s="174"/>
      <c r="BR64" s="174"/>
      <c r="BS64" s="174"/>
      <c r="BT64" s="174">
        <f t="shared" si="27"/>
        <v>153.56178017915539</v>
      </c>
      <c r="BU64" s="174"/>
      <c r="BV64" s="179">
        <f t="shared" si="4"/>
        <v>1.3059029694889368E-2</v>
      </c>
      <c r="BW64" s="179">
        <f t="shared" si="30"/>
        <v>9.711286089238845E-2</v>
      </c>
      <c r="BX64" s="179">
        <f t="shared" si="28"/>
        <v>0.42519685039370075</v>
      </c>
      <c r="BY64" s="179">
        <f t="shared" si="29"/>
        <v>0.32808398950131235</v>
      </c>
      <c r="BZ64" s="179"/>
      <c r="CA64" s="179"/>
      <c r="CB64" s="179"/>
      <c r="CC64" s="174">
        <f>USD!DP65</f>
        <v>361.15455708801363</v>
      </c>
      <c r="CD64" s="174"/>
      <c r="CE64" s="174"/>
      <c r="CF64" s="174"/>
      <c r="CG64" s="174">
        <f t="shared" si="5"/>
        <v>2.7773031578620433E-2</v>
      </c>
      <c r="CH64" s="183">
        <f>USD!DQ65</f>
        <v>2.0165345245530281E-3</v>
      </c>
      <c r="CI64" s="179">
        <f>BO64/USD!CP65</f>
        <v>5.425512059828207E-4</v>
      </c>
    </row>
    <row r="65" spans="1:87">
      <c r="A65" s="321" t="str">
        <f>USD!AE66</f>
        <v>3Q2013</v>
      </c>
      <c r="B65" s="174">
        <f>USD!AF66</f>
        <v>18.788710146734836</v>
      </c>
      <c r="C65" s="180">
        <f t="shared" si="23"/>
        <v>-0.66356362583146544</v>
      </c>
      <c r="D65" s="178"/>
      <c r="E65" s="179"/>
      <c r="F65" s="179">
        <f t="shared" si="33"/>
        <v>0.19185059422750422</v>
      </c>
      <c r="G65" s="183">
        <f>B65/USD!L66</f>
        <v>2.3126308529514696E-5</v>
      </c>
      <c r="H65" s="183"/>
      <c r="I65" s="174">
        <f>USD!AG66</f>
        <v>79.145363095980372</v>
      </c>
      <c r="J65" s="180">
        <f t="shared" si="35"/>
        <v>7.8717732884399538E-2</v>
      </c>
      <c r="K65" s="174"/>
      <c r="L65" s="183"/>
      <c r="M65" s="179">
        <f t="shared" si="34"/>
        <v>0.80814940577249572</v>
      </c>
      <c r="N65" s="183"/>
      <c r="O65" s="174">
        <f>USD!AH66</f>
        <v>97.934073242715215</v>
      </c>
      <c r="P65" s="174"/>
      <c r="Q65" s="174"/>
      <c r="R65" s="174"/>
      <c r="S65" s="174"/>
      <c r="T65" s="174"/>
      <c r="U65" s="179">
        <f t="shared" si="24"/>
        <v>-0.24209081378494135</v>
      </c>
      <c r="V65" s="183">
        <f>USD!AI66</f>
        <v>1.2499193600412877E-4</v>
      </c>
      <c r="W65" s="174">
        <f>USD!AJ66</f>
        <v>4.8218813650912411</v>
      </c>
      <c r="X65" s="174">
        <f t="shared" si="25"/>
        <v>-0.87933340692903539</v>
      </c>
      <c r="Y65" s="179">
        <f t="shared" si="18"/>
        <v>4.9235993208828516E-2</v>
      </c>
      <c r="Z65" s="179">
        <f t="shared" si="21"/>
        <v>0.25663716814159293</v>
      </c>
      <c r="AA65" s="183">
        <f>I65/USD!L66</f>
        <v>9.7417016460610577E-5</v>
      </c>
      <c r="AB65" s="183"/>
      <c r="AW65" s="176"/>
      <c r="AX65" s="176"/>
      <c r="AY65" s="176"/>
      <c r="BA65" s="321" t="str">
        <f>USD!CA66</f>
        <v>3Q2013/14</v>
      </c>
      <c r="BB65" s="174">
        <f>USD!DM66</f>
        <v>206.24574374939195</v>
      </c>
      <c r="BC65" s="179">
        <f t="shared" si="15"/>
        <v>-6.4888248017304084E-3</v>
      </c>
      <c r="BD65" s="178"/>
      <c r="BE65" s="179"/>
      <c r="BF65" s="438">
        <f>BB65/USD!CP66</f>
        <v>9.3445173689012703E-4</v>
      </c>
      <c r="BG65" s="438"/>
      <c r="BH65" s="179">
        <f t="shared" si="32"/>
        <v>0.55208333333333326</v>
      </c>
      <c r="BI65" s="179"/>
      <c r="BJ65" s="174">
        <f>USD!DN66</f>
        <v>70.045724292246319</v>
      </c>
      <c r="BK65" s="174">
        <f t="shared" si="31"/>
        <v>0.99715504978662861</v>
      </c>
      <c r="BL65" s="174"/>
      <c r="BM65" s="174"/>
      <c r="BN65" s="174"/>
      <c r="BO65" s="174">
        <f>USD!DO66</f>
        <v>97.285728183675445</v>
      </c>
      <c r="BP65" s="179">
        <f t="shared" si="3"/>
        <v>-0.17894736842105274</v>
      </c>
      <c r="BQ65" s="174"/>
      <c r="BR65" s="174"/>
      <c r="BS65" s="174"/>
      <c r="BT65" s="174">
        <f t="shared" si="27"/>
        <v>167.33145247592176</v>
      </c>
      <c r="BU65" s="174"/>
      <c r="BV65" s="179">
        <f t="shared" si="4"/>
        <v>8.9668615984405564E-2</v>
      </c>
      <c r="BW65" s="179">
        <f t="shared" si="30"/>
        <v>0.18749999999999997</v>
      </c>
      <c r="BX65" s="179">
        <f t="shared" si="28"/>
        <v>0.44791666666666663</v>
      </c>
      <c r="BY65" s="179">
        <f t="shared" si="29"/>
        <v>0.26041666666666663</v>
      </c>
      <c r="BZ65" s="179"/>
      <c r="CA65" s="179"/>
      <c r="CB65" s="179"/>
      <c r="CC65" s="174">
        <f>USD!DP66</f>
        <v>373.57719622531374</v>
      </c>
      <c r="CD65" s="174"/>
      <c r="CE65" s="174"/>
      <c r="CF65" s="174"/>
      <c r="CG65" s="174">
        <f t="shared" si="5"/>
        <v>3.4397016162453387E-2</v>
      </c>
      <c r="CH65" s="183">
        <f>USD!DQ66</f>
        <v>1.9912468108937795E-3</v>
      </c>
      <c r="CI65" s="179">
        <f>BO65/USD!CP66</f>
        <v>4.4077912117458819E-4</v>
      </c>
    </row>
    <row r="66" spans="1:87">
      <c r="A66" s="321" t="str">
        <f>USD!AE67</f>
        <v>4Q2013</v>
      </c>
      <c r="B66" s="174">
        <f>USD!AF67</f>
        <v>63.459620725747293</v>
      </c>
      <c r="C66" s="180">
        <f t="shared" si="23"/>
        <v>2.3775400349542095</v>
      </c>
      <c r="D66" s="178">
        <f>B66+B65+B64+B63</f>
        <v>165.18416594836739</v>
      </c>
      <c r="E66" s="179">
        <f>(D66/D62)-1</f>
        <v>0.63035529056801787</v>
      </c>
      <c r="F66" s="179">
        <f t="shared" si="33"/>
        <v>0.41220556745182013</v>
      </c>
      <c r="G66" s="183">
        <f>B66/USD!L67</f>
        <v>7.4554666579912149E-5</v>
      </c>
      <c r="H66" s="183">
        <f>(B63+B64+B65+B66)/USD!L67</f>
        <v>1.9406435581744309E-4</v>
      </c>
      <c r="I66" s="174">
        <f>USD!AG67</f>
        <v>90.491770853078606</v>
      </c>
      <c r="J66" s="180">
        <f t="shared" si="35"/>
        <v>0.14336162364102534</v>
      </c>
      <c r="K66" s="174">
        <f>I66+I65+I64+I63</f>
        <v>314.84582255679982</v>
      </c>
      <c r="L66" s="183">
        <f>(K66/K62)-1</f>
        <v>0.11696493610589087</v>
      </c>
      <c r="M66" s="179">
        <f t="shared" si="34"/>
        <v>0.58779443254817987</v>
      </c>
      <c r="N66" s="183">
        <f>K66/USD!L67</f>
        <v>3.6989230405653318E-4</v>
      </c>
      <c r="O66" s="174">
        <f>USD!AH67</f>
        <v>153.95139157882591</v>
      </c>
      <c r="P66" s="174">
        <f>O66+O65+O64+O63</f>
        <v>480.02998850516724</v>
      </c>
      <c r="Q66" s="174">
        <f>K66/P66</f>
        <v>0.65588781971151933</v>
      </c>
      <c r="R66" s="174">
        <f>D66/P66</f>
        <v>0.34411218028848062</v>
      </c>
      <c r="S66" s="174">
        <f>P66/USD!L67</f>
        <v>5.6395665987397632E-4</v>
      </c>
      <c r="T66" s="174">
        <f>(P66/P62)-1</f>
        <v>0.25270719251087748</v>
      </c>
      <c r="U66" s="179">
        <f t="shared" si="24"/>
        <v>0.5719900794617212</v>
      </c>
      <c r="V66" s="183">
        <f>USD!AI67</f>
        <v>1.8550716347630098E-4</v>
      </c>
      <c r="W66" s="174">
        <f>USD!AJ67</f>
        <v>57.6905642961339</v>
      </c>
      <c r="X66" s="174">
        <f t="shared" si="25"/>
        <v>10.964326769587013</v>
      </c>
      <c r="Y66" s="179">
        <f t="shared" si="18"/>
        <v>0.37473233404710915</v>
      </c>
      <c r="Z66" s="179">
        <f t="shared" si="21"/>
        <v>0.90909090909090906</v>
      </c>
      <c r="AA66" s="183">
        <f>I66/USD!L67</f>
        <v>1.0631301805810849E-4</v>
      </c>
      <c r="AB66" s="183"/>
      <c r="AW66" s="176"/>
      <c r="AX66" s="176"/>
      <c r="AY66" s="176"/>
      <c r="BA66" s="321" t="str">
        <f>USD!CA67</f>
        <v>4Q2013/14</v>
      </c>
      <c r="BB66" s="174">
        <f>USD!DM67</f>
        <v>256.94117647058823</v>
      </c>
      <c r="BC66" s="179">
        <f t="shared" si="15"/>
        <v>0.24580110987791359</v>
      </c>
      <c r="BD66" s="178">
        <f>BB66+BB65+BB64+BB63</f>
        <v>870.59268005122624</v>
      </c>
      <c r="BE66" s="179">
        <f>(BD66/BD62)-1</f>
        <v>6.2690901630330531E-2</v>
      </c>
      <c r="BF66" s="438">
        <f>BB66/USD!CP67</f>
        <v>1.1291910359603914E-3</v>
      </c>
      <c r="BG66" s="438">
        <f>(BB66+BB65+BB64+BB63)/USD!CP67</f>
        <v>3.8260331169578349E-3</v>
      </c>
      <c r="BH66" s="179">
        <f t="shared" si="32"/>
        <v>0.58458244111349045</v>
      </c>
      <c r="BI66" s="179">
        <f>BD66/CD66</f>
        <v>0.57063482565751888</v>
      </c>
      <c r="BJ66" s="174">
        <f>USD!DN67</f>
        <v>48</v>
      </c>
      <c r="BK66" s="174">
        <f t="shared" si="31"/>
        <v>-0.31473333333333331</v>
      </c>
      <c r="BL66" s="174">
        <f>BJ66+BJ65+BJ64+BJ63</f>
        <v>194.45909371174287</v>
      </c>
      <c r="BM66" s="174">
        <f>(BL66/BL62)-1</f>
        <v>7.0231076047690966E-3</v>
      </c>
      <c r="BN66" s="174">
        <f>BL66/USD!CP67</f>
        <v>8.5459819440585852E-4</v>
      </c>
      <c r="BO66" s="174">
        <f>USD!DO67</f>
        <v>134.58823529411765</v>
      </c>
      <c r="BP66" s="179">
        <f t="shared" si="3"/>
        <v>0.38343247058823549</v>
      </c>
      <c r="BQ66" s="174">
        <f>BO66+BO65+BO64+BO63</f>
        <v>460.60463714409104</v>
      </c>
      <c r="BR66" s="174">
        <f>(BQ66/BQ62)-1</f>
        <v>-7.7664155546673941E-2</v>
      </c>
      <c r="BS66" s="174">
        <f>BQ66/USD!CP67</f>
        <v>2.0242400791078839E-3</v>
      </c>
      <c r="BT66" s="174">
        <f t="shared" si="27"/>
        <v>182.58823529411765</v>
      </c>
      <c r="BU66" s="174">
        <f>BT66+BT65+BT64+BT63</f>
        <v>655.06373085583391</v>
      </c>
      <c r="BV66" s="179">
        <f t="shared" si="4"/>
        <v>9.1177017783857783E-2</v>
      </c>
      <c r="BW66" s="179">
        <f t="shared" si="30"/>
        <v>0.10920770877944326</v>
      </c>
      <c r="BX66" s="179">
        <f t="shared" si="28"/>
        <v>0.41541755888650966</v>
      </c>
      <c r="BY66" s="179">
        <f t="shared" si="29"/>
        <v>0.30620985010706642</v>
      </c>
      <c r="BZ66" s="179">
        <f>BL66/CD66</f>
        <v>0.12745929707471268</v>
      </c>
      <c r="CA66" s="179">
        <f>BQ66/CD66</f>
        <v>0.30190587726776852</v>
      </c>
      <c r="CB66" s="179"/>
      <c r="CC66" s="174">
        <f>USD!DP67</f>
        <v>439.52941176470586</v>
      </c>
      <c r="CD66" s="174">
        <f>CC66+CC65+CC64+CC63</f>
        <v>1525.65641090706</v>
      </c>
      <c r="CE66" s="174">
        <f>CD66/USD!CP67</f>
        <v>6.7048713904715772E-3</v>
      </c>
      <c r="CF66" s="174">
        <f>(CD66/CD62)-1</f>
        <v>9.2146724562611748E-3</v>
      </c>
      <c r="CG66" s="174">
        <f t="shared" si="5"/>
        <v>0.17654240196078419</v>
      </c>
      <c r="CH66" s="183">
        <f>USD!DQ67</f>
        <v>2.3176983815814938E-3</v>
      </c>
      <c r="CI66" s="179">
        <f>BO66/USD!CP67</f>
        <v>5.9148101883639548E-4</v>
      </c>
    </row>
    <row r="67" spans="1:87">
      <c r="A67" s="321" t="str">
        <f>USD!AE68</f>
        <v>1Q2014</v>
      </c>
      <c r="B67" s="174">
        <f>USD!AF68</f>
        <v>70.485464460794532</v>
      </c>
      <c r="C67" s="180">
        <f t="shared" si="23"/>
        <v>0.11071361055576978</v>
      </c>
      <c r="D67" s="178"/>
      <c r="E67" s="179"/>
      <c r="F67" s="179">
        <f t="shared" si="33"/>
        <v>0.45182012847965741</v>
      </c>
      <c r="G67" s="183">
        <f>B67/USD!L68</f>
        <v>7.9982805592124836E-5</v>
      </c>
      <c r="H67" s="183"/>
      <c r="I67" s="174">
        <f>USD!AG68</f>
        <v>85.517909487978201</v>
      </c>
      <c r="J67" s="180">
        <f t="shared" si="35"/>
        <v>-5.4964792027066278E-2</v>
      </c>
      <c r="K67" s="174"/>
      <c r="L67" s="183"/>
      <c r="M67" s="179">
        <f t="shared" si="34"/>
        <v>0.54817987152034264</v>
      </c>
      <c r="N67" s="183"/>
      <c r="O67" s="174">
        <f>USD!AH68</f>
        <v>156.00337394877272</v>
      </c>
      <c r="P67" s="174"/>
      <c r="Q67" s="174"/>
      <c r="R67" s="174"/>
      <c r="S67" s="174"/>
      <c r="T67" s="174"/>
      <c r="U67" s="179">
        <f t="shared" si="24"/>
        <v>1.3328767924102536E-2</v>
      </c>
      <c r="V67" s="183">
        <f>USD!AI68</f>
        <v>1.8282322912017786E-4</v>
      </c>
      <c r="W67" s="174">
        <f>USD!AJ68</f>
        <v>52.613557595142844</v>
      </c>
      <c r="X67" s="174">
        <f t="shared" si="25"/>
        <v>-8.8004108868307451E-2</v>
      </c>
      <c r="Y67" s="179">
        <f t="shared" si="18"/>
        <v>0.33725910064239834</v>
      </c>
      <c r="Z67" s="179">
        <f t="shared" si="21"/>
        <v>0.74644549763033186</v>
      </c>
      <c r="AA67" s="183">
        <f>I67/USD!L68</f>
        <v>9.7040749912720184E-5</v>
      </c>
      <c r="AB67" s="183"/>
      <c r="AW67" s="176"/>
      <c r="AX67" s="176"/>
      <c r="AY67" s="176"/>
      <c r="BA67" s="321" t="str">
        <f>USD!CA68</f>
        <v>1Q2014/14</v>
      </c>
      <c r="BB67" s="174">
        <f>USD!DM68</f>
        <v>220.158550396376</v>
      </c>
      <c r="BC67" s="179">
        <f t="shared" si="15"/>
        <v>-0.14315582492252932</v>
      </c>
      <c r="BD67" s="178"/>
      <c r="BE67" s="179"/>
      <c r="BF67" s="438">
        <f>BB67/USD!CP68</f>
        <v>9.6323074727679213E-4</v>
      </c>
      <c r="BG67" s="438"/>
      <c r="BH67" s="179">
        <f t="shared" si="32"/>
        <v>0.47928994082840243</v>
      </c>
      <c r="BI67" s="179"/>
      <c r="BJ67" s="174">
        <f>USD!DN68</f>
        <v>50.736126840317098</v>
      </c>
      <c r="BK67" s="174">
        <f t="shared" si="31"/>
        <v>5.7002642506606138E-2</v>
      </c>
      <c r="BL67" s="174"/>
      <c r="BM67" s="174"/>
      <c r="BN67" s="174"/>
      <c r="BO67" s="174">
        <f>USD!DO68</f>
        <v>188.44847112117779</v>
      </c>
      <c r="BP67" s="179">
        <f t="shared" si="3"/>
        <v>0.40018531864511453</v>
      </c>
      <c r="BQ67" s="174"/>
      <c r="BR67" s="174"/>
      <c r="BS67" s="174"/>
      <c r="BT67" s="174">
        <f t="shared" si="27"/>
        <v>239.18459796149489</v>
      </c>
      <c r="BU67" s="174"/>
      <c r="BV67" s="179">
        <f t="shared" si="4"/>
        <v>0.30996719244375415</v>
      </c>
      <c r="BW67" s="179">
        <f t="shared" si="30"/>
        <v>0.11045364891518739</v>
      </c>
      <c r="BX67" s="179">
        <f t="shared" si="28"/>
        <v>0.52071005917159763</v>
      </c>
      <c r="BY67" s="179">
        <f t="shared" si="29"/>
        <v>0.41025641025641024</v>
      </c>
      <c r="BZ67" s="179"/>
      <c r="CA67" s="179"/>
      <c r="CB67" s="179"/>
      <c r="CC67" s="174">
        <f>USD!DP68</f>
        <v>459.34314835787086</v>
      </c>
      <c r="CD67" s="174"/>
      <c r="CE67" s="174"/>
      <c r="CF67" s="174"/>
      <c r="CG67" s="174">
        <f t="shared" si="5"/>
        <v>4.5079432827061616E-2</v>
      </c>
      <c r="CH67" s="183">
        <f>USD!DQ68</f>
        <v>2.3140963613459183E-3</v>
      </c>
      <c r="CI67" s="179">
        <f>BO67/USD!CP68</f>
        <v>8.244938083686121E-4</v>
      </c>
    </row>
    <row r="68" spans="1:87">
      <c r="A68" s="321" t="str">
        <f>USD!AE69</f>
        <v>2Q2014</v>
      </c>
      <c r="B68" s="174">
        <f>USD!AF69</f>
        <v>-8.9630559131724326</v>
      </c>
      <c r="C68" s="180">
        <f t="shared" si="23"/>
        <v>-1.1271617628079598</v>
      </c>
      <c r="D68" s="441"/>
      <c r="E68" s="317"/>
      <c r="F68" s="179">
        <f t="shared" si="33"/>
        <v>-0.12643678160919539</v>
      </c>
      <c r="G68" s="183">
        <f>B68/USD!L69</f>
        <v>-9.8269948620897418E-6</v>
      </c>
      <c r="H68" s="183"/>
      <c r="I68" s="174">
        <f>USD!AG69</f>
        <v>79.852679953718038</v>
      </c>
      <c r="J68" s="180">
        <f t="shared" si="35"/>
        <v>-6.6246118131039644E-2</v>
      </c>
      <c r="K68" s="174"/>
      <c r="L68" s="183"/>
      <c r="M68" s="179">
        <f t="shared" si="34"/>
        <v>1.1264367816091954</v>
      </c>
      <c r="N68" s="183"/>
      <c r="O68" s="174">
        <f>USD!AH69</f>
        <v>70.889624040545613</v>
      </c>
      <c r="P68" s="174"/>
      <c r="Q68" s="174"/>
      <c r="R68" s="174"/>
      <c r="S68" s="174"/>
      <c r="T68" s="174"/>
      <c r="U68" s="179">
        <f t="shared" si="24"/>
        <v>-0.54558916101504418</v>
      </c>
      <c r="V68" s="183">
        <f>USD!AI69</f>
        <v>7.9430496124704785E-5</v>
      </c>
      <c r="W68" s="174">
        <f>USD!AJ69</f>
        <v>-30.637354757753041</v>
      </c>
      <c r="X68" s="174">
        <f t="shared" si="25"/>
        <v>-1.5823091263568423</v>
      </c>
      <c r="Y68" s="179">
        <f t="shared" ref="Y68:Y78" si="36">W68/O68</f>
        <v>-0.43218390804597695</v>
      </c>
      <c r="Z68" s="179">
        <f t="shared" si="21"/>
        <v>3.418181818181818</v>
      </c>
      <c r="AA68" s="183">
        <f>I68/USD!L69</f>
        <v>8.7549590589526785E-5</v>
      </c>
      <c r="AB68" s="183"/>
      <c r="AW68" s="176"/>
      <c r="AX68" s="176"/>
      <c r="AY68" s="176"/>
      <c r="BA68" s="321" t="str">
        <f>USD!CA69</f>
        <v>2Q2014/15</v>
      </c>
      <c r="BB68" s="174">
        <f>USD!DM69</f>
        <v>208.42134910575973</v>
      </c>
      <c r="BC68" s="179">
        <f t="shared" si="15"/>
        <v>-5.3312493516533777E-2</v>
      </c>
      <c r="BD68" s="178"/>
      <c r="BE68" s="179"/>
      <c r="BF68" s="438">
        <f>BB68/USD!CP69</f>
        <v>8.271483501743718E-4</v>
      </c>
      <c r="BG68" s="438"/>
      <c r="BH68" s="179">
        <f t="shared" si="32"/>
        <v>0.51627906976744176</v>
      </c>
      <c r="BI68" s="179"/>
      <c r="BJ68" s="174">
        <f>USD!DN69</f>
        <v>60.08543397643524</v>
      </c>
      <c r="BK68" s="174">
        <f t="shared" si="31"/>
        <v>0.1842731741337571</v>
      </c>
      <c r="BL68" s="174"/>
      <c r="BM68" s="174"/>
      <c r="BN68" s="174"/>
      <c r="BO68" s="174">
        <f>USD!DO69</f>
        <v>135.1922264469793</v>
      </c>
      <c r="BP68" s="179">
        <f t="shared" si="3"/>
        <v>-0.28260375028435858</v>
      </c>
      <c r="BQ68" s="174"/>
      <c r="BR68" s="174"/>
      <c r="BS68" s="174"/>
      <c r="BT68" s="174">
        <f t="shared" si="27"/>
        <v>195.27766042341455</v>
      </c>
      <c r="BU68" s="174"/>
      <c r="BV68" s="179">
        <f t="shared" si="4"/>
        <v>-0.18356925116536427</v>
      </c>
      <c r="BW68" s="179">
        <f t="shared" si="30"/>
        <v>0.14883720930232558</v>
      </c>
      <c r="BX68" s="179">
        <f t="shared" si="28"/>
        <v>0.48372093023255813</v>
      </c>
      <c r="BY68" s="179">
        <f t="shared" si="29"/>
        <v>0.33488372093023255</v>
      </c>
      <c r="BZ68" s="179"/>
      <c r="CA68" s="179"/>
      <c r="CB68" s="179"/>
      <c r="CC68" s="174">
        <f>USD!DP69</f>
        <v>403.6990095291743</v>
      </c>
      <c r="CD68" s="174"/>
      <c r="CE68" s="174"/>
      <c r="CF68" s="174"/>
      <c r="CG68" s="174">
        <f t="shared" si="5"/>
        <v>-0.12113849749935668</v>
      </c>
      <c r="CH68" s="183">
        <f>USD!DQ69</f>
        <v>1.8959435626102292E-3</v>
      </c>
      <c r="CI68" s="179">
        <f>BO68/USD!CP69</f>
        <v>5.365286595725656E-4</v>
      </c>
    </row>
    <row r="69" spans="1:87">
      <c r="A69" s="321" t="str">
        <f>USD!AE70</f>
        <v>3Q2014</v>
      </c>
      <c r="B69" s="174">
        <f>USD!AF70</f>
        <v>33.941847339535244</v>
      </c>
      <c r="C69" s="180">
        <f t="shared" ref="C69:C78" si="37">(B69/B68)-1</f>
        <v>-4.7868610514470937</v>
      </c>
      <c r="D69" s="441"/>
      <c r="E69" s="317"/>
      <c r="F69" s="179">
        <f t="shared" si="33"/>
        <v>0.2941970310391363</v>
      </c>
      <c r="G69" s="183">
        <f>B69/USD!L70</f>
        <v>3.8713971588206943E-5</v>
      </c>
      <c r="H69" s="183"/>
      <c r="I69" s="174">
        <f>USD!AG70</f>
        <v>81.42929430539877</v>
      </c>
      <c r="J69" s="180">
        <f t="shared" si="35"/>
        <v>1.9744038053506996E-2</v>
      </c>
      <c r="K69" s="174"/>
      <c r="L69" s="183"/>
      <c r="M69" s="179">
        <f t="shared" si="34"/>
        <v>0.7058029689608637</v>
      </c>
      <c r="N69" s="183"/>
      <c r="O69" s="174">
        <f>USD!AH70</f>
        <v>115.37114164493401</v>
      </c>
      <c r="P69" s="174"/>
      <c r="Q69" s="174"/>
      <c r="R69" s="174"/>
      <c r="S69" s="174"/>
      <c r="T69" s="174"/>
      <c r="U69" s="179">
        <f t="shared" ref="U69:U77" si="38">(O69/O68)-1</f>
        <v>0.62747571603634134</v>
      </c>
      <c r="V69" s="183">
        <f>USD!AI70</f>
        <v>1.3394391997637094E-4</v>
      </c>
      <c r="W69" s="174">
        <f>USD!AJ70</f>
        <v>12.144330699466739</v>
      </c>
      <c r="X69" s="174">
        <f t="shared" si="25"/>
        <v>-1.3963896620805198</v>
      </c>
      <c r="Y69" s="179">
        <f t="shared" si="36"/>
        <v>0.10526315789473685</v>
      </c>
      <c r="Z69" s="179">
        <f t="shared" si="21"/>
        <v>0.3577981651376147</v>
      </c>
      <c r="AA69" s="183">
        <f>I69/USD!L70</f>
        <v>9.2878014406569864E-5</v>
      </c>
      <c r="AB69" s="183"/>
      <c r="AW69" s="176"/>
      <c r="AX69" s="176"/>
      <c r="AY69" s="176"/>
      <c r="BA69" s="321" t="str">
        <f>USD!CA70</f>
        <v>3Q2014/15</v>
      </c>
      <c r="BB69" s="174">
        <f>USD!DM70</f>
        <v>277.3925104022191</v>
      </c>
      <c r="BC69" s="179">
        <f t="shared" ref="BC69:BC78" si="39">(BB69/BB68)-1</f>
        <v>0.33092176781497162</v>
      </c>
      <c r="BD69" s="178"/>
      <c r="BE69" s="179"/>
      <c r="BF69" s="438">
        <f>BB69/USD!CP70</f>
        <v>1.1330119477937332E-3</v>
      </c>
      <c r="BG69" s="438"/>
      <c r="BH69" s="179">
        <f t="shared" si="32"/>
        <v>0.59160305343511455</v>
      </c>
      <c r="BI69" s="179"/>
      <c r="BJ69" s="174">
        <f>USD!DN70</f>
        <v>37.582211086752267</v>
      </c>
      <c r="BK69" s="174">
        <f t="shared" si="31"/>
        <v>-0.37452043532727841</v>
      </c>
      <c r="BL69" s="174"/>
      <c r="BM69" s="174"/>
      <c r="BN69" s="174"/>
      <c r="BO69" s="174">
        <f>USD!DO70</f>
        <v>153.9081025457474</v>
      </c>
      <c r="BP69" s="179">
        <f t="shared" si="3"/>
        <v>0.13843899601807519</v>
      </c>
      <c r="BQ69" s="174"/>
      <c r="BR69" s="174"/>
      <c r="BS69" s="174"/>
      <c r="BT69" s="174">
        <f t="shared" si="27"/>
        <v>191.49031363249966</v>
      </c>
      <c r="BU69" s="174"/>
      <c r="BV69" s="179">
        <f t="shared" si="4"/>
        <v>-1.9394675165110509E-2</v>
      </c>
      <c r="BW69" s="179">
        <f t="shared" si="30"/>
        <v>8.0152671755725199E-2</v>
      </c>
      <c r="BX69" s="179">
        <f t="shared" si="28"/>
        <v>0.40839694656488557</v>
      </c>
      <c r="BY69" s="179">
        <f t="shared" si="29"/>
        <v>0.32824427480916035</v>
      </c>
      <c r="BZ69" s="179"/>
      <c r="CA69" s="179"/>
      <c r="CB69" s="179"/>
      <c r="CC69" s="174">
        <f>USD!DP70</f>
        <v>468.88282403471874</v>
      </c>
      <c r="CD69" s="174"/>
      <c r="CE69" s="174"/>
      <c r="CF69" s="174"/>
      <c r="CG69" s="174">
        <f t="shared" si="5"/>
        <v>0.16146637214088533</v>
      </c>
      <c r="CH69" s="183">
        <f>USD!DQ70</f>
        <v>2.2352469435984062E-3</v>
      </c>
      <c r="CI69" s="179">
        <f>BO69/USD!CP70</f>
        <v>6.2863888716297464E-4</v>
      </c>
    </row>
    <row r="70" spans="1:87">
      <c r="A70" s="321" t="str">
        <f>USD!AE71</f>
        <v>4Q2014</v>
      </c>
      <c r="B70" s="174">
        <f>USD!AF71</f>
        <v>67.88884368893838</v>
      </c>
      <c r="C70" s="180">
        <f t="shared" si="37"/>
        <v>1.0001517009317844</v>
      </c>
      <c r="D70" s="178">
        <f>B70+B69+B68+B67</f>
        <v>163.35309957609573</v>
      </c>
      <c r="E70" s="179">
        <f>(D70/D66)-1</f>
        <v>-1.10849993506279E-2</v>
      </c>
      <c r="F70" s="179">
        <f t="shared" si="33"/>
        <v>0.46611721611721613</v>
      </c>
      <c r="G70" s="183">
        <f>B70/USD!L71</f>
        <v>7.8507330409899269E-5</v>
      </c>
      <c r="H70" s="183">
        <f>(B67+B68+B69+B70)/USD!L71</f>
        <v>1.8890314026649563E-4</v>
      </c>
      <c r="I70" s="174">
        <f>USD!AG71</f>
        <v>77.758734519943175</v>
      </c>
      <c r="J70" s="180">
        <f t="shared" si="35"/>
        <v>-4.5076649831806703E-2</v>
      </c>
      <c r="K70" s="174">
        <f>I70+I69+I68+I67</f>
        <v>324.55861826703818</v>
      </c>
      <c r="L70" s="183">
        <f>(K70/K66)-1</f>
        <v>3.0849371388709246E-2</v>
      </c>
      <c r="M70" s="179">
        <f t="shared" si="34"/>
        <v>0.53388278388278387</v>
      </c>
      <c r="N70" s="183">
        <f>K70/USD!L71</f>
        <v>3.7532279675316392E-4</v>
      </c>
      <c r="O70" s="174">
        <f>USD!AH71</f>
        <v>145.64757820888155</v>
      </c>
      <c r="P70" s="174">
        <f>O70+O69+O68+O67</f>
        <v>487.91171784313394</v>
      </c>
      <c r="Q70" s="174">
        <f>K70/P70</f>
        <v>0.66519947440857607</v>
      </c>
      <c r="R70" s="174">
        <f>D70/P70</f>
        <v>0.33480052559142381</v>
      </c>
      <c r="S70" s="174">
        <f>P70/USD!L71</f>
        <v>5.6422593701965958E-4</v>
      </c>
      <c r="T70" s="174">
        <f>(P70/P66)-1</f>
        <v>1.641924364457048E-2</v>
      </c>
      <c r="U70" s="179">
        <f t="shared" si="38"/>
        <v>0.26242642772077485</v>
      </c>
      <c r="V70" s="183">
        <f>USD!AI71</f>
        <v>1.6989400449970182E-4</v>
      </c>
      <c r="W70" s="174">
        <f>USD!AJ71</f>
        <v>59.219344986028766</v>
      </c>
      <c r="X70" s="174">
        <f t="shared" si="25"/>
        <v>3.8762954872950806</v>
      </c>
      <c r="Y70" s="179">
        <f t="shared" si="36"/>
        <v>0.40659340659340659</v>
      </c>
      <c r="Z70" s="179">
        <f t="shared" si="21"/>
        <v>0.87229862475442044</v>
      </c>
      <c r="AA70" s="183">
        <f>I70/USD!L71</f>
        <v>8.9920969801515264E-5</v>
      </c>
      <c r="AB70" s="183"/>
      <c r="AW70" s="176"/>
      <c r="AX70" s="176"/>
      <c r="AY70" s="176"/>
      <c r="BA70" s="321" t="str">
        <f>USD!CA71</f>
        <v>4Q2014/15</v>
      </c>
      <c r="BB70" s="174">
        <f>USD!DM71</f>
        <v>239.15389596373839</v>
      </c>
      <c r="BC70" s="179">
        <f>(BB70/BB69)-1</f>
        <v>-0.13785020505072298</v>
      </c>
      <c r="BD70" s="178">
        <f>BB70+BB69+BB68+BB67</f>
        <v>945.12630586809325</v>
      </c>
      <c r="BE70" s="179">
        <f>(BD70/BD66)-1</f>
        <v>8.5612511481811815E-2</v>
      </c>
      <c r="BF70" s="438">
        <f>BB70/USD!CP71</f>
        <v>9.5655777332688714E-4</v>
      </c>
      <c r="BG70" s="438">
        <f>(BB70+BB69+BB68+BB67)/USD!CP71</f>
        <v>3.7802767586563955E-3</v>
      </c>
      <c r="BH70" s="179">
        <f t="shared" si="32"/>
        <v>0.57113402061855667</v>
      </c>
      <c r="BI70" s="179">
        <f>BD70/CD70</f>
        <v>0.53986852319440704</v>
      </c>
      <c r="BJ70" s="174">
        <f>USD!DN71</f>
        <v>23.311029570472694</v>
      </c>
      <c r="BK70" s="174">
        <f t="shared" si="31"/>
        <v>-0.37973235484567236</v>
      </c>
      <c r="BL70" s="174">
        <f>BJ70+BJ69+BJ68+BJ67</f>
        <v>171.7148014739773</v>
      </c>
      <c r="BM70" s="174">
        <f>(BL70/BL66)-1</f>
        <v>-0.11696183399620619</v>
      </c>
      <c r="BN70" s="174">
        <f>BL70/USD!CP71</f>
        <v>6.8681769737977138E-4</v>
      </c>
      <c r="BO70" s="174">
        <f>USD!DO71</f>
        <v>156.27023526872438</v>
      </c>
      <c r="BP70" s="179">
        <f t="shared" si="3"/>
        <v>1.5347682700947329E-2</v>
      </c>
      <c r="BQ70" s="174">
        <f>BO70+BO69+BO68+BO67</f>
        <v>633.81903538262884</v>
      </c>
      <c r="BR70" s="174">
        <f>(BQ70/BQ66)-1</f>
        <v>0.37605873729914507</v>
      </c>
      <c r="BS70" s="174">
        <f>BQ70/USD!CP71</f>
        <v>2.535122928834622E-3</v>
      </c>
      <c r="BT70" s="174">
        <f t="shared" ref="BT70:BT78" si="40">BO70+BJ70</f>
        <v>179.58126483919708</v>
      </c>
      <c r="BU70" s="174">
        <f>BT70+BT69+BT68+BT67</f>
        <v>805.53383685660617</v>
      </c>
      <c r="BV70" s="179">
        <f t="shared" si="4"/>
        <v>-6.2191390088576215E-2</v>
      </c>
      <c r="BW70" s="179">
        <f t="shared" si="30"/>
        <v>5.5670103092783502E-2</v>
      </c>
      <c r="BX70" s="179">
        <f t="shared" ref="BX70:BX78" si="41">BT70/CC70</f>
        <v>0.42886597938144333</v>
      </c>
      <c r="BY70" s="179">
        <f t="shared" ref="BY70:BY78" si="42">BO70/CC70</f>
        <v>0.3731958762886598</v>
      </c>
      <c r="BZ70" s="179">
        <f>BL70/CD70</f>
        <v>9.8085743362342812E-2</v>
      </c>
      <c r="CA70" s="179">
        <f>BQ70/CD70</f>
        <v>0.3620457334432502</v>
      </c>
      <c r="CB70" s="179"/>
      <c r="CC70" s="174">
        <f>USD!DP71</f>
        <v>418.73516080293547</v>
      </c>
      <c r="CD70" s="174">
        <f>CC70+CC69+CC68+CC67</f>
        <v>1750.6601427246994</v>
      </c>
      <c r="CE70" s="174">
        <f>CD70/USD!CP71</f>
        <v>7.0022173848707887E-3</v>
      </c>
      <c r="CF70" s="174">
        <f>(CD70/CD66)-1</f>
        <v>0.14747995040630824</v>
      </c>
      <c r="CG70" s="174">
        <f t="shared" si="5"/>
        <v>-0.10695137603946447</v>
      </c>
      <c r="CH70" s="183">
        <f>USD!DQ71</f>
        <v>2.0310903395480513E-3</v>
      </c>
      <c r="CI70" s="179">
        <f>BO70/USD!CP71</f>
        <v>6.2504316596450032E-4</v>
      </c>
    </row>
    <row r="71" spans="1:87">
      <c r="A71" s="321" t="str">
        <f>USD!AE72</f>
        <v>1Q2015</v>
      </c>
      <c r="B71" s="174">
        <f>USD!AF72</f>
        <v>35.115583625963197</v>
      </c>
      <c r="C71" s="180">
        <f t="shared" si="37"/>
        <v>-0.48274883297673798</v>
      </c>
      <c r="D71" s="442"/>
      <c r="E71" s="180"/>
      <c r="F71" s="179">
        <f t="shared" si="33"/>
        <v>0.30364806866952793</v>
      </c>
      <c r="G71" s="183">
        <f>B71/USD!L72</f>
        <v>3.9700342376874935E-5</v>
      </c>
      <c r="H71" s="183"/>
      <c r="I71" s="174">
        <f>USD!AG72</f>
        <v>80.530084004417361</v>
      </c>
      <c r="J71" s="180">
        <f t="shared" si="35"/>
        <v>3.5640362482537657E-2</v>
      </c>
      <c r="K71" s="174"/>
      <c r="L71" s="183"/>
      <c r="M71" s="179">
        <f t="shared" si="34"/>
        <v>0.69635193133047213</v>
      </c>
      <c r="N71" s="183"/>
      <c r="O71" s="174">
        <f>USD!AH72</f>
        <v>115.64566763038056</v>
      </c>
      <c r="P71" s="174"/>
      <c r="Q71" s="174"/>
      <c r="R71" s="174"/>
      <c r="S71" s="174"/>
      <c r="T71" s="174"/>
      <c r="U71" s="179">
        <f t="shared" si="38"/>
        <v>-0.20598976617018327</v>
      </c>
      <c r="V71" s="183">
        <f>USD!AI72</f>
        <v>1.3293098414427179E-4</v>
      </c>
      <c r="W71" s="174">
        <f>USD!AJ72</f>
        <v>12.904666774205555</v>
      </c>
      <c r="X71" s="174">
        <f t="shared" si="25"/>
        <v>-0.78208697213300704</v>
      </c>
      <c r="Y71" s="179">
        <f t="shared" si="36"/>
        <v>0.11158798283261802</v>
      </c>
      <c r="Z71" s="179">
        <f t="shared" si="21"/>
        <v>0.36749116607773846</v>
      </c>
      <c r="AA71" s="183">
        <f>I71/USD!L72</f>
        <v>9.1044248065695512E-5</v>
      </c>
      <c r="AB71" s="183"/>
      <c r="AW71" s="176"/>
      <c r="AX71" s="176"/>
      <c r="AY71" s="176"/>
      <c r="BA71" s="321" t="str">
        <f>USD!CA72</f>
        <v>1Q2015/15</v>
      </c>
      <c r="BB71" s="174">
        <f>USD!DM72</f>
        <v>351.36202131859449</v>
      </c>
      <c r="BC71" s="179">
        <f t="shared" si="39"/>
        <v>0.46918794654246243</v>
      </c>
      <c r="BD71" s="178"/>
      <c r="BE71" s="179"/>
      <c r="BF71" s="438">
        <f>BB71/USD!CP72</f>
        <v>1.3827691428074252E-3</v>
      </c>
      <c r="BG71" s="438"/>
      <c r="BH71" s="179">
        <f t="shared" si="32"/>
        <v>0.49943883277216616</v>
      </c>
      <c r="BI71" s="179"/>
      <c r="BJ71" s="174">
        <f>USD!DN72</f>
        <v>110.54086063955782</v>
      </c>
      <c r="BK71" s="174">
        <f t="shared" si="31"/>
        <v>3.7419982161395504</v>
      </c>
      <c r="BL71" s="174"/>
      <c r="BM71" s="174"/>
      <c r="BN71" s="174"/>
      <c r="BO71" s="174">
        <f>USD!DO72</f>
        <v>241.61073825503351</v>
      </c>
      <c r="BP71" s="179">
        <f t="shared" si="3"/>
        <v>0.54610849493863278</v>
      </c>
      <c r="BQ71" s="174"/>
      <c r="BR71" s="174"/>
      <c r="BS71" s="174"/>
      <c r="BT71" s="174">
        <f t="shared" si="40"/>
        <v>352.1515988945913</v>
      </c>
      <c r="BU71" s="174"/>
      <c r="BV71" s="179">
        <f t="shared" si="4"/>
        <v>0.9609595645175979</v>
      </c>
      <c r="BW71" s="179">
        <f t="shared" si="30"/>
        <v>0.15712682379349049</v>
      </c>
      <c r="BX71" s="179">
        <f t="shared" si="41"/>
        <v>0.50056116722783395</v>
      </c>
      <c r="BY71" s="179">
        <f t="shared" si="42"/>
        <v>0.34343434343434348</v>
      </c>
      <c r="BZ71" s="179"/>
      <c r="CA71" s="179"/>
      <c r="CB71" s="179"/>
      <c r="CC71" s="174">
        <f>USD!DP72</f>
        <v>703.51362021318573</v>
      </c>
      <c r="CD71" s="174"/>
      <c r="CE71" s="174"/>
      <c r="CF71" s="174"/>
      <c r="CG71" s="174">
        <f t="shared" si="5"/>
        <v>0.6800920631173657</v>
      </c>
      <c r="CH71" s="183">
        <f>USD!DQ72</f>
        <v>3.3670542621011771E-3</v>
      </c>
      <c r="CI71" s="179">
        <f>BO71/USD!CP72</f>
        <v>9.5084799482937556E-4</v>
      </c>
    </row>
    <row r="72" spans="1:87">
      <c r="A72" s="321" t="str">
        <f>USD!AE73</f>
        <v>2Q2015</v>
      </c>
      <c r="B72" s="174">
        <f>USD!AF73</f>
        <v>25.421035907213216</v>
      </c>
      <c r="C72" s="180">
        <f t="shared" si="37"/>
        <v>-0.27607536932925081</v>
      </c>
      <c r="D72" s="178"/>
      <c r="E72" s="179"/>
      <c r="F72" s="179">
        <f t="shared" si="33"/>
        <v>0.24783147459727387</v>
      </c>
      <c r="G72" s="183">
        <f>B72/USD!L73</f>
        <v>2.8281462773817587E-5</v>
      </c>
      <c r="H72" s="183"/>
      <c r="I72" s="174">
        <f>USD!AG73</f>
        <v>77.152843978392113</v>
      </c>
      <c r="J72" s="180">
        <f t="shared" si="35"/>
        <v>-4.1937619558921502E-2</v>
      </c>
      <c r="K72" s="174"/>
      <c r="L72" s="183"/>
      <c r="M72" s="179">
        <f t="shared" si="34"/>
        <v>0.75216852540272616</v>
      </c>
      <c r="N72" s="183"/>
      <c r="O72" s="174">
        <f>USD!AH73</f>
        <v>102.57387988560532</v>
      </c>
      <c r="P72" s="174"/>
      <c r="Q72" s="174"/>
      <c r="R72" s="174"/>
      <c r="S72" s="174"/>
      <c r="T72" s="174"/>
      <c r="U72" s="179">
        <f t="shared" si="38"/>
        <v>-0.11303309507931125</v>
      </c>
      <c r="V72" s="183">
        <f>USD!AI73</f>
        <v>1.1702885914264395E-4</v>
      </c>
      <c r="W72" s="174">
        <f>USD!AJ73</f>
        <v>1.6523673339688592</v>
      </c>
      <c r="X72" s="174">
        <f t="shared" si="25"/>
        <v>-0.8719558309501112</v>
      </c>
      <c r="Y72" s="179">
        <f t="shared" si="36"/>
        <v>1.6109045848822803E-2</v>
      </c>
      <c r="Z72" s="179">
        <f t="shared" si="21"/>
        <v>6.5000000000000002E-2</v>
      </c>
      <c r="AA72" s="183">
        <f>I72/USD!L73</f>
        <v>8.5834239518536371E-5</v>
      </c>
      <c r="AB72" s="183"/>
      <c r="AW72" s="176"/>
      <c r="AX72" s="176"/>
      <c r="AY72" s="176"/>
      <c r="BA72" s="321" t="str">
        <f>USD!CA73</f>
        <v>2Q2015/16</v>
      </c>
      <c r="BB72" s="174">
        <f>USD!DM73</f>
        <v>285.95458368376785</v>
      </c>
      <c r="BC72" s="179">
        <f t="shared" si="39"/>
        <v>-0.18615397699889424</v>
      </c>
      <c r="BD72" s="178"/>
      <c r="BE72" s="179"/>
      <c r="BF72" s="438">
        <f>BB72/USD!CP73</f>
        <v>1.0626075257615354E-3</v>
      </c>
      <c r="BG72" s="438"/>
      <c r="BH72" s="179">
        <f t="shared" si="32"/>
        <v>0.5569422776911076</v>
      </c>
      <c r="BI72" s="179"/>
      <c r="BJ72" s="174">
        <f>USD!DN73</f>
        <v>60.875485602146661</v>
      </c>
      <c r="BK72" s="174">
        <f t="shared" si="31"/>
        <v>-0.44929426774915171</v>
      </c>
      <c r="BL72" s="174"/>
      <c r="BM72" s="174"/>
      <c r="BN72" s="174"/>
      <c r="BO72" s="174">
        <f>USD!DO73</f>
        <v>166.60659217429611</v>
      </c>
      <c r="BP72" s="179">
        <f t="shared" ref="BP72:BP78" si="43">(BO72/BO71)-1</f>
        <v>-0.31043382683416321</v>
      </c>
      <c r="BQ72" s="174"/>
      <c r="BR72" s="174"/>
      <c r="BS72" s="174"/>
      <c r="BT72" s="174">
        <f t="shared" si="40"/>
        <v>227.48207777644276</v>
      </c>
      <c r="BU72" s="174"/>
      <c r="BV72" s="179">
        <f t="shared" ref="BV72:BV78" si="44">(BT72/BT71)-1</f>
        <v>-0.35402230604514606</v>
      </c>
      <c r="BW72" s="179">
        <f t="shared" si="30"/>
        <v>0.11856474258970359</v>
      </c>
      <c r="BX72" s="179">
        <f t="shared" si="41"/>
        <v>0.44305772230889234</v>
      </c>
      <c r="BY72" s="179">
        <f t="shared" si="42"/>
        <v>0.32449297971918872</v>
      </c>
      <c r="BZ72" s="179"/>
      <c r="CA72" s="179"/>
      <c r="CB72" s="179"/>
      <c r="CC72" s="174">
        <f>USD!DP73</f>
        <v>513.43666146021064</v>
      </c>
      <c r="CD72" s="174"/>
      <c r="CE72" s="174"/>
      <c r="CF72" s="174"/>
      <c r="CG72" s="174">
        <f t="shared" ref="CG72:CG78" si="45">(CC72/CC71)-1</f>
        <v>-0.27018234372687211</v>
      </c>
      <c r="CH72" s="183">
        <f>USD!DQ73</f>
        <v>2.3859952131203683E-3</v>
      </c>
      <c r="CI72" s="179">
        <f>BO72/USD!CP73</f>
        <v>6.1911026711036234E-4</v>
      </c>
    </row>
    <row r="73" spans="1:87">
      <c r="A73" s="321" t="str">
        <f>USD!AE74</f>
        <v>3Q2015</v>
      </c>
      <c r="B73" s="174">
        <f>USD!AF74</f>
        <v>44.783118405627192</v>
      </c>
      <c r="C73" s="180">
        <f t="shared" si="37"/>
        <v>0.76165592028135976</v>
      </c>
      <c r="D73" s="178"/>
      <c r="E73" s="179"/>
      <c r="F73" s="179">
        <f t="shared" si="33"/>
        <v>0.35567970204841715</v>
      </c>
      <c r="G73" s="183">
        <f>B73/USD!L74</f>
        <v>5.279349451472828E-5</v>
      </c>
      <c r="H73" s="183"/>
      <c r="I73" s="174">
        <f>USD!AG74</f>
        <v>81.125439624853442</v>
      </c>
      <c r="J73" s="180">
        <f t="shared" si="35"/>
        <v>5.1489944396267751E-2</v>
      </c>
      <c r="K73" s="174"/>
      <c r="L73" s="183"/>
      <c r="M73" s="179">
        <f t="shared" si="34"/>
        <v>0.64432029795158285</v>
      </c>
      <c r="N73" s="183"/>
      <c r="O73" s="174">
        <f>USD!AH74</f>
        <v>125.90855803048063</v>
      </c>
      <c r="P73" s="174"/>
      <c r="Q73" s="174"/>
      <c r="R73" s="174"/>
      <c r="S73" s="174"/>
      <c r="T73" s="174"/>
      <c r="U73" s="179">
        <f t="shared" si="38"/>
        <v>0.22749142540868217</v>
      </c>
      <c r="V73" s="183">
        <f>USD!AI74</f>
        <v>1.5307608095016631E-4</v>
      </c>
      <c r="W73" s="174">
        <f>USD!AJ74</f>
        <v>24.501758499413832</v>
      </c>
      <c r="X73" s="174">
        <f t="shared" si="25"/>
        <v>13.828275768779871</v>
      </c>
      <c r="Y73" s="179">
        <f t="shared" si="36"/>
        <v>0.19459962756052143</v>
      </c>
      <c r="Z73" s="179">
        <f t="shared" si="21"/>
        <v>0.54712041884816753</v>
      </c>
      <c r="AA73" s="183">
        <f>I73/USD!L74</f>
        <v>9.5636382733486821E-5</v>
      </c>
      <c r="AB73" s="183"/>
      <c r="AW73" s="176"/>
      <c r="AX73" s="176"/>
      <c r="AY73" s="176"/>
      <c r="BA73" s="321" t="str">
        <f>USD!CA74</f>
        <v>3Q2015/16</v>
      </c>
      <c r="BB73" s="174">
        <f>USD!DM74</f>
        <v>293.87633325874543</v>
      </c>
      <c r="BC73" s="179">
        <f t="shared" si="39"/>
        <v>2.7702824248965641E-2</v>
      </c>
      <c r="BD73" s="178"/>
      <c r="BE73" s="179"/>
      <c r="BF73" s="438">
        <f>BB73/USD!CP74</f>
        <v>1.1672794389948362E-3</v>
      </c>
      <c r="BG73" s="438"/>
      <c r="BH73" s="179">
        <f t="shared" si="32"/>
        <v>0.50255102040816324</v>
      </c>
      <c r="BI73" s="179"/>
      <c r="BJ73" s="174">
        <f>USD!DN74</f>
        <v>140.97113448198701</v>
      </c>
      <c r="BK73" s="174">
        <f t="shared" si="31"/>
        <v>1.3157291163689036</v>
      </c>
      <c r="BL73" s="174"/>
      <c r="BM73" s="174"/>
      <c r="BN73" s="174"/>
      <c r="BO73" s="174">
        <f>USD!DO74</f>
        <v>149.92168270306556</v>
      </c>
      <c r="BP73" s="179">
        <f t="shared" si="43"/>
        <v>-0.10014555398729708</v>
      </c>
      <c r="BQ73" s="174"/>
      <c r="BR73" s="174"/>
      <c r="BS73" s="174"/>
      <c r="BT73" s="174">
        <f t="shared" si="40"/>
        <v>290.89281718505254</v>
      </c>
      <c r="BU73" s="174"/>
      <c r="BV73" s="179">
        <f t="shared" si="44"/>
        <v>0.27875048455872853</v>
      </c>
      <c r="BW73" s="179">
        <f t="shared" si="30"/>
        <v>0.24107142857142855</v>
      </c>
      <c r="BX73" s="179">
        <f t="shared" si="41"/>
        <v>0.49744897959183665</v>
      </c>
      <c r="BY73" s="179">
        <f t="shared" si="42"/>
        <v>0.25637755102040816</v>
      </c>
      <c r="BZ73" s="179"/>
      <c r="CA73" s="179"/>
      <c r="CB73" s="179"/>
      <c r="CC73" s="174">
        <f>USD!DP74</f>
        <v>584.76915044379803</v>
      </c>
      <c r="CD73" s="174"/>
      <c r="CE73" s="174"/>
      <c r="CF73" s="174"/>
      <c r="CG73" s="174">
        <f t="shared" si="45"/>
        <v>0.13893142881678577</v>
      </c>
      <c r="CH73" s="183">
        <f>USD!DQ74</f>
        <v>2.8724682709499664E-3</v>
      </c>
      <c r="CI73" s="179">
        <f>BO73/USD!CP74</f>
        <v>5.9549027217756863E-4</v>
      </c>
    </row>
    <row r="74" spans="1:87">
      <c r="A74" s="321" t="str">
        <f>USD!AE75</f>
        <v>4Q2015</v>
      </c>
      <c r="B74" s="174">
        <f>USD!AF75</f>
        <v>37.056494207098353</v>
      </c>
      <c r="C74" s="180">
        <f t="shared" si="37"/>
        <v>-0.17253430474725395</v>
      </c>
      <c r="D74" s="440">
        <f>B74+B73+B72+B71</f>
        <v>142.37623214590195</v>
      </c>
      <c r="E74" s="179">
        <f>(D74/D70)-1</f>
        <v>-0.12841426018011981</v>
      </c>
      <c r="F74" s="179">
        <f t="shared" si="33"/>
        <v>0.29285714285714287</v>
      </c>
      <c r="G74" s="183">
        <f>B74/USD!L75</f>
        <v>4.2841135274411192E-5</v>
      </c>
      <c r="H74" s="183">
        <f>(B71+B72+B73+B74)/USD!L75</f>
        <v>1.6460163196050954E-4</v>
      </c>
      <c r="I74" s="174">
        <f>USD!AG75</f>
        <v>89.477876256164308</v>
      </c>
      <c r="J74" s="180">
        <f t="shared" si="35"/>
        <v>0.1029570584755517</v>
      </c>
      <c r="K74" s="174">
        <f>I74+I73+I72+I71</f>
        <v>328.28624386382722</v>
      </c>
      <c r="L74" s="183">
        <f>(K74/K70)-1</f>
        <v>1.1485215264633863E-2</v>
      </c>
      <c r="M74" s="179">
        <f t="shared" si="34"/>
        <v>0.70714285714285707</v>
      </c>
      <c r="N74" s="183">
        <f>K74/USD!L75</f>
        <v>3.7953281018700643E-4</v>
      </c>
      <c r="O74" s="174">
        <f>USD!AH75</f>
        <v>126.53437046326266</v>
      </c>
      <c r="P74" s="174">
        <f>O74+O73+O72+O71</f>
        <v>470.66247600972918</v>
      </c>
      <c r="Q74" s="174">
        <f>K74/P74</f>
        <v>0.69749822982922727</v>
      </c>
      <c r="R74" s="174">
        <f>D74/P74</f>
        <v>0.30250177017077279</v>
      </c>
      <c r="S74" s="174">
        <f>P74/USD!L75</f>
        <v>5.4413444214751591E-4</v>
      </c>
      <c r="T74" s="174">
        <f>(P74/P70)-1</f>
        <v>-3.535320264423425E-2</v>
      </c>
      <c r="U74" s="179">
        <f t="shared" si="38"/>
        <v>4.9703724875518329E-3</v>
      </c>
      <c r="V74" s="183">
        <f>USD!AI75</f>
        <v>1.4990858253404398E-4</v>
      </c>
      <c r="W74" s="174">
        <f>USD!AJ75</f>
        <v>28.4702333542341</v>
      </c>
      <c r="X74" s="174">
        <f t="shared" si="25"/>
        <v>0.16196694024697078</v>
      </c>
      <c r="Y74" s="179">
        <f t="shared" si="36"/>
        <v>0.22500000000000001</v>
      </c>
      <c r="Z74" s="179">
        <f t="shared" si="21"/>
        <v>0.76829268292682928</v>
      </c>
      <c r="AA74" s="183">
        <f>I74/USD!L75</f>
        <v>1.0344566810162701E-4</v>
      </c>
      <c r="AB74" s="183"/>
      <c r="AW74" s="176"/>
      <c r="AX74" s="176"/>
      <c r="AY74" s="176"/>
      <c r="BA74" s="321" t="str">
        <f>USD!CA75</f>
        <v>4Q2015/16</v>
      </c>
      <c r="BB74" s="174">
        <f>USD!DM75</f>
        <v>173.49362896839676</v>
      </c>
      <c r="BC74" s="179">
        <f t="shared" si="39"/>
        <v>-0.40963728843165093</v>
      </c>
      <c r="BD74" s="178">
        <f>BB74+BB73+BB72+BB71</f>
        <v>1104.6865672295046</v>
      </c>
      <c r="BE74" s="179">
        <f>(BD74/BD70)-1</f>
        <v>0.16882427287309087</v>
      </c>
      <c r="BF74" s="438">
        <f>BB74/USD!CP75</f>
        <v>6.5604473081749706E-4</v>
      </c>
      <c r="BG74" s="438">
        <f>(BB74+BB73+BB72+BB71)/USD!CP75</f>
        <v>4.177235820963774E-3</v>
      </c>
      <c r="BH74" s="179">
        <f t="shared" si="32"/>
        <v>0.44058500914076781</v>
      </c>
      <c r="BI74" s="179">
        <f>BD74/CD74</f>
        <v>0.50315954443031463</v>
      </c>
      <c r="BJ74" s="174">
        <f>USD!DN75</f>
        <v>57.591246130588139</v>
      </c>
      <c r="BK74" s="174">
        <f t="shared" si="31"/>
        <v>-0.59146781117841518</v>
      </c>
      <c r="BL74" s="174">
        <f>BJ74+BJ73+BJ72+BJ71</f>
        <v>369.97872685427961</v>
      </c>
      <c r="BM74" s="174">
        <f>(BL74/BL70)-1</f>
        <v>1.1546117380588674</v>
      </c>
      <c r="BN74" s="174">
        <f>BL74/USD!CP75</f>
        <v>1.3990288618121532E-3</v>
      </c>
      <c r="BO74" s="174">
        <f>USD!DO75</f>
        <v>162.6952703189115</v>
      </c>
      <c r="BP74" s="179">
        <f t="shared" si="43"/>
        <v>8.5201735903306819E-2</v>
      </c>
      <c r="BQ74" s="174">
        <f>BO74+BO73+BO72+BO71</f>
        <v>720.83428345130665</v>
      </c>
      <c r="BR74" s="174">
        <f>(BQ74/BQ70)-1</f>
        <v>0.1372872116662569</v>
      </c>
      <c r="BS74" s="174">
        <f>BQ74/USD!CP75</f>
        <v>2.7257458170811461E-3</v>
      </c>
      <c r="BT74" s="174">
        <f t="shared" si="40"/>
        <v>220.28651644949963</v>
      </c>
      <c r="BU74" s="174">
        <f>BT74+BT73+BT72+BT71</f>
        <v>1090.8130103055862</v>
      </c>
      <c r="BV74" s="179">
        <f t="shared" si="44"/>
        <v>-0.24272273691321999</v>
      </c>
      <c r="BW74" s="179">
        <f t="shared" si="30"/>
        <v>0.14625228519195613</v>
      </c>
      <c r="BX74" s="179">
        <f t="shared" si="41"/>
        <v>0.55941499085923219</v>
      </c>
      <c r="BY74" s="179">
        <f t="shared" si="42"/>
        <v>0.41316270566727609</v>
      </c>
      <c r="BZ74" s="179">
        <f>BL74/CD74</f>
        <v>0.16851687453734718</v>
      </c>
      <c r="CA74" s="179">
        <f>BQ74/CD74</f>
        <v>0.32832358103233816</v>
      </c>
      <c r="CB74" s="179"/>
      <c r="CC74" s="174">
        <f>USD!DP75</f>
        <v>393.78014541789639</v>
      </c>
      <c r="CD74" s="174">
        <f>CC74+CC73+CC72+CC71</f>
        <v>2195.4995775350908</v>
      </c>
      <c r="CE74" s="174">
        <f>CD74/USD!CP75</f>
        <v>8.3020104998570727E-3</v>
      </c>
      <c r="CF74" s="174">
        <f>(CD74/CD70)-1</f>
        <v>0.25409811073784461</v>
      </c>
      <c r="CG74" s="174">
        <f t="shared" si="45"/>
        <v>-0.32660581509977848</v>
      </c>
      <c r="CH74" s="183">
        <f>USD!DQ75</f>
        <v>1.9357966670323563E-3</v>
      </c>
      <c r="CI74" s="179">
        <f>BO74/USD!CP75</f>
        <v>6.1521207122304706E-4</v>
      </c>
    </row>
    <row r="75" spans="1:87">
      <c r="A75" s="321" t="str">
        <f>USD!AE76</f>
        <v>1Q2016</v>
      </c>
      <c r="B75" s="174">
        <f>USD!AF76</f>
        <v>10.034758954208856</v>
      </c>
      <c r="C75" s="180">
        <f t="shared" si="37"/>
        <v>-0.72920376930080311</v>
      </c>
      <c r="D75" s="178"/>
      <c r="E75" s="179"/>
      <c r="F75" s="179">
        <f t="shared" si="33"/>
        <v>0.11037234042553191</v>
      </c>
      <c r="G75" s="183">
        <f>B75/USD!L76</f>
        <v>1.1362301635432202E-5</v>
      </c>
      <c r="H75" s="183"/>
      <c r="I75" s="174">
        <f>USD!AG76</f>
        <v>80.882575185129213</v>
      </c>
      <c r="J75" s="180">
        <f t="shared" si="35"/>
        <v>-9.6060628958467786E-2</v>
      </c>
      <c r="K75" s="174"/>
      <c r="L75" s="183"/>
      <c r="M75" s="179">
        <f t="shared" si="34"/>
        <v>0.8896276595744681</v>
      </c>
      <c r="N75" s="183"/>
      <c r="O75" s="174">
        <f>USD!AH76</f>
        <v>90.917334139338067</v>
      </c>
      <c r="P75" s="174"/>
      <c r="Q75" s="174"/>
      <c r="R75" s="174"/>
      <c r="S75" s="174"/>
      <c r="T75" s="174"/>
      <c r="U75" s="179">
        <f t="shared" si="38"/>
        <v>-0.28148112005872317</v>
      </c>
      <c r="V75" s="183">
        <f>USD!AI76</f>
        <v>1.0624123456835472E-4</v>
      </c>
      <c r="W75" s="174">
        <f>USD!AJ76</f>
        <v>-10.518361795375547</v>
      </c>
      <c r="X75" s="174">
        <f t="shared" si="25"/>
        <v>-1.369451197132926</v>
      </c>
      <c r="Y75" s="179">
        <f t="shared" si="36"/>
        <v>-0.11569148936170212</v>
      </c>
      <c r="Z75" s="179">
        <f>W75/B75</f>
        <v>-1.0481927710843373</v>
      </c>
      <c r="AA75" s="183">
        <f>I75/USD!L76</f>
        <v>9.1582889085592087E-5</v>
      </c>
      <c r="AB75" s="183"/>
      <c r="AW75" s="176"/>
      <c r="AX75" s="176"/>
      <c r="AY75" s="176"/>
      <c r="BA75" s="321" t="str">
        <f>USD!CA76</f>
        <v>1Q2016/16</v>
      </c>
      <c r="BB75" s="174">
        <f>USD!DM76</f>
        <v>261.31663380880588</v>
      </c>
      <c r="BC75" s="179">
        <f t="shared" si="39"/>
        <v>0.50620305404071497</v>
      </c>
      <c r="BD75" s="178"/>
      <c r="BE75" s="179"/>
      <c r="BF75" s="438">
        <f>BB75/USD!CP76</f>
        <v>9.7010748676147694E-4</v>
      </c>
      <c r="BG75" s="438"/>
      <c r="BH75" s="179">
        <f t="shared" si="32"/>
        <v>0.50372578241430699</v>
      </c>
      <c r="BI75" s="179"/>
      <c r="BJ75" s="174">
        <f>USD!DN76</f>
        <v>71.127604468669048</v>
      </c>
      <c r="BK75" s="174">
        <f t="shared" si="31"/>
        <v>0.23504194209285245</v>
      </c>
      <c r="BL75" s="174"/>
      <c r="BM75" s="174"/>
      <c r="BN75" s="174"/>
      <c r="BO75" s="174">
        <f>USD!DO76</f>
        <v>186.32339866249177</v>
      </c>
      <c r="BP75" s="179">
        <f t="shared" si="43"/>
        <v>0.14522934992065206</v>
      </c>
      <c r="BQ75" s="174"/>
      <c r="BR75" s="174"/>
      <c r="BS75" s="174"/>
      <c r="BT75" s="174">
        <f t="shared" si="40"/>
        <v>257.4510031311608</v>
      </c>
      <c r="BU75" s="174"/>
      <c r="BV75" s="179">
        <f t="shared" si="44"/>
        <v>0.16870976617482203</v>
      </c>
      <c r="BW75" s="179">
        <f t="shared" si="30"/>
        <v>0.13710879284649777</v>
      </c>
      <c r="BX75" s="179">
        <f t="shared" si="41"/>
        <v>0.49627421758569296</v>
      </c>
      <c r="BY75" s="179">
        <f t="shared" si="42"/>
        <v>0.35916542473919527</v>
      </c>
      <c r="BZ75" s="179"/>
      <c r="CA75" s="179"/>
      <c r="CB75" s="179"/>
      <c r="CC75" s="174">
        <f>USD!DP76</f>
        <v>518.76763693996668</v>
      </c>
      <c r="CD75" s="174"/>
      <c r="CE75" s="174"/>
      <c r="CF75" s="174"/>
      <c r="CG75" s="174">
        <f t="shared" si="45"/>
        <v>0.31740424949416424</v>
      </c>
      <c r="CH75" s="183">
        <f>USD!DQ76</f>
        <v>2.4055266167397407E-3</v>
      </c>
      <c r="CI75" s="179">
        <f>BO75/USD!CP76</f>
        <v>6.9170385890389343E-4</v>
      </c>
    </row>
    <row r="76" spans="1:87">
      <c r="A76" s="321" t="str">
        <f>USD!AE77</f>
        <v>2Q2016</v>
      </c>
      <c r="B76" s="174">
        <f>USD!AF77</f>
        <v>43.021289563154653</v>
      </c>
      <c r="C76" s="180">
        <f>(B76/B75)-1</f>
        <v>3.2872270036053362</v>
      </c>
      <c r="D76" s="441"/>
      <c r="E76" s="317"/>
      <c r="F76" s="179">
        <f t="shared" si="33"/>
        <v>0.34026465028355385</v>
      </c>
      <c r="G76" s="183">
        <f>B76/USD!L77</f>
        <v>4.8311363517110211E-5</v>
      </c>
      <c r="H76" s="183"/>
      <c r="I76" s="174">
        <f>USD!AG77</f>
        <v>83.413500319672082</v>
      </c>
      <c r="J76" s="180">
        <f t="shared" si="35"/>
        <v>3.1291352046468823E-2</v>
      </c>
      <c r="K76" s="174"/>
      <c r="L76" s="183"/>
      <c r="M76" s="179">
        <f t="shared" si="34"/>
        <v>0.6597353497164461</v>
      </c>
      <c r="N76" s="183"/>
      <c r="O76" s="174">
        <f>USD!AH77</f>
        <v>126.43478988282673</v>
      </c>
      <c r="P76" s="174"/>
      <c r="Q76" s="174"/>
      <c r="R76" s="174"/>
      <c r="S76" s="174"/>
      <c r="T76" s="174"/>
      <c r="U76" s="179">
        <f t="shared" si="38"/>
        <v>0.39065659018395027</v>
      </c>
      <c r="V76" s="183">
        <f>USD!AI77</f>
        <v>1.4745759688159239E-4</v>
      </c>
      <c r="W76" s="174">
        <f>USD!AJ77</f>
        <v>20.196105378258711</v>
      </c>
      <c r="X76" s="174">
        <f t="shared" si="25"/>
        <v>-2.9200808805738205</v>
      </c>
      <c r="Y76" s="179">
        <f t="shared" si="36"/>
        <v>0.1597353497164461</v>
      </c>
      <c r="Z76" s="179">
        <f t="shared" si="21"/>
        <v>0.46944444444444439</v>
      </c>
      <c r="AA76" s="183">
        <f>I76/USD!L77</f>
        <v>9.3670365930397016E-5</v>
      </c>
      <c r="AB76" s="183"/>
      <c r="AW76" s="176"/>
      <c r="AX76" s="176"/>
      <c r="AY76" s="176"/>
      <c r="BA76" s="321" t="str">
        <f>USD!CA77</f>
        <v>2Q2016/17</v>
      </c>
      <c r="BB76" s="174">
        <f>USD!DM77</f>
        <v>214.8302148302148</v>
      </c>
      <c r="BC76" s="179">
        <f t="shared" si="39"/>
        <v>-0.1778930728634871</v>
      </c>
      <c r="BD76" s="178"/>
      <c r="BE76" s="179"/>
      <c r="BF76" s="438">
        <f>BB76/USD!CP77</f>
        <v>7.6949808866603781E-4</v>
      </c>
      <c r="BG76" s="438"/>
      <c r="BH76" s="179">
        <f t="shared" si="32"/>
        <v>0.47773972602739728</v>
      </c>
      <c r="BI76" s="179"/>
      <c r="BJ76" s="174">
        <f>USD!DN77</f>
        <v>70.840070840070837</v>
      </c>
      <c r="BK76" s="174">
        <f t="shared" si="31"/>
        <v>-4.0425040425038361E-3</v>
      </c>
      <c r="BL76" s="174"/>
      <c r="BM76" s="174"/>
      <c r="BN76" s="174"/>
      <c r="BO76" s="174">
        <f>USD!DO77</f>
        <v>164.01016401016398</v>
      </c>
      <c r="BP76" s="179">
        <f t="shared" si="43"/>
        <v>-0.11975540813715102</v>
      </c>
      <c r="BQ76" s="174"/>
      <c r="BR76" s="174"/>
      <c r="BS76" s="174"/>
      <c r="BT76" s="174">
        <f t="shared" si="40"/>
        <v>234.85023485023481</v>
      </c>
      <c r="BU76" s="174"/>
      <c r="BV76" s="179">
        <f t="shared" si="44"/>
        <v>-8.7786677876767971E-2</v>
      </c>
      <c r="BW76" s="179">
        <f t="shared" si="30"/>
        <v>0.15753424657534248</v>
      </c>
      <c r="BX76" s="179">
        <f t="shared" si="41"/>
        <v>0.52226027397260277</v>
      </c>
      <c r="BY76" s="179">
        <f t="shared" si="42"/>
        <v>0.36472602739726023</v>
      </c>
      <c r="BZ76" s="179"/>
      <c r="CA76" s="179"/>
      <c r="CB76" s="179"/>
      <c r="CC76" s="174">
        <f>USD!DP77</f>
        <v>449.68044968044961</v>
      </c>
      <c r="CD76" s="174"/>
      <c r="CE76" s="174"/>
      <c r="CF76" s="174"/>
      <c r="CG76" s="174">
        <f t="shared" si="45"/>
        <v>-0.1331755921919856</v>
      </c>
      <c r="CH76" s="183">
        <f>USD!DQ77</f>
        <v>2.0329660766191496E-3</v>
      </c>
      <c r="CI76" s="179">
        <f>BO76/USD!CP77</f>
        <v>5.8746628274503954E-4</v>
      </c>
    </row>
    <row r="77" spans="1:87">
      <c r="A77" s="321" t="str">
        <f>USD!AE78</f>
        <v>3Q2016</v>
      </c>
      <c r="B77" s="174">
        <f>USD!AF78</f>
        <v>45.41871551368191</v>
      </c>
      <c r="C77" s="180">
        <f t="shared" si="37"/>
        <v>5.5726501340873869E-2</v>
      </c>
      <c r="D77" s="178"/>
      <c r="E77" s="179"/>
      <c r="F77" s="179">
        <f t="shared" si="33"/>
        <v>0.33120437956204379</v>
      </c>
      <c r="G77" s="183">
        <f>B77/USD!L78</f>
        <v>4.9254078861886131E-5</v>
      </c>
      <c r="H77" s="183"/>
      <c r="I77" s="174">
        <f>USD!AG78</f>
        <v>91.713274026250247</v>
      </c>
      <c r="J77" s="180">
        <f t="shared" si="35"/>
        <v>9.9501563593066944E-2</v>
      </c>
      <c r="K77" s="174"/>
      <c r="L77" s="183"/>
      <c r="M77" s="179">
        <f t="shared" si="34"/>
        <v>0.66879562043795615</v>
      </c>
      <c r="N77" s="183"/>
      <c r="O77" s="174">
        <f>USD!AH78</f>
        <v>137.13198953993216</v>
      </c>
      <c r="P77" s="174"/>
      <c r="Q77" s="174"/>
      <c r="R77" s="174"/>
      <c r="S77" s="174"/>
      <c r="T77" s="174"/>
      <c r="U77" s="179">
        <f t="shared" si="38"/>
        <v>8.4606457344683639E-2</v>
      </c>
      <c r="V77" s="183">
        <f>USD!AI78</f>
        <v>1.5402885230235189E-4</v>
      </c>
      <c r="W77" s="174">
        <f>USD!AJ78</f>
        <v>21.395593258511315</v>
      </c>
      <c r="X77" s="174">
        <f t="shared" si="25"/>
        <v>5.9392039097986959E-2</v>
      </c>
      <c r="Y77" s="179">
        <f t="shared" si="36"/>
        <v>0.156021897810219</v>
      </c>
      <c r="Z77" s="179">
        <f>W77/B77</f>
        <v>0.4710743801652893</v>
      </c>
      <c r="AA77" s="183">
        <f>I77/USD!L78</f>
        <v>9.9457960897417455E-5</v>
      </c>
      <c r="AB77" s="183"/>
      <c r="AW77" s="176"/>
      <c r="AX77" s="176"/>
      <c r="AY77" s="176"/>
      <c r="BA77" s="321" t="str">
        <f>USD!CA78</f>
        <v>3Q2016/17</v>
      </c>
      <c r="BB77" s="174">
        <f>USD!DM78</f>
        <v>251.85466996385767</v>
      </c>
      <c r="BC77" s="179">
        <f t="shared" si="39"/>
        <v>0.17234286696079582</v>
      </c>
      <c r="BD77" s="178"/>
      <c r="BE77" s="179"/>
      <c r="BF77" s="438">
        <f>BB77/USD!CP78</f>
        <v>8.7185106360561772E-4</v>
      </c>
      <c r="BG77" s="438"/>
      <c r="BH77" s="179">
        <f t="shared" si="32"/>
        <v>0.46619718309859154</v>
      </c>
      <c r="BI77" s="179"/>
      <c r="BJ77" s="174">
        <f>USD!DN78</f>
        <v>114.89442647898039</v>
      </c>
      <c r="BK77" s="174">
        <f t="shared" si="31"/>
        <v>0.62188469204621577</v>
      </c>
      <c r="BL77" s="174"/>
      <c r="BM77" s="174"/>
      <c r="BN77" s="174"/>
      <c r="BO77" s="174">
        <f>USD!DO78</f>
        <v>173.48297508084457</v>
      </c>
      <c r="BP77" s="179">
        <f t="shared" si="43"/>
        <v>5.7757463556304733E-2</v>
      </c>
      <c r="BQ77" s="174"/>
      <c r="BR77" s="174"/>
      <c r="BS77" s="174"/>
      <c r="BT77" s="174">
        <f t="shared" si="40"/>
        <v>288.37740155982499</v>
      </c>
      <c r="BU77" s="174"/>
      <c r="BV77" s="179">
        <f>(BT77/BT76)-1</f>
        <v>0.22792043083850744</v>
      </c>
      <c r="BW77" s="179">
        <f t="shared" si="30"/>
        <v>0.21267605633802816</v>
      </c>
      <c r="BX77" s="179">
        <f t="shared" si="41"/>
        <v>0.53380281690140852</v>
      </c>
      <c r="BY77" s="179">
        <f t="shared" si="42"/>
        <v>0.3211267605633803</v>
      </c>
      <c r="BZ77" s="179"/>
      <c r="CA77" s="179"/>
      <c r="CB77" s="179"/>
      <c r="CC77" s="174">
        <f>USD!DP78</f>
        <v>540.23207152368263</v>
      </c>
      <c r="CD77" s="174"/>
      <c r="CE77" s="174"/>
      <c r="CF77" s="174"/>
      <c r="CG77" s="174">
        <f t="shared" si="45"/>
        <v>0.20136882069829931</v>
      </c>
      <c r="CH77" s="183">
        <f>USD!DQ78</f>
        <v>2.3623514380398474E-3</v>
      </c>
      <c r="CI77" s="179">
        <f>BO77/USD!CP78</f>
        <v>6.0054997734767623E-4</v>
      </c>
    </row>
    <row r="78" spans="1:87">
      <c r="A78" s="321" t="str">
        <f>USD!AE79</f>
        <v>4Q2016</v>
      </c>
      <c r="B78" s="174">
        <f>USD!AF79</f>
        <v>6.2734528387374082</v>
      </c>
      <c r="C78" s="179">
        <f t="shared" si="37"/>
        <v>-0.8618751594406584</v>
      </c>
      <c r="D78" s="178">
        <f>B78+B77+B76+B75</f>
        <v>104.74821686978282</v>
      </c>
      <c r="E78" s="179">
        <f>(D78/D74)-1</f>
        <v>-0.26428579201027957</v>
      </c>
      <c r="F78" s="179">
        <f t="shared" si="33"/>
        <v>6.5454545454545446E-2</v>
      </c>
      <c r="G78" s="183">
        <f>B78/USD!L79</f>
        <v>6.9620447370680663E-6</v>
      </c>
      <c r="H78" s="183">
        <f>(B75+B76+B77+B78)/USD!L79</f>
        <v>1.1624567693766338E-4</v>
      </c>
      <c r="I78" s="174">
        <f>USD!AG79</f>
        <v>89.570965530861884</v>
      </c>
      <c r="J78" s="180">
        <f t="shared" si="35"/>
        <v>-2.3358761511176551E-2</v>
      </c>
      <c r="K78" s="174">
        <f>I78+I77+I76+I75</f>
        <v>345.58031506191344</v>
      </c>
      <c r="L78" s="183">
        <f>(K78/K74)-1</f>
        <v>5.2679853394221876E-2</v>
      </c>
      <c r="M78" s="179">
        <f t="shared" si="34"/>
        <v>0.93454545454545446</v>
      </c>
      <c r="N78" s="183">
        <f>K78/USD!L79</f>
        <v>3.8351218628039261E-4</v>
      </c>
      <c r="O78" s="174">
        <f>USD!AH79</f>
        <v>95.844418369599296</v>
      </c>
      <c r="P78" s="174">
        <f>O78+O77+O76+O75</f>
        <v>450.32853193169626</v>
      </c>
      <c r="Q78" s="174">
        <f>K78/P78</f>
        <v>0.76739600215766357</v>
      </c>
      <c r="R78" s="174">
        <f>D78/P78</f>
        <v>0.23260399784233646</v>
      </c>
      <c r="S78" s="174">
        <f>P78/USD!L79</f>
        <v>4.9975786321805593E-4</v>
      </c>
      <c r="T78" s="174">
        <f>(P78/P74)-1</f>
        <v>-4.3202815423961205E-2</v>
      </c>
      <c r="U78" s="179">
        <f>(O78/O77)-1</f>
        <v>-0.30107906484001046</v>
      </c>
      <c r="V78" s="179">
        <f>USD!AI79</f>
        <v>1.0990089869628227E-4</v>
      </c>
      <c r="W78" s="174">
        <f>USD!AJ79</f>
        <v>-3.6014266296455495</v>
      </c>
      <c r="X78" s="174">
        <f t="shared" si="25"/>
        <v>-1.1683256260357668</v>
      </c>
      <c r="Y78" s="179">
        <f t="shared" si="36"/>
        <v>-3.7575757575757575E-2</v>
      </c>
      <c r="Z78" s="179">
        <f t="shared" si="21"/>
        <v>-0.57407407407407418</v>
      </c>
      <c r="AA78" s="183">
        <f>I78/USD!L79</f>
        <v>9.9402527634805173E-5</v>
      </c>
      <c r="AB78" s="183"/>
      <c r="AW78" s="176"/>
      <c r="AX78" s="176"/>
      <c r="AY78" s="176"/>
      <c r="BA78" s="321" t="str">
        <f>USD!CA79</f>
        <v>4Q2016/17</v>
      </c>
      <c r="BB78" s="174">
        <f>USD!DM79</f>
        <v>257.26110137578763</v>
      </c>
      <c r="BC78" s="179">
        <f t="shared" si="39"/>
        <v>2.146647275869773E-2</v>
      </c>
      <c r="BD78" s="178">
        <f>BB78+BB77+BB76+BB75</f>
        <v>985.26261997866595</v>
      </c>
      <c r="BE78" s="179">
        <f>(BD78/BD74)-1</f>
        <v>-0.10810663476278848</v>
      </c>
      <c r="BF78" s="438">
        <f>BB78/USD!CP79</f>
        <v>9.412137018889751E-4</v>
      </c>
      <c r="BG78" s="438">
        <f>(BB78+BB77+BB76+BB75)/USD!CP79</f>
        <v>3.6046750671737131E-3</v>
      </c>
      <c r="BH78" s="179">
        <f t="shared" si="32"/>
        <v>0.53738317757009346</v>
      </c>
      <c r="BI78" s="179">
        <f>BD78/CD78</f>
        <v>0.49575219099303497</v>
      </c>
      <c r="BJ78" s="174">
        <f>USD!DN79</f>
        <v>49.960851571529766</v>
      </c>
      <c r="BK78" s="174">
        <f t="shared" si="31"/>
        <v>-0.56515861471600659</v>
      </c>
      <c r="BL78" s="174">
        <f>BJ78+BJ77+BJ76+BJ75</f>
        <v>306.82295335925005</v>
      </c>
      <c r="BM78" s="174">
        <f>(BL78/BL74)-1</f>
        <v>-0.17070109417373125</v>
      </c>
      <c r="BN78" s="174">
        <f>BL78/USD!CP79</f>
        <v>1.1225403537938343E-3</v>
      </c>
      <c r="BO78" s="174">
        <f>USD!DO79</f>
        <v>171.50740091719175</v>
      </c>
      <c r="BP78" s="179">
        <f t="shared" si="43"/>
        <v>-1.1387712037634778E-2</v>
      </c>
      <c r="BQ78" s="174">
        <f>BO78+BO77+BO76+BO75</f>
        <v>695.32393867069209</v>
      </c>
      <c r="BR78" s="174">
        <f>(BQ78/BQ74)-1</f>
        <v>-3.5390027037105809E-2</v>
      </c>
      <c r="BS78" s="174">
        <f>BQ78/USD!CP79</f>
        <v>2.5439073953597668E-3</v>
      </c>
      <c r="BT78" s="174">
        <f t="shared" si="40"/>
        <v>221.4682524887215</v>
      </c>
      <c r="BU78" s="174">
        <f>BT78+BT77+BT76+BT75</f>
        <v>1002.1468920299421</v>
      </c>
      <c r="BV78" s="179">
        <f t="shared" si="44"/>
        <v>-0.23201939094115498</v>
      </c>
      <c r="BW78" s="179">
        <f t="shared" si="30"/>
        <v>0.1043613707165109</v>
      </c>
      <c r="BX78" s="179">
        <f t="shared" si="41"/>
        <v>0.46261682242990654</v>
      </c>
      <c r="BY78" s="179">
        <f t="shared" si="42"/>
        <v>0.35825545171339568</v>
      </c>
      <c r="BZ78" s="179">
        <f>BL78/CD78</f>
        <v>0.1543833575844942</v>
      </c>
      <c r="CA78" s="179">
        <f>BQ78/CD78</f>
        <v>0.3498644514224708</v>
      </c>
      <c r="CB78" s="179"/>
      <c r="CC78" s="174">
        <f>USD!DP79</f>
        <v>478.72935386450911</v>
      </c>
      <c r="CD78" s="174">
        <f>CC78+CC77+CC76+CC75</f>
        <v>1987.4095120086081</v>
      </c>
      <c r="CE78" s="174">
        <f>CD78/USD!CP79</f>
        <v>7.2711228163273136E-3</v>
      </c>
      <c r="CF78" s="174">
        <f>(CD78/CD74)-1</f>
        <v>-9.4780280377055437E-2</v>
      </c>
      <c r="CG78" s="174">
        <f t="shared" si="45"/>
        <v>-0.11384499532897019</v>
      </c>
      <c r="CH78" s="183">
        <f>USD!DQ79</f>
        <v>2.1537769935017661E-3</v>
      </c>
      <c r="CI78" s="179">
        <f>BO78/USD!CP79</f>
        <v>6.2747580125931666E-4</v>
      </c>
    </row>
    <row r="79" spans="1:87">
      <c r="C79" s="179"/>
      <c r="D79" s="178"/>
      <c r="E79" s="179"/>
      <c r="F79" s="179"/>
      <c r="G79" s="183"/>
      <c r="H79" s="179"/>
      <c r="J79" s="180"/>
      <c r="M79" s="179"/>
      <c r="W79" s="181"/>
      <c r="X79" s="181"/>
      <c r="Y79" s="228"/>
      <c r="Z79" s="228"/>
      <c r="AA79" s="228"/>
      <c r="AB79" s="228"/>
      <c r="AW79" s="176"/>
      <c r="AX79" s="176"/>
      <c r="AY79" s="176"/>
      <c r="BC79" s="228"/>
      <c r="BE79" s="228"/>
      <c r="BF79" s="438"/>
      <c r="BG79" s="183"/>
      <c r="BH79" s="179"/>
      <c r="BI79" s="179"/>
      <c r="BK79" s="174"/>
      <c r="BO79" s="179"/>
      <c r="BU79" s="228"/>
      <c r="BV79" s="448"/>
      <c r="BW79" s="228"/>
      <c r="BX79" s="228"/>
      <c r="BY79" s="228"/>
      <c r="BZ79" s="228"/>
      <c r="CA79" s="228"/>
      <c r="CB79" s="228"/>
      <c r="CG79" s="179"/>
    </row>
    <row r="80" spans="1:87">
      <c r="W80" s="181"/>
      <c r="X80" s="181"/>
      <c r="Y80" s="181"/>
      <c r="Z80" s="228"/>
      <c r="AA80" s="181"/>
      <c r="AB80" s="181"/>
      <c r="AW80" s="176"/>
      <c r="AX80" s="176"/>
      <c r="AY80" s="176"/>
      <c r="BC80" s="449">
        <f>AVERAGE(BC13:BC36)</f>
        <v>0.48679426533277148</v>
      </c>
      <c r="BD80" s="450"/>
      <c r="BE80" s="449"/>
      <c r="BF80" s="176"/>
      <c r="BG80" s="176"/>
      <c r="BH80" s="176"/>
      <c r="BI80" s="176"/>
      <c r="BJ80" s="174"/>
      <c r="BK80" s="174"/>
      <c r="BL80" s="174"/>
      <c r="BM80" s="174"/>
      <c r="BO80" s="179"/>
      <c r="BV80" s="183"/>
      <c r="BW80" s="228"/>
      <c r="CC80" s="174"/>
      <c r="CD80" s="174"/>
      <c r="CE80" s="174"/>
      <c r="CF80" s="174"/>
    </row>
    <row r="81" spans="2:84">
      <c r="BC81" s="449">
        <f>AVERAGE(BC39:BC78)</f>
        <v>0.21099870111565017</v>
      </c>
      <c r="BD81" s="450"/>
      <c r="BE81" s="449"/>
      <c r="BF81" s="176"/>
      <c r="BG81" s="176"/>
      <c r="BH81" s="176"/>
      <c r="BI81" s="176"/>
      <c r="BJ81" s="174"/>
      <c r="BK81" s="174"/>
      <c r="BL81" s="174"/>
      <c r="BM81" s="174"/>
      <c r="BO81" s="179"/>
      <c r="BV81" s="183"/>
      <c r="BW81" s="228"/>
      <c r="CC81" s="174"/>
      <c r="CD81" s="174"/>
      <c r="CE81" s="174"/>
      <c r="CF81" s="174"/>
    </row>
    <row r="82" spans="2:84">
      <c r="BF82" s="176"/>
      <c r="BG82" s="176"/>
      <c r="BH82" s="176"/>
      <c r="BI82" s="176"/>
      <c r="BO82" s="179"/>
    </row>
    <row r="83" spans="2:84">
      <c r="B83" s="174"/>
      <c r="F83" s="183"/>
    </row>
    <row r="85" spans="2:84" ht="30.75" customHeight="1" thickBot="1"/>
    <row r="86" spans="2:84" ht="15.75" thickBot="1">
      <c r="D86" s="937" t="s">
        <v>226</v>
      </c>
      <c r="E86" s="934" t="s">
        <v>239</v>
      </c>
      <c r="F86" s="935"/>
      <c r="G86" s="935"/>
      <c r="H86" s="936"/>
      <c r="I86" s="934" t="s">
        <v>254</v>
      </c>
      <c r="J86" s="935"/>
      <c r="K86" s="935"/>
      <c r="L86" s="936"/>
      <c r="M86" s="934" t="s">
        <v>266</v>
      </c>
      <c r="N86" s="935"/>
      <c r="O86" s="935"/>
      <c r="P86" s="936"/>
      <c r="Q86" s="309"/>
      <c r="R86" s="309"/>
      <c r="S86" s="309"/>
      <c r="T86" s="156"/>
    </row>
    <row r="87" spans="2:84" ht="45.75" thickBot="1">
      <c r="D87" s="938"/>
      <c r="E87" s="242" t="s">
        <v>507</v>
      </c>
      <c r="F87" s="243" t="s">
        <v>508</v>
      </c>
      <c r="G87" s="243" t="s">
        <v>509</v>
      </c>
      <c r="H87" s="244" t="s">
        <v>510</v>
      </c>
      <c r="I87" s="242" t="s">
        <v>507</v>
      </c>
      <c r="J87" s="243" t="str">
        <f>F87</f>
        <v>Operating cost change</v>
      </c>
      <c r="K87" s="243" t="s">
        <v>509</v>
      </c>
      <c r="L87" s="244" t="str">
        <f>H87</f>
        <v>External cost change</v>
      </c>
      <c r="M87" s="242" t="str">
        <f>I87</f>
        <v>Total cost change</v>
      </c>
      <c r="N87" s="243" t="s">
        <v>629</v>
      </c>
      <c r="O87" s="243" t="str">
        <f>G87</f>
        <v>Transaction cost change</v>
      </c>
      <c r="P87" s="443" t="str">
        <f>H87</f>
        <v>External cost change</v>
      </c>
      <c r="Q87" s="444"/>
      <c r="R87" s="444"/>
      <c r="S87" s="444"/>
      <c r="BC87" s="181"/>
      <c r="BD87" s="31"/>
    </row>
    <row r="88" spans="2:84">
      <c r="D88" s="240">
        <v>2000</v>
      </c>
      <c r="E88" s="245"/>
      <c r="F88" s="179"/>
      <c r="G88" s="179"/>
      <c r="H88" s="248"/>
      <c r="I88" s="672"/>
      <c r="J88" s="673"/>
      <c r="K88" s="673"/>
      <c r="L88" s="674"/>
      <c r="M88" s="245"/>
      <c r="N88" s="179"/>
      <c r="O88" s="179"/>
      <c r="P88" s="248"/>
      <c r="Q88" s="179"/>
      <c r="R88" s="179"/>
      <c r="S88" s="179"/>
      <c r="BC88" s="181"/>
      <c r="BD88" s="31"/>
    </row>
    <row r="89" spans="2:84">
      <c r="D89" s="240">
        <v>2001</v>
      </c>
      <c r="E89" s="245"/>
      <c r="F89" s="179"/>
      <c r="G89" s="179"/>
      <c r="H89" s="248"/>
      <c r="I89" s="245"/>
      <c r="J89" s="179"/>
      <c r="K89" s="179"/>
      <c r="L89" s="248"/>
      <c r="M89" s="245"/>
      <c r="N89" s="179"/>
      <c r="O89" s="179"/>
      <c r="P89" s="248"/>
      <c r="Q89" s="179"/>
      <c r="R89" s="179"/>
      <c r="S89" s="179"/>
      <c r="BC89" s="181"/>
      <c r="BD89" s="31"/>
    </row>
    <row r="90" spans="2:84">
      <c r="D90" s="240">
        <v>2002</v>
      </c>
      <c r="E90" s="245">
        <f>T22</f>
        <v>0.89044707400937173</v>
      </c>
      <c r="F90" s="179">
        <f>L22</f>
        <v>0.99010070146089313</v>
      </c>
      <c r="G90" s="250" t="s">
        <v>219</v>
      </c>
      <c r="H90" s="248">
        <f>E22</f>
        <v>0.74043645828658144</v>
      </c>
      <c r="I90" s="245"/>
      <c r="J90" s="179"/>
      <c r="K90" s="179"/>
      <c r="L90" s="248"/>
      <c r="M90" s="245">
        <f>CF22</f>
        <v>0.32177932265619513</v>
      </c>
      <c r="N90" s="179">
        <f>BR22</f>
        <v>0.40577904029884637</v>
      </c>
      <c r="O90" s="179"/>
      <c r="P90" s="248">
        <f>BE22</f>
        <v>6.0353812440240073E-2</v>
      </c>
      <c r="Q90" s="179"/>
      <c r="R90" s="179"/>
      <c r="S90" s="179"/>
      <c r="BC90" s="181"/>
      <c r="BD90" s="31"/>
    </row>
    <row r="91" spans="2:84">
      <c r="D91" s="240">
        <v>2003</v>
      </c>
      <c r="E91" s="245">
        <f>T26</f>
        <v>0.4695189265766726</v>
      </c>
      <c r="F91" s="179">
        <f>L26</f>
        <v>5.4368310579825607E-2</v>
      </c>
      <c r="G91" s="250" t="s">
        <v>219</v>
      </c>
      <c r="H91" s="248">
        <f>E26</f>
        <v>1.1840999008964479</v>
      </c>
      <c r="I91" s="245"/>
      <c r="J91" s="179"/>
      <c r="K91" s="179"/>
      <c r="L91" s="248"/>
      <c r="M91" s="245">
        <f>CF26</f>
        <v>0.51452191298250649</v>
      </c>
      <c r="N91" s="179">
        <f>BR26</f>
        <v>0.58995280646651249</v>
      </c>
      <c r="O91" s="179"/>
      <c r="P91" s="248">
        <f>BE26</f>
        <v>0.20328890384653131</v>
      </c>
      <c r="Q91" s="179"/>
      <c r="R91" s="179"/>
      <c r="S91" s="179"/>
      <c r="BC91" s="181"/>
      <c r="BD91" s="31"/>
    </row>
    <row r="92" spans="2:84">
      <c r="D92" s="240">
        <v>2004</v>
      </c>
      <c r="E92" s="245">
        <f>T30</f>
        <v>0.37724638169193225</v>
      </c>
      <c r="F92" s="179">
        <f>L30</f>
        <v>0.14379151125813139</v>
      </c>
      <c r="G92" s="250" t="s">
        <v>219</v>
      </c>
      <c r="H92" s="248">
        <f>E30</f>
        <v>0.5712315591723105</v>
      </c>
      <c r="I92" s="245"/>
      <c r="J92" s="179"/>
      <c r="K92" s="179"/>
      <c r="L92" s="248"/>
      <c r="M92" s="245">
        <f>CF30</f>
        <v>1.6556130492169396</v>
      </c>
      <c r="N92" s="179">
        <f>BR30</f>
        <v>1.1483774038743393</v>
      </c>
      <c r="O92" s="179"/>
      <c r="P92" s="248">
        <f>BE30</f>
        <v>4.4210291490800913</v>
      </c>
      <c r="Q92" s="179"/>
      <c r="R92" s="179"/>
      <c r="S92" s="179"/>
      <c r="BC92" s="181"/>
      <c r="BD92" s="31"/>
    </row>
    <row r="93" spans="2:84">
      <c r="D93" s="240">
        <v>2005</v>
      </c>
      <c r="E93" s="245">
        <f>T34</f>
        <v>0.26130862261902355</v>
      </c>
      <c r="F93" s="179">
        <f>L34</f>
        <v>0.20793643618037239</v>
      </c>
      <c r="G93" s="250" t="s">
        <v>219</v>
      </c>
      <c r="H93" s="248">
        <f>E34</f>
        <v>0.29359261808151027</v>
      </c>
      <c r="I93" s="245"/>
      <c r="J93" s="179"/>
      <c r="K93" s="179"/>
      <c r="L93" s="248"/>
      <c r="M93" s="245">
        <f>CF34</f>
        <v>1.1158811346956341</v>
      </c>
      <c r="N93" s="179">
        <f>BR34</f>
        <v>0.65997693373553057</v>
      </c>
      <c r="O93" s="179"/>
      <c r="P93" s="248">
        <f>BE34</f>
        <v>2.100919507272792</v>
      </c>
      <c r="Q93" s="179"/>
      <c r="R93" s="179"/>
      <c r="S93" s="179"/>
      <c r="BC93" s="181"/>
      <c r="BD93" s="31"/>
    </row>
    <row r="94" spans="2:84">
      <c r="D94" s="240">
        <v>2006</v>
      </c>
      <c r="E94" s="245">
        <f>T38</f>
        <v>0.26577453675602158</v>
      </c>
      <c r="F94" s="179">
        <f>L38</f>
        <v>0.34188514419087102</v>
      </c>
      <c r="G94" s="250" t="s">
        <v>219</v>
      </c>
      <c r="H94" s="248">
        <f>E38</f>
        <v>0.22278487539131775</v>
      </c>
      <c r="I94" s="245"/>
      <c r="J94" s="179"/>
      <c r="K94" s="179"/>
      <c r="L94" s="248"/>
      <c r="M94" s="245">
        <f>CF38</f>
        <v>0.17267772635610679</v>
      </c>
      <c r="N94" s="179">
        <f>BR38</f>
        <v>0.76978278706823566</v>
      </c>
      <c r="O94" s="179"/>
      <c r="P94" s="248">
        <f>BE38</f>
        <v>-0.51794659267690668</v>
      </c>
      <c r="Q94" s="179"/>
      <c r="R94" s="179"/>
      <c r="S94" s="179"/>
      <c r="BC94" s="181"/>
      <c r="BD94" s="31"/>
    </row>
    <row r="95" spans="2:84">
      <c r="D95" s="240">
        <v>2007</v>
      </c>
      <c r="E95" s="245">
        <f>T42</f>
        <v>0.31294201438993507</v>
      </c>
      <c r="F95" s="179">
        <f>L42</f>
        <v>0.60449614309490229</v>
      </c>
      <c r="G95" s="250" t="s">
        <v>219</v>
      </c>
      <c r="H95" s="248">
        <f>E42</f>
        <v>0.13222322087455374</v>
      </c>
      <c r="I95" s="245"/>
      <c r="J95" s="179"/>
      <c r="K95" s="179"/>
      <c r="L95" s="248"/>
      <c r="M95" s="245">
        <f>CF42</f>
        <v>3.3710277861990861</v>
      </c>
      <c r="N95" s="179">
        <f>BR42</f>
        <v>1.0766056048582238</v>
      </c>
      <c r="O95" s="179"/>
      <c r="P95" s="248">
        <f>BE42</f>
        <v>8.7898112119336211</v>
      </c>
      <c r="Q95" s="179"/>
      <c r="R95" s="179"/>
      <c r="S95" s="179"/>
      <c r="BC95" s="181"/>
      <c r="BD95" s="31"/>
    </row>
    <row r="96" spans="2:84">
      <c r="D96" s="240">
        <v>2008</v>
      </c>
      <c r="E96" s="245">
        <f>T46</f>
        <v>0.18369616955022861</v>
      </c>
      <c r="F96" s="179">
        <f>L46</f>
        <v>0.20268678084577596</v>
      </c>
      <c r="G96" s="250" t="s">
        <v>219</v>
      </c>
      <c r="H96" s="248">
        <f>E46</f>
        <v>0.16701487745140975</v>
      </c>
      <c r="I96" s="245">
        <f>AU14</f>
        <v>2.3585373340606841E-2</v>
      </c>
      <c r="J96" s="179">
        <f>AN14</f>
        <v>0.30103088243029741</v>
      </c>
      <c r="K96" s="179"/>
      <c r="L96" s="248">
        <f>AF14</f>
        <v>-0.10382162781236282</v>
      </c>
      <c r="M96" s="245">
        <f>CF46</f>
        <v>0.57717916450713203</v>
      </c>
      <c r="N96" s="179">
        <f>BR46</f>
        <v>0.23802395402846011</v>
      </c>
      <c r="O96" s="179">
        <f>BM46</f>
        <v>0.30128817612095626</v>
      </c>
      <c r="P96" s="248">
        <f>BE46</f>
        <v>1.0045276190618622</v>
      </c>
      <c r="Q96" s="179"/>
      <c r="R96" s="179"/>
      <c r="S96" s="179"/>
      <c r="BC96" s="181"/>
      <c r="BD96" s="31"/>
    </row>
    <row r="97" spans="4:56">
      <c r="D97" s="240">
        <v>2009</v>
      </c>
      <c r="E97" s="245">
        <f>T50</f>
        <v>0.40759158018506514</v>
      </c>
      <c r="F97" s="179">
        <f>L50</f>
        <v>0.28971734169451913</v>
      </c>
      <c r="G97" s="250" t="s">
        <v>219</v>
      </c>
      <c r="H97" s="248">
        <f>E50</f>
        <v>0.51429683015291228</v>
      </c>
      <c r="I97" s="245">
        <f t="shared" ref="I97:I104" si="46">AU15</f>
        <v>0.95911344042005919</v>
      </c>
      <c r="J97" s="179">
        <f t="shared" ref="J97:J104" si="47">AN15</f>
        <v>0.14132748555373253</v>
      </c>
      <c r="K97" s="179"/>
      <c r="L97" s="248">
        <f t="shared" ref="L97:L102" si="48">AF15</f>
        <v>1.5043040769976104</v>
      </c>
      <c r="M97" s="245">
        <f>CF50</f>
        <v>0.23501535361655934</v>
      </c>
      <c r="N97" s="179">
        <f>BR50</f>
        <v>0.12053777986955616</v>
      </c>
      <c r="O97" s="179">
        <f>BM50</f>
        <v>0.3581150428182267</v>
      </c>
      <c r="P97" s="248">
        <f>BE50</f>
        <v>0.26340226757269347</v>
      </c>
      <c r="Q97" s="179"/>
      <c r="R97" s="179"/>
      <c r="S97" s="179"/>
      <c r="BC97" s="181"/>
      <c r="BD97" s="31"/>
    </row>
    <row r="98" spans="4:56">
      <c r="D98" s="240">
        <v>2010</v>
      </c>
      <c r="E98" s="245">
        <f>T54</f>
        <v>-5.9425651207460017E-2</v>
      </c>
      <c r="F98" s="179">
        <f>L54</f>
        <v>0.11043269511685905</v>
      </c>
      <c r="G98" s="250" t="s">
        <v>219</v>
      </c>
      <c r="H98" s="248">
        <f>E54</f>
        <v>-0.19038524077512187</v>
      </c>
      <c r="I98" s="245">
        <f t="shared" si="46"/>
        <v>0.54135107907888358</v>
      </c>
      <c r="J98" s="179">
        <f t="shared" si="47"/>
        <v>0.42695556982136029</v>
      </c>
      <c r="K98" s="179"/>
      <c r="L98" s="248">
        <f t="shared" si="48"/>
        <v>0.57610797092727228</v>
      </c>
      <c r="M98" s="245">
        <f>CF54</f>
        <v>0.26903254341277449</v>
      </c>
      <c r="N98" s="179">
        <f>BR54</f>
        <v>0.31266536385390076</v>
      </c>
      <c r="O98" s="179">
        <f>BM54</f>
        <v>0.53267065745246711</v>
      </c>
      <c r="P98" s="248">
        <f>BE54</f>
        <v>0.16624174411801329</v>
      </c>
      <c r="Q98" s="179"/>
      <c r="R98" s="179"/>
      <c r="S98" s="179"/>
      <c r="BC98" s="181"/>
      <c r="BD98" s="31"/>
    </row>
    <row r="99" spans="4:56">
      <c r="D99" s="240">
        <v>2011</v>
      </c>
      <c r="E99" s="245">
        <f>T58</f>
        <v>-9.0808422043344272E-2</v>
      </c>
      <c r="F99" s="179">
        <f>L58</f>
        <v>0.13002620287811761</v>
      </c>
      <c r="G99" s="250" t="s">
        <v>219</v>
      </c>
      <c r="H99" s="248">
        <f>E58</f>
        <v>-0.32433235985676712</v>
      </c>
      <c r="I99" s="245">
        <f t="shared" si="46"/>
        <v>0.11336113122767122</v>
      </c>
      <c r="J99" s="179">
        <f t="shared" si="47"/>
        <v>0.22403438415469656</v>
      </c>
      <c r="K99" s="179"/>
      <c r="L99" s="248">
        <f t="shared" si="48"/>
        <v>-0.10287732385179749</v>
      </c>
      <c r="M99" s="245">
        <f>CF58</f>
        <v>0.28429369670983595</v>
      </c>
      <c r="N99" s="179">
        <f>BR58</f>
        <v>0.67987156166873453</v>
      </c>
      <c r="O99" s="179">
        <f>BM58</f>
        <v>-2.1804741144043627E-3</v>
      </c>
      <c r="P99" s="248">
        <f>BE58</f>
        <v>0.18065674387609976</v>
      </c>
      <c r="Q99" s="179"/>
      <c r="R99" s="179"/>
      <c r="S99" s="179"/>
      <c r="BC99" s="181"/>
      <c r="BD99" s="31"/>
    </row>
    <row r="100" spans="4:56">
      <c r="D100" s="240">
        <v>2012</v>
      </c>
      <c r="E100" s="245">
        <f>T62</f>
        <v>-0.14342411452241433</v>
      </c>
      <c r="F100" s="179">
        <f>L62</f>
        <v>-1.3630482154458057E-2</v>
      </c>
      <c r="G100" s="250" t="s">
        <v>219</v>
      </c>
      <c r="H100" s="248">
        <f>E62</f>
        <v>-0.37297185295465207</v>
      </c>
      <c r="I100" s="245">
        <f t="shared" si="46"/>
        <v>0.1186783017742683</v>
      </c>
      <c r="J100" s="179">
        <f t="shared" si="47"/>
        <v>8.8795658591109161E-2</v>
      </c>
      <c r="K100" s="179">
        <f>AJ18</f>
        <v>-0.35747798641536521</v>
      </c>
      <c r="L100" s="248">
        <f t="shared" si="48"/>
        <v>0.22850601452133734</v>
      </c>
      <c r="M100" s="245">
        <f>CF62</f>
        <v>0.27212098941231422</v>
      </c>
      <c r="N100" s="179">
        <f>BR62</f>
        <v>0.13414945867683992</v>
      </c>
      <c r="O100" s="179">
        <f>BM62</f>
        <v>1.2196741372066722E-2</v>
      </c>
      <c r="P100" s="248">
        <f>BE62</f>
        <v>0.47012571499015032</v>
      </c>
      <c r="Q100" s="179"/>
      <c r="R100" s="179"/>
      <c r="S100" s="179"/>
      <c r="BC100" s="181"/>
      <c r="BD100" s="31"/>
    </row>
    <row r="101" spans="4:56">
      <c r="D101" s="240">
        <v>2013</v>
      </c>
      <c r="E101" s="245">
        <f>T66</f>
        <v>0.25270719251087748</v>
      </c>
      <c r="F101" s="179">
        <f>L66</f>
        <v>0.11696493610589087</v>
      </c>
      <c r="G101" s="250" t="s">
        <v>219</v>
      </c>
      <c r="H101" s="248">
        <f>E66</f>
        <v>0.63035529056801787</v>
      </c>
      <c r="I101" s="245">
        <f t="shared" si="46"/>
        <v>0.20685962547498327</v>
      </c>
      <c r="J101" s="179">
        <f t="shared" si="47"/>
        <v>0.10445253522096798</v>
      </c>
      <c r="K101" s="179">
        <f>AJ19</f>
        <v>0.33511758532041069</v>
      </c>
      <c r="L101" s="248">
        <f t="shared" si="48"/>
        <v>0.22703138730927375</v>
      </c>
      <c r="M101" s="245">
        <f>CF66</f>
        <v>9.2146724562611748E-3</v>
      </c>
      <c r="N101" s="179">
        <f>BR66</f>
        <v>-7.7664155546673941E-2</v>
      </c>
      <c r="O101" s="179">
        <f>BM66</f>
        <v>7.0231076047690966E-3</v>
      </c>
      <c r="P101" s="248">
        <f>BE66</f>
        <v>6.2690901630330531E-2</v>
      </c>
      <c r="Q101" s="179"/>
      <c r="R101" s="179"/>
      <c r="S101" s="179"/>
      <c r="BC101" s="181"/>
      <c r="BD101" s="31"/>
    </row>
    <row r="102" spans="4:56">
      <c r="D102" s="240">
        <v>2014</v>
      </c>
      <c r="E102" s="245">
        <f>T70</f>
        <v>1.641924364457048E-2</v>
      </c>
      <c r="F102" s="179">
        <f>L70</f>
        <v>3.0849371388709246E-2</v>
      </c>
      <c r="G102" s="250" t="s">
        <v>219</v>
      </c>
      <c r="H102" s="248">
        <f>E70</f>
        <v>-1.10849993506279E-2</v>
      </c>
      <c r="I102" s="245">
        <f t="shared" si="46"/>
        <v>-6.4680611200387816E-2</v>
      </c>
      <c r="J102" s="179">
        <f t="shared" si="47"/>
        <v>-8.8676433049934E-2</v>
      </c>
      <c r="K102" s="179">
        <f>AJ20</f>
        <v>-0.24159532137393058</v>
      </c>
      <c r="L102" s="248">
        <f t="shared" si="48"/>
        <v>-3.6645485602362027E-2</v>
      </c>
      <c r="M102" s="245">
        <f>CF70</f>
        <v>0.14747995040630824</v>
      </c>
      <c r="N102" s="179">
        <f>BR70</f>
        <v>0.37605873729914507</v>
      </c>
      <c r="O102" s="179">
        <f>BM70</f>
        <v>-0.11696183399620619</v>
      </c>
      <c r="P102" s="248">
        <f>BE70</f>
        <v>8.5612511481811815E-2</v>
      </c>
      <c r="Q102" s="179"/>
      <c r="R102" s="179"/>
      <c r="S102" s="179"/>
      <c r="BC102" s="181"/>
      <c r="BD102" s="31"/>
    </row>
    <row r="103" spans="4:56">
      <c r="D103" s="240">
        <v>2015</v>
      </c>
      <c r="E103" s="245">
        <f>T74</f>
        <v>-3.535320264423425E-2</v>
      </c>
      <c r="F103" s="179">
        <f>L74</f>
        <v>1.1485215264633863E-2</v>
      </c>
      <c r="G103" s="250" t="s">
        <v>219</v>
      </c>
      <c r="H103" s="248">
        <f>E74</f>
        <v>-0.12841426018011981</v>
      </c>
      <c r="I103" s="245">
        <f t="shared" si="46"/>
        <v>-0.15713785707863859</v>
      </c>
      <c r="J103" s="179">
        <f t="shared" si="47"/>
        <v>-3.1757161118637023E-2</v>
      </c>
      <c r="K103" s="179">
        <f>AJ21</f>
        <v>0.14447625080078086</v>
      </c>
      <c r="L103" s="248">
        <f>AF21</f>
        <v>-0.22063472942725604</v>
      </c>
      <c r="M103" s="245">
        <f>CF74</f>
        <v>0.25409811073784461</v>
      </c>
      <c r="N103" s="179">
        <f>BR74</f>
        <v>0.1372872116662569</v>
      </c>
      <c r="O103" s="179">
        <f>BM74</f>
        <v>1.1546117380588674</v>
      </c>
      <c r="P103" s="248">
        <f>BE74</f>
        <v>0.16882427287309087</v>
      </c>
      <c r="Q103" s="179"/>
      <c r="R103" s="179"/>
      <c r="S103" s="179"/>
      <c r="BC103" s="181"/>
      <c r="BD103" s="31"/>
    </row>
    <row r="104" spans="4:56" ht="15.75" thickBot="1">
      <c r="D104" s="241">
        <v>2016</v>
      </c>
      <c r="E104" s="246">
        <f>T78</f>
        <v>-4.3202815423961205E-2</v>
      </c>
      <c r="F104" s="247">
        <f>L78</f>
        <v>5.2679853394221876E-2</v>
      </c>
      <c r="G104" s="251" t="s">
        <v>219</v>
      </c>
      <c r="H104" s="249">
        <f>E78</f>
        <v>-0.26428579201027957</v>
      </c>
      <c r="I104" s="246">
        <f t="shared" si="46"/>
        <v>-6.6149505410513232E-3</v>
      </c>
      <c r="J104" s="247">
        <f t="shared" si="47"/>
        <v>-3.9391265316945923E-2</v>
      </c>
      <c r="K104" s="247">
        <f>AJ22</f>
        <v>-9.1398593416417095E-2</v>
      </c>
      <c r="L104" s="249">
        <f>AF22</f>
        <v>1.646998656248555E-2</v>
      </c>
      <c r="M104" s="246">
        <f>CF78</f>
        <v>-9.4780280377055437E-2</v>
      </c>
      <c r="N104" s="247">
        <f>BR78</f>
        <v>-3.5390027037105809E-2</v>
      </c>
      <c r="O104" s="247">
        <f>BM78</f>
        <v>-0.17070109417373125</v>
      </c>
      <c r="P104" s="249">
        <f>BE78</f>
        <v>-0.10810663476278848</v>
      </c>
      <c r="Q104" s="179"/>
      <c r="R104" s="179"/>
      <c r="S104" s="179"/>
      <c r="BC104" s="181"/>
      <c r="BD104" s="31"/>
    </row>
  </sheetData>
  <mergeCells count="7">
    <mergeCell ref="E86:H86"/>
    <mergeCell ref="D86:D87"/>
    <mergeCell ref="A1:AA1"/>
    <mergeCell ref="AD1:AX1"/>
    <mergeCell ref="BA1:CI1"/>
    <mergeCell ref="I86:L86"/>
    <mergeCell ref="M86:P86"/>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H100"/>
  <sheetViews>
    <sheetView topLeftCell="F1" zoomScale="80" zoomScaleNormal="80" zoomScalePageLayoutView="80" workbookViewId="0">
      <pane ySplit="1" topLeftCell="A61" activePane="bottomLeft" state="frozen"/>
      <selection activeCell="E1" sqref="E1"/>
      <selection pane="bottomLeft" activeCell="N117" sqref="N117"/>
    </sheetView>
  </sheetViews>
  <sheetFormatPr defaultColWidth="9.140625" defaultRowHeight="12.75"/>
  <cols>
    <col min="1" max="1" width="11.140625" style="132" customWidth="1"/>
    <col min="2" max="2" width="0" style="132" hidden="1" customWidth="1"/>
    <col min="3" max="3" width="13.140625" style="132" customWidth="1"/>
    <col min="4" max="4" width="0" style="132" hidden="1" customWidth="1"/>
    <col min="5" max="7" width="9.140625" style="132"/>
    <col min="8" max="8" width="9.140625" style="714"/>
    <col min="9" max="9" width="11" style="132" customWidth="1"/>
    <col min="10" max="10" width="12" style="132" customWidth="1"/>
    <col min="11" max="11" width="19.85546875" style="132" bestFit="1" customWidth="1"/>
    <col min="12" max="12" width="15.85546875" style="132" customWidth="1"/>
    <col min="13" max="13" width="9.7109375" style="132" customWidth="1"/>
    <col min="14" max="14" width="12.42578125" style="132" bestFit="1" customWidth="1"/>
    <col min="15" max="15" width="15" style="132" customWidth="1"/>
    <col min="16" max="16" width="9.140625" style="132"/>
    <col min="17" max="17" width="12.42578125" style="132" bestFit="1" customWidth="1"/>
    <col min="18" max="18" width="17.140625" style="132" bestFit="1" customWidth="1"/>
    <col min="19" max="19" width="12.42578125" style="714" customWidth="1"/>
    <col min="20" max="20" width="10.42578125" style="132" bestFit="1" customWidth="1"/>
    <col min="21" max="22" width="9.140625" style="132"/>
    <col min="23" max="23" width="14.140625" style="132" bestFit="1" customWidth="1"/>
    <col min="24" max="24" width="16.140625" style="132" bestFit="1" customWidth="1"/>
    <col min="25" max="25" width="10.42578125" style="132" bestFit="1" customWidth="1"/>
    <col min="26" max="27" width="9.140625" style="132"/>
    <col min="28" max="28" width="14.140625" style="132" bestFit="1" customWidth="1"/>
    <col min="29" max="29" width="16.140625" style="132" bestFit="1" customWidth="1"/>
    <col min="30" max="30" width="10.42578125" style="132" bestFit="1" customWidth="1"/>
    <col min="31" max="31" width="11.7109375" style="132" customWidth="1"/>
    <col min="32" max="32" width="9.140625" style="132"/>
    <col min="33" max="33" width="14.140625" style="132" bestFit="1" customWidth="1"/>
    <col min="34" max="34" width="16.140625" style="132" bestFit="1" customWidth="1"/>
    <col min="35" max="16384" width="9.140625" style="132"/>
  </cols>
  <sheetData>
    <row r="1" spans="1:34" ht="23.25">
      <c r="A1" s="501" t="s">
        <v>810</v>
      </c>
      <c r="B1" s="502"/>
      <c r="C1" s="502"/>
      <c r="D1" s="502"/>
      <c r="E1" s="502"/>
      <c r="F1" s="502"/>
      <c r="G1" s="502"/>
      <c r="H1" s="712"/>
      <c r="I1" s="502"/>
      <c r="J1" s="947" t="s">
        <v>239</v>
      </c>
      <c r="K1" s="945"/>
      <c r="L1" s="946"/>
      <c r="M1" s="947" t="s">
        <v>266</v>
      </c>
      <c r="N1" s="945"/>
      <c r="O1" s="946"/>
      <c r="P1" s="945" t="s">
        <v>833</v>
      </c>
      <c r="Q1" s="945"/>
      <c r="R1" s="946"/>
      <c r="S1" s="718"/>
      <c r="U1" s="944" t="s">
        <v>842</v>
      </c>
      <c r="V1" s="944"/>
      <c r="W1" s="944"/>
      <c r="X1" s="944"/>
      <c r="Z1" s="944" t="s">
        <v>843</v>
      </c>
      <c r="AA1" s="944"/>
      <c r="AB1" s="944"/>
      <c r="AC1" s="944"/>
      <c r="AE1" s="944" t="s">
        <v>844</v>
      </c>
      <c r="AF1" s="944"/>
      <c r="AG1" s="944"/>
      <c r="AH1" s="944"/>
    </row>
    <row r="2" spans="1:34" ht="15">
      <c r="A2" s="503" t="s">
        <v>226</v>
      </c>
      <c r="B2" s="504" t="s">
        <v>398</v>
      </c>
      <c r="C2" s="504" t="s">
        <v>813</v>
      </c>
      <c r="D2" s="504" t="s">
        <v>84</v>
      </c>
      <c r="E2" s="504" t="s">
        <v>814</v>
      </c>
      <c r="F2" s="504" t="s">
        <v>815</v>
      </c>
      <c r="G2" s="504" t="s">
        <v>816</v>
      </c>
      <c r="H2" s="713"/>
      <c r="I2" s="505" t="str">
        <f>A2</f>
        <v>Date</v>
      </c>
      <c r="J2" s="506" t="s">
        <v>390</v>
      </c>
      <c r="K2" s="507" t="s">
        <v>428</v>
      </c>
      <c r="L2" s="508" t="s">
        <v>525</v>
      </c>
      <c r="M2" s="509" t="s">
        <v>390</v>
      </c>
      <c r="N2" s="507" t="s">
        <v>428</v>
      </c>
      <c r="O2" s="508" t="s">
        <v>525</v>
      </c>
      <c r="P2" s="506" t="s">
        <v>390</v>
      </c>
      <c r="Q2" s="507" t="s">
        <v>428</v>
      </c>
      <c r="R2" s="508" t="s">
        <v>525</v>
      </c>
      <c r="S2" s="719"/>
      <c r="U2" s="505" t="s">
        <v>226</v>
      </c>
      <c r="V2" s="505" t="s">
        <v>130</v>
      </c>
      <c r="W2" s="505" t="s">
        <v>811</v>
      </c>
      <c r="X2" s="505" t="s">
        <v>812</v>
      </c>
      <c r="Z2" s="505" t="s">
        <v>226</v>
      </c>
      <c r="AA2" s="505" t="s">
        <v>130</v>
      </c>
      <c r="AB2" s="505" t="s">
        <v>811</v>
      </c>
      <c r="AC2" s="505" t="s">
        <v>812</v>
      </c>
      <c r="AE2" s="505" t="s">
        <v>226</v>
      </c>
      <c r="AF2" s="505" t="s">
        <v>130</v>
      </c>
      <c r="AG2" s="505" t="s">
        <v>811</v>
      </c>
      <c r="AH2" s="505" t="s">
        <v>812</v>
      </c>
    </row>
    <row r="3" spans="1:34" ht="15">
      <c r="A3" s="337" t="s">
        <v>70</v>
      </c>
      <c r="B3" s="141">
        <f>'CPI+exchange rates'!L8</f>
        <v>4.5</v>
      </c>
      <c r="C3" s="133">
        <f>B3/100</f>
        <v>4.4999999999999998E-2</v>
      </c>
      <c r="D3" s="141">
        <f t="shared" ref="D3:D66" si="0">C3+1</f>
        <v>1.0449999999999999</v>
      </c>
      <c r="E3" s="141" t="s">
        <v>800</v>
      </c>
      <c r="F3" s="133">
        <v>4.7489999999999997E-2</v>
      </c>
      <c r="G3" s="133">
        <v>3.090733E-2</v>
      </c>
      <c r="I3" s="505" t="str">
        <f>A3</f>
        <v>1Q1999</v>
      </c>
      <c r="J3" s="146">
        <f>Returns!C8</f>
        <v>-1.2806109663260901E-2</v>
      </c>
      <c r="K3" s="147">
        <f>J3-C3</f>
        <v>-5.7806109663260899E-2</v>
      </c>
      <c r="L3" s="282"/>
      <c r="M3" s="150"/>
      <c r="N3" s="151"/>
      <c r="O3" s="285"/>
      <c r="P3" s="146">
        <f>Returns!M8</f>
        <v>-5.8435092498162478E-2</v>
      </c>
      <c r="Q3" s="147">
        <f>P3-C3</f>
        <v>-0.10343509249816248</v>
      </c>
      <c r="R3" s="282"/>
      <c r="S3" s="720"/>
      <c r="U3" s="505" t="str">
        <f>I3</f>
        <v>1Q1999</v>
      </c>
      <c r="V3" s="715">
        <f>Returns!E8</f>
        <v>1.4206772062699269E-3</v>
      </c>
      <c r="W3" s="132" t="s">
        <v>800</v>
      </c>
      <c r="Z3" s="505" t="str">
        <f>U3</f>
        <v>1Q1999</v>
      </c>
      <c r="AA3" s="715"/>
      <c r="AE3" s="505" t="str">
        <f>Z3</f>
        <v>1Q1999</v>
      </c>
      <c r="AF3" s="715">
        <f>Returns!N8</f>
        <v>2.4113687777131201E-2</v>
      </c>
      <c r="AG3" s="715">
        <f>AF3-G3</f>
        <v>-6.7936422228687988E-3</v>
      </c>
    </row>
    <row r="4" spans="1:34" ht="15">
      <c r="A4" s="337" t="s">
        <v>71</v>
      </c>
      <c r="B4" s="141">
        <f>'CPI+exchange rates'!L9</f>
        <v>4.78</v>
      </c>
      <c r="C4" s="133">
        <f t="shared" ref="C4:C66" si="1">B4/100</f>
        <v>4.7800000000000002E-2</v>
      </c>
      <c r="D4" s="141">
        <f t="shared" si="0"/>
        <v>1.0478000000000001</v>
      </c>
      <c r="E4" s="141" t="s">
        <v>800</v>
      </c>
      <c r="F4" s="133">
        <v>4.6219999999999997E-2</v>
      </c>
      <c r="G4" s="133">
        <v>2.634067E-2</v>
      </c>
      <c r="I4" s="505" t="str">
        <f t="shared" ref="I4:I67" si="2">A4</f>
        <v>2Q1999</v>
      </c>
      <c r="J4" s="146">
        <f>Returns!C9</f>
        <v>-2.6679188548619504E-3</v>
      </c>
      <c r="K4" s="147">
        <f t="shared" ref="K4:K67" si="3">J4-C4</f>
        <v>-5.0467918854861953E-2</v>
      </c>
      <c r="L4" s="282"/>
      <c r="M4" s="150"/>
      <c r="N4" s="151"/>
      <c r="O4" s="285"/>
      <c r="P4" s="146">
        <f>Returns!M9</f>
        <v>-2.1751370310895357E-2</v>
      </c>
      <c r="Q4" s="147">
        <f t="shared" ref="Q4:Q67" si="4">P4-C4</f>
        <v>-6.9551370310895366E-2</v>
      </c>
      <c r="R4" s="282"/>
      <c r="S4" s="720"/>
      <c r="U4" s="505" t="str">
        <f t="shared" ref="U4:U67" si="5">I4</f>
        <v>2Q1999</v>
      </c>
      <c r="V4" s="715">
        <f>Returns!E9</f>
        <v>1.5875272851554989E-2</v>
      </c>
      <c r="W4" s="132" t="s">
        <v>800</v>
      </c>
      <c r="Z4" s="505" t="str">
        <f t="shared" ref="Z4:Z67" si="6">U4</f>
        <v>2Q1999</v>
      </c>
      <c r="AA4" s="715"/>
      <c r="AE4" s="505" t="str">
        <f t="shared" ref="AE4:AE67" si="7">Z4</f>
        <v>2Q1999</v>
      </c>
      <c r="AF4" s="715">
        <f>Returns!N9</f>
        <v>2.4113687777131201E-2</v>
      </c>
      <c r="AG4" s="715">
        <f t="shared" ref="AG4:AG67" si="8">AF4-G4</f>
        <v>-2.2269822228687987E-3</v>
      </c>
    </row>
    <row r="5" spans="1:34" ht="15">
      <c r="A5" s="337" t="s">
        <v>72</v>
      </c>
      <c r="B5" s="141">
        <f>'CPI+exchange rates'!L10</f>
        <v>4.8600000000000003</v>
      </c>
      <c r="C5" s="133">
        <f t="shared" si="1"/>
        <v>4.8600000000000004E-2</v>
      </c>
      <c r="D5" s="141">
        <f t="shared" si="0"/>
        <v>1.0486</v>
      </c>
      <c r="E5" s="141" t="s">
        <v>800</v>
      </c>
      <c r="F5" s="133">
        <v>4.6870000000000002E-2</v>
      </c>
      <c r="G5" s="133">
        <v>2.6993999999999997E-2</v>
      </c>
      <c r="I5" s="505" t="str">
        <f t="shared" si="2"/>
        <v>3Q1999</v>
      </c>
      <c r="J5" s="146">
        <f>Returns!C10</f>
        <v>3.3740647464486795E-2</v>
      </c>
      <c r="K5" s="147">
        <f t="shared" si="3"/>
        <v>-1.4859352535513209E-2</v>
      </c>
      <c r="L5" s="282"/>
      <c r="M5" s="150"/>
      <c r="N5" s="151"/>
      <c r="O5" s="285"/>
      <c r="P5" s="146">
        <f>Returns!M10</f>
        <v>5.7580763906302401E-2</v>
      </c>
      <c r="Q5" s="147">
        <f t="shared" si="4"/>
        <v>8.980763906302397E-3</v>
      </c>
      <c r="R5" s="282"/>
      <c r="S5" s="720"/>
      <c r="U5" s="505" t="str">
        <f t="shared" si="5"/>
        <v>3Q1999</v>
      </c>
      <c r="V5" s="715">
        <f>Returns!E10</f>
        <v>1.7983406728286244E-2</v>
      </c>
      <c r="W5" s="132" t="s">
        <v>800</v>
      </c>
      <c r="Z5" s="505" t="str">
        <f t="shared" si="6"/>
        <v>3Q1999</v>
      </c>
      <c r="AA5" s="715"/>
      <c r="AE5" s="505" t="str">
        <f t="shared" si="7"/>
        <v>3Q1999</v>
      </c>
      <c r="AF5" s="715">
        <f>Returns!N10</f>
        <v>2.4113687777131201E-2</v>
      </c>
      <c r="AG5" s="715">
        <f t="shared" si="8"/>
        <v>-2.8803122228687958E-3</v>
      </c>
    </row>
    <row r="6" spans="1:34" ht="15">
      <c r="A6" s="337" t="s">
        <v>73</v>
      </c>
      <c r="B6" s="141">
        <f>'CPI+exchange rates'!L11</f>
        <v>5.22</v>
      </c>
      <c r="C6" s="133">
        <f t="shared" si="1"/>
        <v>5.2199999999999996E-2</v>
      </c>
      <c r="D6" s="141">
        <f t="shared" si="0"/>
        <v>1.0522</v>
      </c>
      <c r="E6" s="141" t="s">
        <v>800</v>
      </c>
      <c r="F6" s="133">
        <v>4.9299999999999997E-2</v>
      </c>
      <c r="G6" s="133">
        <v>3.4298000000000002E-2</v>
      </c>
      <c r="I6" s="505" t="str">
        <f t="shared" si="2"/>
        <v>4Q1999</v>
      </c>
      <c r="J6" s="146">
        <f>Returns!C11</f>
        <v>6.033078700732486E-2</v>
      </c>
      <c r="K6" s="147">
        <f>J6-C6</f>
        <v>8.1307870073248634E-3</v>
      </c>
      <c r="L6" s="282">
        <f>((K6+1)*(K5+1)*(K4+1)*(K3+1))-1</f>
        <v>-0.1114844299300809</v>
      </c>
      <c r="M6" s="150"/>
      <c r="N6" s="151"/>
      <c r="O6" s="282">
        <f>((N6+1)*(N5+1)*(N4+1)*(N3+1))-1</f>
        <v>0</v>
      </c>
      <c r="P6" s="146">
        <f>Returns!M11</f>
        <v>-3.6086568844078792E-2</v>
      </c>
      <c r="Q6" s="147">
        <f t="shared" si="4"/>
        <v>-8.8286568844078789E-2</v>
      </c>
      <c r="R6" s="282">
        <f>((Q6+1)*(Q5+1)*(Q4+1)*(Q3+1))-1</f>
        <v>-0.23261134197377542</v>
      </c>
      <c r="S6" s="720"/>
      <c r="U6" s="505" t="str">
        <f t="shared" si="5"/>
        <v>4Q1999</v>
      </c>
      <c r="V6" s="715">
        <f>Returns!E11</f>
        <v>9.9263151860163878E-2</v>
      </c>
      <c r="W6" s="132" t="s">
        <v>800</v>
      </c>
      <c r="Z6" s="505" t="str">
        <f t="shared" si="6"/>
        <v>4Q1999</v>
      </c>
      <c r="AA6" s="715"/>
      <c r="AE6" s="505" t="str">
        <f t="shared" si="7"/>
        <v>4Q1999</v>
      </c>
      <c r="AF6" s="715">
        <f>Returns!N11</f>
        <v>2.4113687777131201E-2</v>
      </c>
      <c r="AG6" s="715">
        <f t="shared" si="8"/>
        <v>-1.0184312222868801E-2</v>
      </c>
      <c r="AH6" s="282">
        <f>((AG6+1)*(AG5+1)*(AG4+1)*(AG3+1))-1</f>
        <v>-2.1923396327464317E-2</v>
      </c>
    </row>
    <row r="7" spans="1:34" ht="15">
      <c r="A7" s="337" t="s">
        <v>59</v>
      </c>
      <c r="B7" s="141">
        <f>'CPI+exchange rates'!L12</f>
        <v>5.88</v>
      </c>
      <c r="C7" s="133">
        <f t="shared" si="1"/>
        <v>5.8799999999999998E-2</v>
      </c>
      <c r="D7" s="141">
        <f t="shared" si="0"/>
        <v>1.0588</v>
      </c>
      <c r="E7" s="141" t="s">
        <v>800</v>
      </c>
      <c r="F7" s="133">
        <v>5.2770000000000004E-2</v>
      </c>
      <c r="G7" s="133">
        <v>3.5423000000000003E-2</v>
      </c>
      <c r="I7" s="505" t="str">
        <f t="shared" si="2"/>
        <v>1Q2000</v>
      </c>
      <c r="J7" s="146">
        <f>Returns!C12</f>
        <v>3.3425059086740205E-3</v>
      </c>
      <c r="K7" s="147">
        <f t="shared" si="3"/>
        <v>-5.5457494091325978E-2</v>
      </c>
      <c r="L7" s="282"/>
      <c r="M7" s="150"/>
      <c r="N7" s="151"/>
      <c r="O7" s="285"/>
      <c r="P7" s="146">
        <f>Returns!M12</f>
        <v>-3.7848226616450154E-2</v>
      </c>
      <c r="Q7" s="147">
        <f t="shared" si="4"/>
        <v>-9.6648226616450145E-2</v>
      </c>
      <c r="R7" s="282"/>
      <c r="S7" s="720"/>
      <c r="U7" s="505" t="str">
        <f t="shared" si="5"/>
        <v>1Q2000</v>
      </c>
      <c r="V7" s="715">
        <f>Returns!E12</f>
        <v>5.3533662537651017E-2</v>
      </c>
      <c r="W7" s="132" t="s">
        <v>800</v>
      </c>
      <c r="Z7" s="505" t="str">
        <f t="shared" si="6"/>
        <v>1Q2000</v>
      </c>
      <c r="AA7" s="715"/>
      <c r="AE7" s="505" t="str">
        <f t="shared" si="7"/>
        <v>1Q2000</v>
      </c>
      <c r="AF7" s="715">
        <f>Returns!N12</f>
        <v>7.8485240453337705E-3</v>
      </c>
      <c r="AG7" s="715">
        <f t="shared" si="8"/>
        <v>-2.7574475954666233E-2</v>
      </c>
    </row>
    <row r="8" spans="1:34" ht="15">
      <c r="A8" s="337" t="s">
        <v>60</v>
      </c>
      <c r="B8" s="141">
        <f>'CPI+exchange rates'!L13</f>
        <v>5.87</v>
      </c>
      <c r="C8" s="133">
        <f t="shared" si="1"/>
        <v>5.8700000000000002E-2</v>
      </c>
      <c r="D8" s="141">
        <f t="shared" si="0"/>
        <v>1.0587</v>
      </c>
      <c r="E8" s="141" t="s">
        <v>800</v>
      </c>
      <c r="F8" s="133">
        <v>5.5510000000000004E-2</v>
      </c>
      <c r="G8" s="133">
        <v>4.2630000000000001E-2</v>
      </c>
      <c r="I8" s="505" t="str">
        <f t="shared" si="2"/>
        <v>2Q2000</v>
      </c>
      <c r="J8" s="146">
        <f>Returns!C13</f>
        <v>-1.1156068624270543E-2</v>
      </c>
      <c r="K8" s="147">
        <f t="shared" si="3"/>
        <v>-6.9856068624270545E-2</v>
      </c>
      <c r="L8" s="282"/>
      <c r="M8" s="150"/>
      <c r="N8" s="151"/>
      <c r="O8" s="285"/>
      <c r="P8" s="146">
        <f>Returns!M13</f>
        <v>9.5845582518836459E-3</v>
      </c>
      <c r="Q8" s="147">
        <f t="shared" si="4"/>
        <v>-4.9115441748116356E-2</v>
      </c>
      <c r="R8" s="282"/>
      <c r="S8" s="720"/>
      <c r="U8" s="505" t="str">
        <f t="shared" si="5"/>
        <v>2Q2000</v>
      </c>
      <c r="V8" s="715">
        <f>Returns!E13</f>
        <v>1.5571703740073772E-3</v>
      </c>
      <c r="W8" s="132" t="s">
        <v>800</v>
      </c>
      <c r="Z8" s="505" t="str">
        <f t="shared" si="6"/>
        <v>2Q2000</v>
      </c>
      <c r="AA8" s="715"/>
      <c r="AE8" s="505" t="str">
        <f t="shared" si="7"/>
        <v>2Q2000</v>
      </c>
      <c r="AF8" s="715">
        <f>Returns!N13</f>
        <v>7.8485240453337705E-3</v>
      </c>
      <c r="AG8" s="715">
        <f t="shared" si="8"/>
        <v>-3.4781475954666227E-2</v>
      </c>
    </row>
    <row r="9" spans="1:34" ht="15">
      <c r="A9" s="337" t="s">
        <v>61</v>
      </c>
      <c r="B9" s="141">
        <f>'CPI+exchange rates'!L14</f>
        <v>6.21</v>
      </c>
      <c r="C9" s="133">
        <f t="shared" si="1"/>
        <v>6.2100000000000002E-2</v>
      </c>
      <c r="D9" s="141">
        <f t="shared" si="0"/>
        <v>1.0621</v>
      </c>
      <c r="E9" s="141" t="s">
        <v>800</v>
      </c>
      <c r="F9" s="133">
        <v>5.5640000000000002E-2</v>
      </c>
      <c r="G9" s="133">
        <v>4.7375999999999995E-2</v>
      </c>
      <c r="I9" s="505" t="str">
        <f t="shared" si="2"/>
        <v>3Q2000</v>
      </c>
      <c r="J9" s="146">
        <f>Returns!C14</f>
        <v>-3.5758065980356024E-2</v>
      </c>
      <c r="K9" s="147">
        <f t="shared" si="3"/>
        <v>-9.7858065980356027E-2</v>
      </c>
      <c r="L9" s="282"/>
      <c r="M9" s="152"/>
      <c r="N9" s="147"/>
      <c r="O9" s="282"/>
      <c r="P9" s="146">
        <f>Returns!M14</f>
        <v>-7.2164300148073179E-2</v>
      </c>
      <c r="Q9" s="147">
        <f t="shared" si="4"/>
        <v>-0.13426430014807317</v>
      </c>
      <c r="R9" s="282"/>
      <c r="S9" s="720"/>
      <c r="U9" s="505" t="str">
        <f t="shared" si="5"/>
        <v>3Q2000</v>
      </c>
      <c r="V9" s="715">
        <f>Returns!E14</f>
        <v>2.4108704540863224E-2</v>
      </c>
      <c r="W9" s="132" t="s">
        <v>800</v>
      </c>
      <c r="Z9" s="505" t="str">
        <f t="shared" si="6"/>
        <v>3Q2000</v>
      </c>
      <c r="AA9" s="283"/>
      <c r="AB9" s="716"/>
      <c r="AC9" s="716"/>
      <c r="AE9" s="505" t="str">
        <f t="shared" si="7"/>
        <v>3Q2000</v>
      </c>
      <c r="AF9" s="715">
        <f>Returns!N14</f>
        <v>7.8485240453337705E-3</v>
      </c>
      <c r="AG9" s="715">
        <f t="shared" si="8"/>
        <v>-3.9527475954666227E-2</v>
      </c>
      <c r="AH9" s="282"/>
    </row>
    <row r="10" spans="1:34" ht="15">
      <c r="A10" s="337" t="s">
        <v>62</v>
      </c>
      <c r="B10" s="141">
        <f>'CPI+exchange rates'!L15</f>
        <v>5.89</v>
      </c>
      <c r="C10" s="133">
        <f t="shared" si="1"/>
        <v>5.8899999999999994E-2</v>
      </c>
      <c r="D10" s="141">
        <f t="shared" si="0"/>
        <v>1.0589</v>
      </c>
      <c r="E10" s="141" t="s">
        <v>800</v>
      </c>
      <c r="F10" s="133">
        <v>5.5570000000000001E-2</v>
      </c>
      <c r="G10" s="133">
        <v>5.0241670000000002E-2</v>
      </c>
      <c r="I10" s="505" t="str">
        <f t="shared" si="2"/>
        <v>4Q2000</v>
      </c>
      <c r="J10" s="148">
        <f>Returns!C15</f>
        <v>1.4857588145565481E-2</v>
      </c>
      <c r="K10" s="149">
        <f t="shared" si="3"/>
        <v>-4.4042411854434513E-2</v>
      </c>
      <c r="L10" s="283">
        <f>((K10+1)*(K9+1)*(K8+1)*(K7+1))-1</f>
        <v>-0.2423211596725422</v>
      </c>
      <c r="M10" s="153">
        <f>Returns!U15</f>
        <v>-7.8801248872425012E-2</v>
      </c>
      <c r="N10" s="149">
        <f t="shared" ref="N10:N67" si="9">M10-C10</f>
        <v>-0.13770124887242502</v>
      </c>
      <c r="O10" s="283">
        <f>((N10+1)*(N9+1)*(N8+1)*(N7+1))-1</f>
        <v>-0.13770124887242496</v>
      </c>
      <c r="P10" s="148">
        <f>Returns!M15</f>
        <v>7.2263413972403878E-2</v>
      </c>
      <c r="Q10" s="149">
        <f t="shared" si="4"/>
        <v>1.3363413972403884E-2</v>
      </c>
      <c r="R10" s="283">
        <f>((Q10+1)*(Q9+1)*(Q8+1)*(Q7+1))-1</f>
        <v>-0.24640979742048785</v>
      </c>
      <c r="S10" s="720"/>
      <c r="U10" s="505" t="str">
        <f t="shared" si="5"/>
        <v>4Q2000</v>
      </c>
      <c r="V10" s="715">
        <f>Returns!E15</f>
        <v>-1.4196153390281241E-2</v>
      </c>
      <c r="W10" s="132" t="s">
        <v>800</v>
      </c>
      <c r="Z10" s="505" t="str">
        <f t="shared" si="6"/>
        <v>4Q2000</v>
      </c>
      <c r="AA10" s="715">
        <f>Returns!V15</f>
        <v>-8.0393111661825251E-2</v>
      </c>
      <c r="AB10" s="715">
        <f t="shared" ref="AB10:AB41" si="10">AA10-F10</f>
        <v>-0.13596311166182526</v>
      </c>
      <c r="AC10" s="282"/>
      <c r="AE10" s="505" t="str">
        <f t="shared" si="7"/>
        <v>4Q2000</v>
      </c>
      <c r="AF10" s="715">
        <f>Returns!N15</f>
        <v>7.8485240453337705E-3</v>
      </c>
      <c r="AG10" s="715">
        <f t="shared" si="8"/>
        <v>-4.2393145954666228E-2</v>
      </c>
      <c r="AH10" s="282">
        <f>((AG10+1)*(AG9+1)*(AG8+1)*(AG7+1))-1</f>
        <v>-0.13671501131024721</v>
      </c>
    </row>
    <row r="11" spans="1:34" ht="15">
      <c r="A11" s="337" t="s">
        <v>63</v>
      </c>
      <c r="B11" s="141">
        <f>'CPI+exchange rates'!L16</f>
        <v>4.29</v>
      </c>
      <c r="C11" s="133">
        <f t="shared" si="1"/>
        <v>4.2900000000000001E-2</v>
      </c>
      <c r="D11" s="141">
        <f t="shared" si="0"/>
        <v>1.0428999999999999</v>
      </c>
      <c r="E11" s="141" t="s">
        <v>800</v>
      </c>
      <c r="F11" s="133">
        <v>4.6039999999999998E-2</v>
      </c>
      <c r="G11" s="133">
        <v>4.7450330000000006E-2</v>
      </c>
      <c r="I11" s="505" t="str">
        <f t="shared" si="2"/>
        <v>1Q2001</v>
      </c>
      <c r="J11" s="146">
        <f>Returns!C16</f>
        <v>-7.2598594490699164E-2</v>
      </c>
      <c r="K11" s="147">
        <f t="shared" si="3"/>
        <v>-0.11549859449069916</v>
      </c>
      <c r="L11" s="282"/>
      <c r="M11" s="152">
        <f>Returns!U16</f>
        <v>-0.17056492080631502</v>
      </c>
      <c r="N11" s="147">
        <f t="shared" si="9"/>
        <v>-0.21346492080631502</v>
      </c>
      <c r="O11" s="282"/>
      <c r="P11" s="146">
        <f>Returns!M16</f>
        <v>-7.2598243954973274E-2</v>
      </c>
      <c r="Q11" s="147">
        <f t="shared" si="4"/>
        <v>-0.11549824395497327</v>
      </c>
      <c r="R11" s="282"/>
      <c r="S11" s="720"/>
      <c r="U11" s="505" t="str">
        <f t="shared" si="5"/>
        <v>1Q2001</v>
      </c>
      <c r="V11" s="715">
        <f>Returns!E16</f>
        <v>-4.2037518520749328E-2</v>
      </c>
      <c r="W11" s="132" t="s">
        <v>800</v>
      </c>
      <c r="Z11" s="505" t="str">
        <f t="shared" si="6"/>
        <v>1Q2001</v>
      </c>
      <c r="AA11" s="715">
        <f>Returns!V16</f>
        <v>-0.13047371791053514</v>
      </c>
      <c r="AB11" s="715">
        <f t="shared" si="10"/>
        <v>-0.17651371791053513</v>
      </c>
      <c r="AC11" s="717"/>
      <c r="AE11" s="505" t="str">
        <f t="shared" si="7"/>
        <v>1Q2001</v>
      </c>
      <c r="AF11" s="715">
        <f>Returns!N16</f>
        <v>-1.5053294593090299E-2</v>
      </c>
      <c r="AG11" s="715">
        <f t="shared" si="8"/>
        <v>-6.2503624593090307E-2</v>
      </c>
    </row>
    <row r="12" spans="1:34" ht="15">
      <c r="A12" s="337" t="s">
        <v>64</v>
      </c>
      <c r="B12" s="141">
        <f>'CPI+exchange rates'!L17</f>
        <v>3.62</v>
      </c>
      <c r="C12" s="133">
        <f t="shared" si="1"/>
        <v>3.6200000000000003E-2</v>
      </c>
      <c r="D12" s="141">
        <f t="shared" si="0"/>
        <v>1.0362</v>
      </c>
      <c r="E12" s="141" t="s">
        <v>800</v>
      </c>
      <c r="F12" s="133">
        <v>4.2419999999999999E-2</v>
      </c>
      <c r="G12" s="133">
        <v>4.5907660000000003E-2</v>
      </c>
      <c r="I12" s="505" t="str">
        <f t="shared" si="2"/>
        <v>2Q2001</v>
      </c>
      <c r="J12" s="146">
        <f>Returns!C17</f>
        <v>-4.7676841306213413E-3</v>
      </c>
      <c r="K12" s="147">
        <f t="shared" si="3"/>
        <v>-4.0967684130621344E-2</v>
      </c>
      <c r="L12" s="282"/>
      <c r="M12" s="152">
        <f>Returns!U17</f>
        <v>4.5589708583753774E-2</v>
      </c>
      <c r="N12" s="147">
        <f t="shared" si="9"/>
        <v>9.3897085837537711E-3</v>
      </c>
      <c r="O12" s="282"/>
      <c r="P12" s="146">
        <f>Returns!M17</f>
        <v>-1.8682681851353911E-2</v>
      </c>
      <c r="Q12" s="147">
        <f t="shared" si="4"/>
        <v>-5.4882681851353914E-2</v>
      </c>
      <c r="R12" s="282"/>
      <c r="S12" s="720"/>
      <c r="U12" s="505" t="str">
        <f t="shared" si="5"/>
        <v>2Q2001</v>
      </c>
      <c r="V12" s="715">
        <f>Returns!E17</f>
        <v>2.0011787962030736E-2</v>
      </c>
      <c r="W12" s="132" t="s">
        <v>800</v>
      </c>
      <c r="Z12" s="505" t="str">
        <f t="shared" si="6"/>
        <v>2Q2001</v>
      </c>
      <c r="AA12" s="715">
        <f>Returns!V17</f>
        <v>7.7397064312870623E-3</v>
      </c>
      <c r="AB12" s="715">
        <f t="shared" si="10"/>
        <v>-3.4680293568712939E-2</v>
      </c>
      <c r="AC12" s="717"/>
      <c r="AE12" s="505" t="str">
        <f t="shared" si="7"/>
        <v>2Q2001</v>
      </c>
      <c r="AF12" s="715">
        <f>Returns!N17</f>
        <v>2.4728834678657701E-2</v>
      </c>
      <c r="AG12" s="715">
        <f t="shared" si="8"/>
        <v>-2.1178825321342302E-2</v>
      </c>
    </row>
    <row r="13" spans="1:34" ht="15">
      <c r="A13" s="337" t="s">
        <v>65</v>
      </c>
      <c r="B13" s="141">
        <f>'CPI+exchange rates'!L18</f>
        <v>2.37</v>
      </c>
      <c r="C13" s="133">
        <f t="shared" si="1"/>
        <v>2.3700000000000002E-2</v>
      </c>
      <c r="D13" s="141">
        <f t="shared" si="0"/>
        <v>1.0237000000000001</v>
      </c>
      <c r="E13" s="141" t="s">
        <v>800</v>
      </c>
      <c r="F13" s="133">
        <v>3.039E-2</v>
      </c>
      <c r="G13" s="133">
        <v>4.2678330000000007E-2</v>
      </c>
      <c r="I13" s="505" t="str">
        <f t="shared" si="2"/>
        <v>3Q2001</v>
      </c>
      <c r="J13" s="146">
        <f>Returns!C18</f>
        <v>-1.4371566095631727E-2</v>
      </c>
      <c r="K13" s="147">
        <f t="shared" si="3"/>
        <v>-3.8071566095631726E-2</v>
      </c>
      <c r="L13" s="282"/>
      <c r="M13" s="152">
        <f>Returns!U18</f>
        <v>-0.17318577657020084</v>
      </c>
      <c r="N13" s="147">
        <f t="shared" si="9"/>
        <v>-0.19688577657020084</v>
      </c>
      <c r="O13" s="282"/>
      <c r="P13" s="146">
        <f>Returns!M18</f>
        <v>7.6748178116028409E-3</v>
      </c>
      <c r="Q13" s="147">
        <f t="shared" si="4"/>
        <v>-1.6025182188397161E-2</v>
      </c>
      <c r="R13" s="282"/>
      <c r="S13" s="720"/>
      <c r="U13" s="505" t="str">
        <f t="shared" si="5"/>
        <v>3Q2001</v>
      </c>
      <c r="V13" s="715">
        <f>Returns!E18</f>
        <v>-6.3600728654100602E-2</v>
      </c>
      <c r="W13" s="132" t="s">
        <v>800</v>
      </c>
      <c r="Z13" s="505" t="str">
        <f t="shared" si="6"/>
        <v>3Q2001</v>
      </c>
      <c r="AA13" s="715">
        <f>Returns!V18</f>
        <v>-0.13935264315231038</v>
      </c>
      <c r="AB13" s="715">
        <f t="shared" si="10"/>
        <v>-0.16974264315231039</v>
      </c>
      <c r="AC13" s="717"/>
      <c r="AE13" s="505" t="str">
        <f t="shared" si="7"/>
        <v>3Q2001</v>
      </c>
      <c r="AF13" s="715">
        <f>Returns!N18</f>
        <v>-6.3306387857984994E-2</v>
      </c>
      <c r="AG13" s="715">
        <f t="shared" si="8"/>
        <v>-0.10598471785798499</v>
      </c>
    </row>
    <row r="14" spans="1:34" ht="15">
      <c r="A14" s="337" t="s">
        <v>66</v>
      </c>
      <c r="B14" s="141">
        <f>'CPI+exchange rates'!L19</f>
        <v>1.73</v>
      </c>
      <c r="C14" s="133">
        <f t="shared" si="1"/>
        <v>1.7299999999999999E-2</v>
      </c>
      <c r="D14" s="141">
        <f t="shared" si="0"/>
        <v>1.0173000000000001</v>
      </c>
      <c r="E14" s="141" t="s">
        <v>800</v>
      </c>
      <c r="F14" s="133">
        <v>1.9959999999999999E-2</v>
      </c>
      <c r="G14" s="133">
        <v>3.4435E-2</v>
      </c>
      <c r="I14" s="505" t="str">
        <f t="shared" si="2"/>
        <v>4Q2001</v>
      </c>
      <c r="J14" s="146">
        <f>Returns!C19</f>
        <v>2.3057028013401482E-2</v>
      </c>
      <c r="K14" s="147">
        <f t="shared" si="3"/>
        <v>5.7570280134014822E-3</v>
      </c>
      <c r="L14" s="282">
        <f>((K14+1)*(K13+1)*(K12+1)*(K11+1))-1</f>
        <v>-0.17933179629926488</v>
      </c>
      <c r="M14" s="152">
        <f>Returns!U19</f>
        <v>0.10015458760346996</v>
      </c>
      <c r="N14" s="147">
        <f t="shared" si="9"/>
        <v>8.2854587603469962E-2</v>
      </c>
      <c r="O14" s="282">
        <f>((N14+1)*(N13+1)*(N12+1)*(N11+1))-1</f>
        <v>-0.30956241066604839</v>
      </c>
      <c r="P14" s="146">
        <f>Returns!M19</f>
        <v>2.7060732268697318E-2</v>
      </c>
      <c r="Q14" s="147">
        <f t="shared" si="4"/>
        <v>9.760732268697319E-3</v>
      </c>
      <c r="R14" s="282">
        <f>((Q14+1)*(Q13+1)*(Q12+1)*(Q11+1))-1</f>
        <v>-0.16940964746111942</v>
      </c>
      <c r="S14" s="720"/>
      <c r="U14" s="505" t="str">
        <f t="shared" si="5"/>
        <v>4Q2001</v>
      </c>
      <c r="V14" s="715">
        <f>Returns!E19</f>
        <v>3.4556846008906961E-2</v>
      </c>
      <c r="W14" s="132" t="s">
        <v>800</v>
      </c>
      <c r="Z14" s="505" t="str">
        <f t="shared" si="6"/>
        <v>4Q2001</v>
      </c>
      <c r="AA14" s="715">
        <f>Returns!V19</f>
        <v>0.11168054723177755</v>
      </c>
      <c r="AB14" s="715">
        <f t="shared" si="10"/>
        <v>9.1720547231777555E-2</v>
      </c>
      <c r="AC14" s="282">
        <f>((AB14+1)*(AB13+1)*(AB12+1)*(AB11+1))-1</f>
        <v>-0.27947051426435532</v>
      </c>
      <c r="AE14" s="505" t="str">
        <f t="shared" si="7"/>
        <v>4Q2001</v>
      </c>
      <c r="AF14" s="715">
        <f>Returns!N19</f>
        <v>5.04770839232093E-2</v>
      </c>
      <c r="AG14" s="715">
        <f t="shared" si="8"/>
        <v>1.6042083923209299E-2</v>
      </c>
      <c r="AH14" s="282">
        <f>((AG14+1)*(AG13+1)*(AG12+1)*(AG11+1))-1</f>
        <v>-0.1664539605916624</v>
      </c>
    </row>
    <row r="15" spans="1:34" ht="15">
      <c r="A15" s="337" t="s">
        <v>67</v>
      </c>
      <c r="B15" s="141">
        <f>'CPI+exchange rates'!L20</f>
        <v>1.79</v>
      </c>
      <c r="C15" s="133">
        <f t="shared" si="1"/>
        <v>1.7899999999999999E-2</v>
      </c>
      <c r="D15" s="141">
        <f t="shared" si="0"/>
        <v>1.0179</v>
      </c>
      <c r="E15" s="141" t="s">
        <v>800</v>
      </c>
      <c r="F15" s="133">
        <v>2.3429999999999999E-2</v>
      </c>
      <c r="G15" s="133">
        <v>3.3622329999999999E-2</v>
      </c>
      <c r="I15" s="505" t="str">
        <f t="shared" si="2"/>
        <v>1Q2002</v>
      </c>
      <c r="J15" s="146">
        <f>Returns!C20</f>
        <v>-5.245273836852693E-3</v>
      </c>
      <c r="K15" s="147">
        <f t="shared" si="3"/>
        <v>-2.3145273836852692E-2</v>
      </c>
      <c r="L15" s="282"/>
      <c r="M15" s="152">
        <f>Returns!U20</f>
        <v>1.8955222109689585E-2</v>
      </c>
      <c r="N15" s="147">
        <f t="shared" si="9"/>
        <v>1.0552221096895853E-3</v>
      </c>
      <c r="O15" s="282"/>
      <c r="P15" s="146">
        <f>Returns!M20</f>
        <v>-3.8578549556389508E-3</v>
      </c>
      <c r="Q15" s="147">
        <f t="shared" si="4"/>
        <v>-2.175785495563895E-2</v>
      </c>
      <c r="R15" s="282"/>
      <c r="S15" s="720"/>
      <c r="U15" s="505" t="str">
        <f t="shared" si="5"/>
        <v>1Q2002</v>
      </c>
      <c r="V15" s="715">
        <f>Returns!E20</f>
        <v>-2.0506024432779824E-2</v>
      </c>
      <c r="W15" s="715" t="s">
        <v>800</v>
      </c>
      <c r="Z15" s="505" t="str">
        <f t="shared" si="6"/>
        <v>1Q2002</v>
      </c>
      <c r="AA15" s="715">
        <f>Returns!V20</f>
        <v>1.8412630448738521E-2</v>
      </c>
      <c r="AB15" s="715">
        <f t="shared" si="10"/>
        <v>-5.0173695512614781E-3</v>
      </c>
      <c r="AE15" s="505" t="str">
        <f t="shared" si="7"/>
        <v>1Q2002</v>
      </c>
      <c r="AF15" s="715">
        <f>Returns!N20</f>
        <v>1.6693118652624302E-2</v>
      </c>
      <c r="AG15" s="715">
        <f t="shared" si="8"/>
        <v>-1.6929211347375697E-2</v>
      </c>
    </row>
    <row r="16" spans="1:34" ht="15">
      <c r="A16" s="337" t="s">
        <v>68</v>
      </c>
      <c r="B16" s="141">
        <f>'CPI+exchange rates'!L21</f>
        <v>1.67</v>
      </c>
      <c r="C16" s="133">
        <f t="shared" si="1"/>
        <v>1.67E-2</v>
      </c>
      <c r="D16" s="141">
        <f t="shared" si="0"/>
        <v>1.0166999999999999</v>
      </c>
      <c r="E16" s="141" t="s">
        <v>800</v>
      </c>
      <c r="F16" s="133">
        <v>2.7380000000000002E-2</v>
      </c>
      <c r="G16" s="133">
        <v>3.4460000000000005E-2</v>
      </c>
      <c r="I16" s="505" t="str">
        <f t="shared" si="2"/>
        <v>2Q2002</v>
      </c>
      <c r="J16" s="146">
        <f>Returns!C21</f>
        <v>4.5141183052912703E-2</v>
      </c>
      <c r="K16" s="147">
        <f>J16-C16</f>
        <v>2.8441183052912704E-2</v>
      </c>
      <c r="L16" s="282"/>
      <c r="M16" s="152">
        <f>Returns!U21</f>
        <v>-7.1275491553524195E-2</v>
      </c>
      <c r="N16" s="147">
        <f t="shared" si="9"/>
        <v>-8.7975491553524188E-2</v>
      </c>
      <c r="O16" s="282"/>
      <c r="P16" s="146">
        <f>Returns!M21</f>
        <v>6.5861583204426255E-2</v>
      </c>
      <c r="Q16" s="147">
        <f t="shared" si="4"/>
        <v>4.9161583204426255E-2</v>
      </c>
      <c r="R16" s="282"/>
      <c r="S16" s="720"/>
      <c r="U16" s="505" t="str">
        <f t="shared" si="5"/>
        <v>2Q2002</v>
      </c>
      <c r="V16" s="715">
        <f>Returns!E21</f>
        <v>-0.11194300304766092</v>
      </c>
      <c r="W16" s="132" t="s">
        <v>800</v>
      </c>
      <c r="Z16" s="505" t="str">
        <f t="shared" si="6"/>
        <v>2Q2002</v>
      </c>
      <c r="AA16" s="715">
        <f>Returns!V21</f>
        <v>-0.11464391068306069</v>
      </c>
      <c r="AB16" s="715">
        <f t="shared" si="10"/>
        <v>-0.14202391068306069</v>
      </c>
      <c r="AE16" s="505" t="str">
        <f t="shared" si="7"/>
        <v>2Q2002</v>
      </c>
      <c r="AF16" s="715">
        <f>Returns!N21</f>
        <v>-5.8467129632802102E-2</v>
      </c>
      <c r="AG16" s="715">
        <f t="shared" si="8"/>
        <v>-9.2927129632802113E-2</v>
      </c>
    </row>
    <row r="17" spans="1:34" ht="15">
      <c r="A17" s="337" t="s">
        <v>69</v>
      </c>
      <c r="B17" s="141">
        <f>'CPI+exchange rates'!L22</f>
        <v>1.6</v>
      </c>
      <c r="C17" s="133">
        <f t="shared" si="1"/>
        <v>1.6E-2</v>
      </c>
      <c r="D17" s="141">
        <f t="shared" si="0"/>
        <v>1.016</v>
      </c>
      <c r="E17" s="141" t="s">
        <v>800</v>
      </c>
      <c r="F17" s="133">
        <v>2.826E-2</v>
      </c>
      <c r="G17" s="133">
        <v>3.3573329999999998E-2</v>
      </c>
      <c r="I17" s="505" t="str">
        <f t="shared" si="2"/>
        <v>3Q2002</v>
      </c>
      <c r="J17" s="146">
        <f>Returns!C22</f>
        <v>-5.1110678966358347E-2</v>
      </c>
      <c r="K17" s="147">
        <f t="shared" si="3"/>
        <v>-6.7110678966358348E-2</v>
      </c>
      <c r="L17" s="282"/>
      <c r="M17" s="152">
        <f>Returns!U22</f>
        <v>-0.19002639054591275</v>
      </c>
      <c r="N17" s="147">
        <f t="shared" si="9"/>
        <v>-0.20602639054591276</v>
      </c>
      <c r="O17" s="282"/>
      <c r="P17" s="146">
        <f>Returns!M22</f>
        <v>-5.0913851637325869E-2</v>
      </c>
      <c r="Q17" s="147">
        <f t="shared" si="4"/>
        <v>-6.6913851637325869E-2</v>
      </c>
      <c r="R17" s="282"/>
      <c r="S17" s="720"/>
      <c r="U17" s="505" t="str">
        <f t="shared" si="5"/>
        <v>3Q2002</v>
      </c>
      <c r="V17" s="715">
        <f>Returns!E22</f>
        <v>-6.293338748236188E-2</v>
      </c>
      <c r="W17" s="132" t="s">
        <v>800</v>
      </c>
      <c r="Z17" s="505" t="str">
        <f t="shared" si="6"/>
        <v>3Q2002</v>
      </c>
      <c r="AA17" s="715">
        <f>Returns!V22</f>
        <v>-0.15525008921291783</v>
      </c>
      <c r="AB17" s="715">
        <f t="shared" si="10"/>
        <v>-0.18351008921291784</v>
      </c>
      <c r="AE17" s="505" t="str">
        <f t="shared" si="7"/>
        <v>3Q2002</v>
      </c>
      <c r="AF17" s="715">
        <f>Returns!N22</f>
        <v>-5.1537168802297903E-2</v>
      </c>
      <c r="AG17" s="715">
        <f t="shared" si="8"/>
        <v>-8.5110498802297901E-2</v>
      </c>
    </row>
    <row r="18" spans="1:34" ht="15">
      <c r="A18" s="337" t="s">
        <v>58</v>
      </c>
      <c r="B18" s="141">
        <f>'CPI+exchange rates'!L23</f>
        <v>1.19</v>
      </c>
      <c r="C18" s="133">
        <f t="shared" si="1"/>
        <v>1.1899999999999999E-2</v>
      </c>
      <c r="D18" s="141">
        <f t="shared" si="0"/>
        <v>1.0119</v>
      </c>
      <c r="E18" s="141" t="s">
        <v>800</v>
      </c>
      <c r="F18" s="133">
        <v>2.6690000000000002E-2</v>
      </c>
      <c r="G18" s="133">
        <v>3.1088000000000001E-2</v>
      </c>
      <c r="I18" s="505" t="str">
        <f t="shared" si="2"/>
        <v>4Q2002</v>
      </c>
      <c r="J18" s="146">
        <f>Returns!C23</f>
        <v>6.1876489349170782E-2</v>
      </c>
      <c r="K18" s="147">
        <f t="shared" si="3"/>
        <v>4.9976489349170782E-2</v>
      </c>
      <c r="L18" s="282">
        <f>((K18+1)*(K17+1)*(K16+1)*(K15+1))-1</f>
        <v>-1.594553194812387E-2</v>
      </c>
      <c r="M18" s="152">
        <f>Returns!U23</f>
        <v>6.167922556828298E-2</v>
      </c>
      <c r="N18" s="147">
        <f t="shared" si="9"/>
        <v>4.977922556828298E-2</v>
      </c>
      <c r="O18" s="282">
        <f>((N18+1)*(N17+1)*(N16+1)*(N15+1))-1</f>
        <v>-0.23902815963754753</v>
      </c>
      <c r="P18" s="146">
        <f>Returns!M23</f>
        <v>8.5790234137231636E-2</v>
      </c>
      <c r="Q18" s="147">
        <f t="shared" si="4"/>
        <v>7.3890234137231642E-2</v>
      </c>
      <c r="R18" s="282">
        <f>((Q18+1)*(Q17+1)*(Q16+1)*(Q15+1))-1</f>
        <v>2.8419693528132894E-2</v>
      </c>
      <c r="S18" s="720"/>
      <c r="U18" s="505" t="str">
        <f t="shared" si="5"/>
        <v>4Q2002</v>
      </c>
      <c r="V18" s="715">
        <f>Returns!E23</f>
        <v>-7.3314698935088574E-3</v>
      </c>
      <c r="W18" s="132" t="s">
        <v>800</v>
      </c>
      <c r="Z18" s="505" t="str">
        <f t="shared" si="6"/>
        <v>4Q2002</v>
      </c>
      <c r="AA18" s="715">
        <f>Returns!V23</f>
        <v>5.7395562068322699E-2</v>
      </c>
      <c r="AB18" s="715">
        <f t="shared" si="10"/>
        <v>3.0705562068322697E-2</v>
      </c>
      <c r="AC18" s="282">
        <f>((AB18+1)*(AB17+1)*(AB16+1)*(AB15+1))-1</f>
        <v>-0.2815837844454655</v>
      </c>
      <c r="AE18" s="505" t="str">
        <f t="shared" si="7"/>
        <v>4Q2002</v>
      </c>
      <c r="AF18" s="715">
        <f>Returns!N23</f>
        <v>2.2519919541788801E-2</v>
      </c>
      <c r="AG18" s="715">
        <f t="shared" si="8"/>
        <v>-8.5680804582112004E-3</v>
      </c>
      <c r="AH18" s="282">
        <f>((AG18+1)*(AG17+1)*(AG16+1)*(AG15+1))-1</f>
        <v>-0.19116765494313415</v>
      </c>
    </row>
    <row r="19" spans="1:34" ht="15">
      <c r="A19" s="337" t="s">
        <v>57</v>
      </c>
      <c r="B19" s="141">
        <f>'CPI+exchange rates'!L24</f>
        <v>1.0900000000000001</v>
      </c>
      <c r="C19" s="133">
        <f t="shared" si="1"/>
        <v>1.09E-2</v>
      </c>
      <c r="D19" s="141">
        <f t="shared" si="0"/>
        <v>1.0108999999999999</v>
      </c>
      <c r="E19" s="133">
        <v>5.6533333333333297E-2</v>
      </c>
      <c r="F19" s="133">
        <v>3.1419999999999997E-2</v>
      </c>
      <c r="G19" s="133">
        <v>2.6831000000000001E-2</v>
      </c>
      <c r="I19" s="505" t="str">
        <f t="shared" si="2"/>
        <v>1Q2003</v>
      </c>
      <c r="J19" s="146">
        <f>Returns!C24</f>
        <v>-5.2966055573544502E-4</v>
      </c>
      <c r="K19" s="147">
        <f t="shared" si="3"/>
        <v>-1.1429660555735445E-2</v>
      </c>
      <c r="L19" s="282"/>
      <c r="M19" s="152">
        <f>Returns!U24</f>
        <v>5.0637176272201323E-3</v>
      </c>
      <c r="N19" s="147">
        <f t="shared" si="9"/>
        <v>-5.8362823727798677E-3</v>
      </c>
      <c r="O19" s="282"/>
      <c r="P19" s="146">
        <f>Returns!M24</f>
        <v>1.9973941470632584E-2</v>
      </c>
      <c r="Q19" s="147">
        <f t="shared" si="4"/>
        <v>9.0739414706325836E-3</v>
      </c>
      <c r="R19" s="282"/>
      <c r="S19" s="720"/>
      <c r="U19" s="505" t="str">
        <f t="shared" si="5"/>
        <v>1Q2003</v>
      </c>
      <c r="V19" s="715">
        <f>Returns!E24</f>
        <v>4.6920582615721074E-2</v>
      </c>
      <c r="W19" s="715">
        <f>V19-E19</f>
        <v>-9.6127507176122229E-3</v>
      </c>
      <c r="Z19" s="505" t="str">
        <f t="shared" si="6"/>
        <v>1Q2003</v>
      </c>
      <c r="AA19" s="715">
        <f>Returns!V24</f>
        <v>-6.4186304947613793E-2</v>
      </c>
      <c r="AB19" s="715">
        <f t="shared" si="10"/>
        <v>-9.5606304947613796E-2</v>
      </c>
      <c r="AE19" s="505" t="str">
        <f t="shared" si="7"/>
        <v>1Q2003</v>
      </c>
      <c r="AF19" s="715">
        <f>Returns!N24</f>
        <v>-1.9097453219927899E-2</v>
      </c>
      <c r="AG19" s="715">
        <f t="shared" si="8"/>
        <v>-4.5928453219927903E-2</v>
      </c>
    </row>
    <row r="20" spans="1:34" ht="15">
      <c r="A20" s="337" t="s">
        <v>56</v>
      </c>
      <c r="B20" s="141">
        <f>'CPI+exchange rates'!L25</f>
        <v>0.84</v>
      </c>
      <c r="C20" s="133">
        <f t="shared" si="1"/>
        <v>8.3999999999999995E-3</v>
      </c>
      <c r="D20" s="141">
        <f t="shared" si="0"/>
        <v>1.0084</v>
      </c>
      <c r="E20" s="133">
        <v>4.6399999999999997E-2</v>
      </c>
      <c r="F20" s="133">
        <v>3.1269999999999999E-2</v>
      </c>
      <c r="G20" s="133">
        <v>2.3618999999999998E-2</v>
      </c>
      <c r="I20" s="505" t="str">
        <f t="shared" si="2"/>
        <v>2Q2003</v>
      </c>
      <c r="J20" s="146">
        <f>Returns!C25</f>
        <v>0.10705794985463957</v>
      </c>
      <c r="K20" s="147">
        <f t="shared" si="3"/>
        <v>9.8657949854639562E-2</v>
      </c>
      <c r="L20" s="282"/>
      <c r="M20" s="152">
        <f>Returns!U25</f>
        <v>0.18159377191792281</v>
      </c>
      <c r="N20" s="147">
        <f t="shared" si="9"/>
        <v>0.17319377191792282</v>
      </c>
      <c r="O20" s="282"/>
      <c r="P20" s="146">
        <f>Returns!M25</f>
        <v>0.12216248352844428</v>
      </c>
      <c r="Q20" s="147">
        <f t="shared" si="4"/>
        <v>0.11376248352844427</v>
      </c>
      <c r="R20" s="282"/>
      <c r="S20" s="720"/>
      <c r="U20" s="505" t="str">
        <f t="shared" si="5"/>
        <v>2Q2003</v>
      </c>
      <c r="V20" s="715">
        <f>Returns!E25</f>
        <v>0.10121502959068573</v>
      </c>
      <c r="W20" s="715">
        <f>V20-E20</f>
        <v>5.4815029590685738E-2</v>
      </c>
      <c r="Z20" s="505" t="str">
        <f t="shared" si="6"/>
        <v>2Q2003</v>
      </c>
      <c r="AA20" s="715">
        <f>Returns!V25</f>
        <v>9.1465065157535969E-2</v>
      </c>
      <c r="AB20" s="715">
        <f t="shared" si="10"/>
        <v>6.0195065157535969E-2</v>
      </c>
      <c r="AE20" s="505" t="str">
        <f t="shared" si="7"/>
        <v>2Q2003</v>
      </c>
      <c r="AF20" s="715">
        <f>Returns!N25</f>
        <v>6.6316525676841195E-2</v>
      </c>
      <c r="AG20" s="715">
        <f t="shared" si="8"/>
        <v>4.2697525676841194E-2</v>
      </c>
    </row>
    <row r="21" spans="1:34" ht="15">
      <c r="A21" s="337" t="s">
        <v>55</v>
      </c>
      <c r="B21" s="141">
        <f>'CPI+exchange rates'!L26</f>
        <v>0.93</v>
      </c>
      <c r="C21" s="133">
        <f t="shared" si="1"/>
        <v>9.300000000000001E-3</v>
      </c>
      <c r="D21" s="141">
        <f t="shared" si="0"/>
        <v>1.0093000000000001</v>
      </c>
      <c r="E21" s="133">
        <v>3.0333333333333334E-2</v>
      </c>
      <c r="F21" s="133">
        <v>2.597E-2</v>
      </c>
      <c r="G21" s="133">
        <v>2.1392330000000001E-2</v>
      </c>
      <c r="I21" s="505" t="str">
        <f t="shared" si="2"/>
        <v>3Q2003</v>
      </c>
      <c r="J21" s="146">
        <f>Returns!C26</f>
        <v>3.0902312267568233E-2</v>
      </c>
      <c r="K21" s="147">
        <f t="shared" si="3"/>
        <v>2.160231226756823E-2</v>
      </c>
      <c r="L21" s="282"/>
      <c r="M21" s="152">
        <f>Returns!U26</f>
        <v>6.3240014772481867E-2</v>
      </c>
      <c r="N21" s="147">
        <f t="shared" si="9"/>
        <v>5.3940014772481865E-2</v>
      </c>
      <c r="O21" s="282"/>
      <c r="P21" s="146">
        <f>Returns!M26</f>
        <v>3.2716804078982031E-2</v>
      </c>
      <c r="Q21" s="147">
        <f t="shared" si="4"/>
        <v>2.3416804078982029E-2</v>
      </c>
      <c r="R21" s="282"/>
      <c r="S21" s="720"/>
      <c r="U21" s="505" t="str">
        <f t="shared" si="5"/>
        <v>3Q2003</v>
      </c>
      <c r="V21" s="715">
        <f>Returns!E26</f>
        <v>7.6947280739130264E-3</v>
      </c>
      <c r="W21" s="715">
        <f t="shared" ref="W21:W74" si="11">V21-E21</f>
        <v>-2.2638605259420307E-2</v>
      </c>
      <c r="Z21" s="505" t="str">
        <f t="shared" si="6"/>
        <v>3Q2003</v>
      </c>
      <c r="AA21" s="715">
        <f>Returns!V26</f>
        <v>5.5962640614333495E-2</v>
      </c>
      <c r="AB21" s="715">
        <f t="shared" si="10"/>
        <v>2.9992640614333495E-2</v>
      </c>
      <c r="AE21" s="505" t="str">
        <f t="shared" si="7"/>
        <v>3Q2003</v>
      </c>
      <c r="AF21" s="715">
        <f>Returns!N26</f>
        <v>1.8350570878345001E-2</v>
      </c>
      <c r="AG21" s="715">
        <f t="shared" si="8"/>
        <v>-3.0417591216550001E-3</v>
      </c>
    </row>
    <row r="22" spans="1:34" ht="15">
      <c r="A22" s="337" t="s">
        <v>54</v>
      </c>
      <c r="B22" s="141">
        <f>'CPI+exchange rates'!L27</f>
        <v>0.91</v>
      </c>
      <c r="C22" s="133">
        <f t="shared" si="1"/>
        <v>9.1000000000000004E-3</v>
      </c>
      <c r="D22" s="141">
        <f t="shared" si="0"/>
        <v>1.0091000000000001</v>
      </c>
      <c r="E22" s="133">
        <v>2.5999999999999999E-2</v>
      </c>
      <c r="F22" s="133">
        <v>2.5899999999999999E-2</v>
      </c>
      <c r="G22" s="133">
        <v>2.1496330000000001E-2</v>
      </c>
      <c r="I22" s="505" t="str">
        <f t="shared" si="2"/>
        <v>4Q2003</v>
      </c>
      <c r="J22" s="146">
        <f>Returns!C27</f>
        <v>9.5111174528623721E-2</v>
      </c>
      <c r="K22" s="147">
        <f t="shared" si="3"/>
        <v>8.6011174528623724E-2</v>
      </c>
      <c r="L22" s="282">
        <f>((K22+1)*(K21+1)*(K20+1)*(K19+1))-1</f>
        <v>0.20499776046276685</v>
      </c>
      <c r="M22" s="152">
        <f>Returns!U27</f>
        <v>0.14551596282400214</v>
      </c>
      <c r="N22" s="147">
        <f t="shared" si="9"/>
        <v>0.13641596282400215</v>
      </c>
      <c r="O22" s="282">
        <f>((N22+1)*(N21+1)*(N20+1)*(N19+1))-1</f>
        <v>0.3969500489685549</v>
      </c>
      <c r="P22" s="146">
        <f>Returns!M27</f>
        <v>0.12916762849970786</v>
      </c>
      <c r="Q22" s="147">
        <f t="shared" si="4"/>
        <v>0.12006762849970787</v>
      </c>
      <c r="R22" s="282">
        <f>((Q22+1)*(Q21+1)*(Q20+1)*(Q19+1))-1</f>
        <v>0.28828623108549256</v>
      </c>
      <c r="S22" s="720"/>
      <c r="U22" s="505" t="str">
        <f t="shared" si="5"/>
        <v>4Q2003</v>
      </c>
      <c r="V22" s="715">
        <f>Returns!E27</f>
        <v>3.254802674414714E-2</v>
      </c>
      <c r="W22" s="715">
        <f t="shared" si="11"/>
        <v>6.5480267441471417E-3</v>
      </c>
      <c r="X22" s="282">
        <f>((W22+1)*(W21+1)*(W20+1)*(W19+1))-1</f>
        <v>2.7711064038183908E-2</v>
      </c>
      <c r="Z22" s="505" t="str">
        <f t="shared" si="6"/>
        <v>4Q2003</v>
      </c>
      <c r="AA22" s="715">
        <f>Returns!V27</f>
        <v>9.6960245254968325E-2</v>
      </c>
      <c r="AB22" s="715">
        <f t="shared" si="10"/>
        <v>7.1060245254968318E-2</v>
      </c>
      <c r="AC22" s="282">
        <f>((AB22+1)*(AB21+1)*(AB20+1)*(AB19+1))-1</f>
        <v>5.777019556161167E-2</v>
      </c>
      <c r="AE22" s="505" t="str">
        <f t="shared" si="7"/>
        <v>4Q2003</v>
      </c>
      <c r="AF22" s="715">
        <f>Returns!N27</f>
        <v>4.25109846642742E-2</v>
      </c>
      <c r="AG22" s="715">
        <f t="shared" si="8"/>
        <v>2.1014654664274199E-2</v>
      </c>
      <c r="AH22" s="282">
        <f>((AG22+1)*(AG21+1)*(AG20+1)*(AG19+1))-1</f>
        <v>1.2624032515112349E-2</v>
      </c>
    </row>
    <row r="23" spans="1:34" ht="15">
      <c r="A23" s="337" t="s">
        <v>53</v>
      </c>
      <c r="B23" s="141">
        <f>'CPI+exchange rates'!L28</f>
        <v>0.93</v>
      </c>
      <c r="C23" s="133">
        <f t="shared" si="1"/>
        <v>9.300000000000001E-3</v>
      </c>
      <c r="D23" s="141">
        <f t="shared" si="0"/>
        <v>1.0093000000000001</v>
      </c>
      <c r="E23" s="133">
        <v>1.9633333333333332E-2</v>
      </c>
      <c r="F23" s="133">
        <v>1.9900000000000001E-2</v>
      </c>
      <c r="G23" s="133">
        <v>2.0629669999999999E-2</v>
      </c>
      <c r="I23" s="505" t="str">
        <f t="shared" si="2"/>
        <v>1Q2004</v>
      </c>
      <c r="J23" s="146">
        <f>Returns!C28</f>
        <v>2.4189732235217587E-2</v>
      </c>
      <c r="K23" s="147">
        <f t="shared" si="3"/>
        <v>1.4889732235217586E-2</v>
      </c>
      <c r="L23" s="282"/>
      <c r="M23" s="152">
        <f>Returns!U28</f>
        <v>2.637835759038154E-2</v>
      </c>
      <c r="N23" s="147">
        <f t="shared" si="9"/>
        <v>1.7078357590381538E-2</v>
      </c>
      <c r="O23" s="282"/>
      <c r="P23" s="146">
        <f>Returns!M28</f>
        <v>1.5702229912712973E-2</v>
      </c>
      <c r="Q23" s="147">
        <f t="shared" si="4"/>
        <v>6.4022299127129718E-3</v>
      </c>
      <c r="R23" s="282"/>
      <c r="S23" s="720"/>
      <c r="U23" s="505" t="str">
        <f t="shared" si="5"/>
        <v>1Q2004</v>
      </c>
      <c r="V23" s="715">
        <f>Returns!E28</f>
        <v>5.6980799600252041E-2</v>
      </c>
      <c r="W23" s="715">
        <f t="shared" si="11"/>
        <v>3.7347466266918705E-2</v>
      </c>
      <c r="Z23" s="505" t="str">
        <f t="shared" si="6"/>
        <v>1Q2004</v>
      </c>
      <c r="AA23" s="715">
        <f>Returns!V28</f>
        <v>4.3852007323009499E-2</v>
      </c>
      <c r="AB23" s="715">
        <f t="shared" si="10"/>
        <v>2.3952007323009498E-2</v>
      </c>
      <c r="AE23" s="505" t="str">
        <f t="shared" si="7"/>
        <v>1Q2004</v>
      </c>
      <c r="AF23" s="715">
        <f>Returns!N28</f>
        <v>4.2523243235378497E-2</v>
      </c>
      <c r="AG23" s="715">
        <f t="shared" si="8"/>
        <v>2.1893573235378497E-2</v>
      </c>
    </row>
    <row r="24" spans="1:34" ht="15">
      <c r="A24" s="337" t="s">
        <v>52</v>
      </c>
      <c r="B24" s="141">
        <f>'CPI+exchange rates'!L29</f>
        <v>1.3</v>
      </c>
      <c r="C24" s="133">
        <f t="shared" si="1"/>
        <v>1.3000000000000001E-2</v>
      </c>
      <c r="D24" s="141">
        <f t="shared" si="0"/>
        <v>1.0129999999999999</v>
      </c>
      <c r="E24" s="133">
        <v>1.77E-2</v>
      </c>
      <c r="F24" s="133">
        <v>2.0419999999999997E-2</v>
      </c>
      <c r="G24" s="133">
        <v>2.082467E-2</v>
      </c>
      <c r="I24" s="505" t="str">
        <f t="shared" si="2"/>
        <v>2Q2004</v>
      </c>
      <c r="J24" s="146">
        <f>Returns!C29</f>
        <v>-1.2056496529350924E-2</v>
      </c>
      <c r="K24" s="147">
        <f t="shared" si="3"/>
        <v>-2.5056496529350925E-2</v>
      </c>
      <c r="L24" s="282"/>
      <c r="M24" s="152">
        <f>Returns!U29</f>
        <v>-1.2189037888511112E-2</v>
      </c>
      <c r="N24" s="147">
        <f t="shared" si="9"/>
        <v>-2.5189037888511113E-2</v>
      </c>
      <c r="O24" s="282"/>
      <c r="P24" s="146">
        <f>Returns!M29</f>
        <v>-1.2903710414989944E-2</v>
      </c>
      <c r="Q24" s="147">
        <f t="shared" si="4"/>
        <v>-2.5903710414989945E-2</v>
      </c>
      <c r="R24" s="282"/>
      <c r="S24" s="720"/>
      <c r="U24" s="505" t="str">
        <f t="shared" si="5"/>
        <v>2Q2004</v>
      </c>
      <c r="V24" s="715">
        <f>Returns!E29</f>
        <v>-2.6026982570416246E-3</v>
      </c>
      <c r="W24" s="715">
        <f t="shared" si="11"/>
        <v>-2.0302698257041625E-2</v>
      </c>
      <c r="Z24" s="505" t="str">
        <f t="shared" si="6"/>
        <v>2Q2004</v>
      </c>
      <c r="AA24" s="715">
        <f>Returns!V29</f>
        <v>7.7287787338624321E-3</v>
      </c>
      <c r="AB24" s="715">
        <f t="shared" si="10"/>
        <v>-1.2691221266137566E-2</v>
      </c>
      <c r="AE24" s="505" t="str">
        <f t="shared" si="7"/>
        <v>2Q2004</v>
      </c>
      <c r="AF24" s="715">
        <f>Returns!N29</f>
        <v>-2.9652538386926801E-3</v>
      </c>
      <c r="AG24" s="715">
        <f t="shared" si="8"/>
        <v>-2.3789923838692679E-2</v>
      </c>
    </row>
    <row r="25" spans="1:34" ht="15">
      <c r="A25" s="337" t="s">
        <v>51</v>
      </c>
      <c r="B25" s="141">
        <f>'CPI+exchange rates'!L30</f>
        <v>1.68</v>
      </c>
      <c r="C25" s="133">
        <f t="shared" si="1"/>
        <v>1.6799999999999999E-2</v>
      </c>
      <c r="D25" s="141">
        <f t="shared" si="0"/>
        <v>1.0167999999999999</v>
      </c>
      <c r="E25" s="133">
        <v>1.8233333333333334E-2</v>
      </c>
      <c r="F25" s="133">
        <v>2.4119999999999999E-2</v>
      </c>
      <c r="G25" s="133">
        <v>2.1162999999999998E-2</v>
      </c>
      <c r="I25" s="505" t="str">
        <f t="shared" si="2"/>
        <v>3Q2004</v>
      </c>
      <c r="J25" s="146">
        <f>Returns!C30</f>
        <v>2.298277123658643E-2</v>
      </c>
      <c r="K25" s="147">
        <f t="shared" si="3"/>
        <v>6.1827712365864311E-3</v>
      </c>
      <c r="L25" s="282"/>
      <c r="M25" s="152">
        <f>Returns!U30</f>
        <v>6.3910152325288516E-2</v>
      </c>
      <c r="N25" s="147">
        <f t="shared" si="9"/>
        <v>4.7110152325288521E-2</v>
      </c>
      <c r="O25" s="282"/>
      <c r="P25" s="146">
        <f>Returns!M30</f>
        <v>4.2345965740901992E-2</v>
      </c>
      <c r="Q25" s="147">
        <f t="shared" si="4"/>
        <v>2.5545965740901993E-2</v>
      </c>
      <c r="R25" s="282"/>
      <c r="S25" s="720"/>
      <c r="U25" s="505" t="str">
        <f t="shared" si="5"/>
        <v>3Q2004</v>
      </c>
      <c r="V25" s="715">
        <f>Returns!E30</f>
        <v>-6.5341521201640607E-3</v>
      </c>
      <c r="W25" s="715">
        <f t="shared" si="11"/>
        <v>-2.4767485453497395E-2</v>
      </c>
      <c r="Z25" s="505" t="str">
        <f t="shared" si="6"/>
        <v>3Q2004</v>
      </c>
      <c r="AA25" s="715">
        <f>Returns!V30</f>
        <v>4.2375485924065264E-3</v>
      </c>
      <c r="AB25" s="715">
        <f t="shared" si="10"/>
        <v>-1.9882451407593472E-2</v>
      </c>
      <c r="AE25" s="505" t="str">
        <f t="shared" si="7"/>
        <v>3Q2004</v>
      </c>
      <c r="AF25" s="715">
        <f>Returns!N30</f>
        <v>2.1071140395562699E-2</v>
      </c>
      <c r="AG25" s="715">
        <f t="shared" si="8"/>
        <v>-9.1859604437298514E-5</v>
      </c>
    </row>
    <row r="26" spans="1:34" ht="15">
      <c r="A26" s="337" t="s">
        <v>50</v>
      </c>
      <c r="B26" s="141">
        <f>'CPI+exchange rates'!L31</f>
        <v>2.1800000000000002</v>
      </c>
      <c r="C26" s="133">
        <f t="shared" si="1"/>
        <v>2.18E-2</v>
      </c>
      <c r="D26" s="141">
        <f t="shared" si="0"/>
        <v>1.0218</v>
      </c>
      <c r="E26" s="133">
        <v>1.8066666666666665E-2</v>
      </c>
      <c r="F26" s="133">
        <v>2.477E-2</v>
      </c>
      <c r="G26" s="133">
        <v>2.1636000000000002E-2</v>
      </c>
      <c r="I26" s="505" t="str">
        <f t="shared" si="2"/>
        <v>4Q2004</v>
      </c>
      <c r="J26" s="146">
        <f>Returns!C31</f>
        <v>0.1029058136070462</v>
      </c>
      <c r="K26" s="147">
        <f t="shared" si="3"/>
        <v>8.1105813607046204E-2</v>
      </c>
      <c r="L26" s="282">
        <f>((K26+1)*(K25+1)*(K24+1)*(K23+1))-1</f>
        <v>7.6324900930309969E-2</v>
      </c>
      <c r="M26" s="152">
        <f>Returns!U31</f>
        <v>0.12879379248009437</v>
      </c>
      <c r="N26" s="147">
        <f t="shared" si="9"/>
        <v>0.10699379248009437</v>
      </c>
      <c r="O26" s="282">
        <f>((N26+1)*(N25+1)*(N24+1)*(N23+1))-1</f>
        <v>0.1492443393774554</v>
      </c>
      <c r="P26" s="146">
        <f>Returns!M31</f>
        <v>0.14695938474474612</v>
      </c>
      <c r="Q26" s="147">
        <f t="shared" si="4"/>
        <v>0.12515938474474614</v>
      </c>
      <c r="R26" s="282">
        <f>((Q26+1)*(Q25+1)*(Q24+1)*(Q23+1))-1</f>
        <v>0.13120849250162703</v>
      </c>
      <c r="S26" s="720"/>
      <c r="U26" s="505" t="str">
        <f t="shared" si="5"/>
        <v>4Q2004</v>
      </c>
      <c r="V26" s="715">
        <f>Returns!E31</f>
        <v>-7.6551078847511E-3</v>
      </c>
      <c r="W26" s="715">
        <f t="shared" si="11"/>
        <v>-2.5721774551417765E-2</v>
      </c>
      <c r="X26" s="282">
        <f>((W26+1)*(W25+1)*(W24+1)*(W23+1))-1</f>
        <v>-3.4377601133332991E-2</v>
      </c>
      <c r="Z26" s="505" t="str">
        <f t="shared" si="6"/>
        <v>4Q2004</v>
      </c>
      <c r="AA26" s="715">
        <f>Returns!V31</f>
        <v>6.8677083054817983E-2</v>
      </c>
      <c r="AB26" s="715">
        <f t="shared" si="10"/>
        <v>4.3907083054817983E-2</v>
      </c>
      <c r="AC26" s="282">
        <f>((AB26+1)*(AB25+1)*(AB24+1)*(AB23+1))-1</f>
        <v>3.436212518101911E-2</v>
      </c>
      <c r="AE26" s="505" t="str">
        <f t="shared" si="7"/>
        <v>4Q2004</v>
      </c>
      <c r="AF26" s="715">
        <f>Returns!N31</f>
        <v>4.8021952792462901E-2</v>
      </c>
      <c r="AG26" s="715">
        <f t="shared" si="8"/>
        <v>2.6385952792462898E-2</v>
      </c>
      <c r="AH26" s="282">
        <f>((AG26+1)*(AG25+1)*(AG24+1)*(AG23+1))-1</f>
        <v>2.3810920196202456E-2</v>
      </c>
    </row>
    <row r="27" spans="1:34" ht="15">
      <c r="A27" s="337" t="s">
        <v>6</v>
      </c>
      <c r="B27" s="141">
        <f>'CPI+exchange rates'!L32</f>
        <v>2.73</v>
      </c>
      <c r="C27" s="133">
        <f t="shared" si="1"/>
        <v>2.7300000000000001E-2</v>
      </c>
      <c r="D27" s="141">
        <f t="shared" si="0"/>
        <v>1.0273000000000001</v>
      </c>
      <c r="E27" s="133">
        <v>1.783333333333333E-2</v>
      </c>
      <c r="F27" s="133">
        <v>2.5459999999999997E-2</v>
      </c>
      <c r="G27" s="133">
        <v>2.1403330000000002E-2</v>
      </c>
      <c r="I27" s="505" t="str">
        <f t="shared" si="2"/>
        <v>1Q2005</v>
      </c>
      <c r="J27" s="146">
        <f>Returns!C32</f>
        <v>-1.4334479444104931E-2</v>
      </c>
      <c r="K27" s="147">
        <f t="shared" si="3"/>
        <v>-4.1634479444104935E-2</v>
      </c>
      <c r="L27" s="282"/>
      <c r="M27" s="152">
        <f>Returns!U32</f>
        <v>1.7758504367298755E-2</v>
      </c>
      <c r="N27" s="147">
        <f t="shared" si="9"/>
        <v>-9.5414956327012461E-3</v>
      </c>
      <c r="O27" s="282"/>
      <c r="P27" s="146">
        <f>Returns!M32</f>
        <v>-2.9009643098668603E-2</v>
      </c>
      <c r="Q27" s="147">
        <f t="shared" si="4"/>
        <v>-5.6309643098668608E-2</v>
      </c>
      <c r="R27" s="282"/>
      <c r="S27" s="720"/>
      <c r="U27" s="505" t="str">
        <f t="shared" si="5"/>
        <v>1Q2005</v>
      </c>
      <c r="V27" s="715">
        <f>Returns!E32</f>
        <v>2.7603540376466063E-2</v>
      </c>
      <c r="W27" s="715">
        <f t="shared" si="11"/>
        <v>9.770207043132733E-3</v>
      </c>
      <c r="Z27" s="505" t="str">
        <f t="shared" si="6"/>
        <v>1Q2005</v>
      </c>
      <c r="AA27" s="715">
        <f>Returns!V32</f>
        <v>2.7696971588512767E-2</v>
      </c>
      <c r="AB27" s="715">
        <f t="shared" si="10"/>
        <v>2.2369715885127706E-3</v>
      </c>
      <c r="AE27" s="505" t="str">
        <f t="shared" si="7"/>
        <v>1Q2005</v>
      </c>
      <c r="AF27" s="715">
        <f>Returns!N32</f>
        <v>1.55183882471747E-2</v>
      </c>
      <c r="AG27" s="715">
        <f t="shared" si="8"/>
        <v>-5.8849417528253015E-3</v>
      </c>
    </row>
    <row r="28" spans="1:34" ht="15">
      <c r="A28" s="337" t="s">
        <v>7</v>
      </c>
      <c r="B28" s="141">
        <f>'CPI+exchange rates'!L33</f>
        <v>3.06</v>
      </c>
      <c r="C28" s="133">
        <f t="shared" si="1"/>
        <v>3.0600000000000002E-2</v>
      </c>
      <c r="D28" s="141">
        <f t="shared" si="0"/>
        <v>1.0306</v>
      </c>
      <c r="E28" s="133">
        <v>1.8666666666666665E-2</v>
      </c>
      <c r="F28" s="133">
        <v>2.4729999999999999E-2</v>
      </c>
      <c r="G28" s="133">
        <v>2.1246000000000001E-2</v>
      </c>
      <c r="I28" s="505" t="str">
        <f t="shared" si="2"/>
        <v>2Q2005</v>
      </c>
      <c r="J28" s="146">
        <f>Returns!C33</f>
        <v>-9.180332122891155E-4</v>
      </c>
      <c r="K28" s="147">
        <f t="shared" si="3"/>
        <v>-3.1518033212289118E-2</v>
      </c>
      <c r="L28" s="282"/>
      <c r="M28" s="152">
        <f>Returns!U33</f>
        <v>2.4132479262439333E-2</v>
      </c>
      <c r="N28" s="147">
        <f t="shared" si="9"/>
        <v>-6.4675207375606697E-3</v>
      </c>
      <c r="O28" s="282"/>
      <c r="P28" s="146">
        <f>Returns!M33</f>
        <v>-2.8456134895318508E-2</v>
      </c>
      <c r="Q28" s="147">
        <f t="shared" si="4"/>
        <v>-5.905613489531851E-2</v>
      </c>
      <c r="R28" s="282"/>
      <c r="S28" s="720"/>
      <c r="U28" s="505" t="str">
        <f t="shared" si="5"/>
        <v>2Q2005</v>
      </c>
      <c r="V28" s="715">
        <f>Returns!E33</f>
        <v>3.4428937423143458E-2</v>
      </c>
      <c r="W28" s="715">
        <f t="shared" si="11"/>
        <v>1.5762270756476793E-2</v>
      </c>
      <c r="Z28" s="505" t="str">
        <f t="shared" si="6"/>
        <v>2Q2005</v>
      </c>
      <c r="AA28" s="715">
        <f>Returns!V33</f>
        <v>3.6787585734294116E-2</v>
      </c>
      <c r="AB28" s="715">
        <f t="shared" si="10"/>
        <v>1.2057585734294118E-2</v>
      </c>
      <c r="AE28" s="505" t="str">
        <f t="shared" si="7"/>
        <v>2Q2005</v>
      </c>
      <c r="AF28" s="715">
        <f>Returns!N33</f>
        <v>4.2966616164086202E-2</v>
      </c>
      <c r="AG28" s="715">
        <f t="shared" si="8"/>
        <v>2.1720616164086201E-2</v>
      </c>
    </row>
    <row r="29" spans="1:34" ht="15">
      <c r="A29" s="337" t="s">
        <v>8</v>
      </c>
      <c r="B29" s="141">
        <f>'CPI+exchange rates'!L34</f>
        <v>3.47</v>
      </c>
      <c r="C29" s="133">
        <f t="shared" si="1"/>
        <v>3.4700000000000002E-2</v>
      </c>
      <c r="D29" s="141">
        <f t="shared" si="0"/>
        <v>1.0347</v>
      </c>
      <c r="E29" s="133">
        <v>2.0866666666666669E-2</v>
      </c>
      <c r="F29" s="133">
        <v>2.8130000000000002E-2</v>
      </c>
      <c r="G29" s="133">
        <v>2.1303329999999999E-2</v>
      </c>
      <c r="I29" s="505" t="str">
        <f t="shared" si="2"/>
        <v>3Q2005</v>
      </c>
      <c r="J29" s="146">
        <f>Returns!C34</f>
        <v>2.8312557165798058E-2</v>
      </c>
      <c r="K29" s="147">
        <f t="shared" si="3"/>
        <v>-6.3874428342019438E-3</v>
      </c>
      <c r="L29" s="282"/>
      <c r="M29" s="152">
        <f>Returns!U34</f>
        <v>0.11455705560983542</v>
      </c>
      <c r="N29" s="147">
        <f t="shared" si="9"/>
        <v>7.9857055609835415E-2</v>
      </c>
      <c r="O29" s="282"/>
      <c r="P29" s="146">
        <f>Returns!M34</f>
        <v>4.1427996423099245E-2</v>
      </c>
      <c r="Q29" s="147">
        <f t="shared" si="4"/>
        <v>6.7279964230992431E-3</v>
      </c>
      <c r="R29" s="282"/>
      <c r="S29" s="720"/>
      <c r="U29" s="505" t="str">
        <f t="shared" si="5"/>
        <v>3Q2005</v>
      </c>
      <c r="V29" s="715">
        <f>Returns!E34</f>
        <v>2.6189179344246583E-2</v>
      </c>
      <c r="W29" s="715">
        <f t="shared" si="11"/>
        <v>5.3225126775799138E-3</v>
      </c>
      <c r="Z29" s="505" t="str">
        <f t="shared" si="6"/>
        <v>3Q2005</v>
      </c>
      <c r="AA29" s="715">
        <f>Returns!V34</f>
        <v>5.6135629278882444E-2</v>
      </c>
      <c r="AB29" s="715">
        <f t="shared" si="10"/>
        <v>2.8005629278882442E-2</v>
      </c>
      <c r="AE29" s="505" t="str">
        <f t="shared" si="7"/>
        <v>3Q2005</v>
      </c>
      <c r="AF29" s="715">
        <f>Returns!N34</f>
        <v>4.5746250579257401E-2</v>
      </c>
      <c r="AG29" s="715">
        <f t="shared" si="8"/>
        <v>2.4442920579257402E-2</v>
      </c>
    </row>
    <row r="30" spans="1:34" ht="15">
      <c r="A30" s="337" t="s">
        <v>9</v>
      </c>
      <c r="B30" s="141">
        <f>'CPI+exchange rates'!L35</f>
        <v>3.99</v>
      </c>
      <c r="C30" s="133">
        <f t="shared" si="1"/>
        <v>3.9900000000000005E-2</v>
      </c>
      <c r="D30" s="141">
        <f t="shared" si="0"/>
        <v>1.0399</v>
      </c>
      <c r="E30" s="133">
        <v>2.29E-2</v>
      </c>
      <c r="F30" s="133">
        <v>3.3950000000000001E-2</v>
      </c>
      <c r="G30" s="133">
        <v>2.3434670000000001E-2</v>
      </c>
      <c r="I30" s="505" t="str">
        <f t="shared" si="2"/>
        <v>4Q2005</v>
      </c>
      <c r="J30" s="146">
        <f>Returns!C35</f>
        <v>9.4819269561665642E-3</v>
      </c>
      <c r="K30" s="147">
        <f t="shared" si="3"/>
        <v>-3.0418073043833441E-2</v>
      </c>
      <c r="L30" s="282">
        <f>((K30+1)*(K29+1)*(K28+1)*(K27+1))-1</f>
        <v>-0.10582133762920032</v>
      </c>
      <c r="M30" s="152">
        <f>Returns!U35</f>
        <v>2.0268018383834407E-2</v>
      </c>
      <c r="N30" s="147">
        <f t="shared" si="9"/>
        <v>-1.9631981616165597E-2</v>
      </c>
      <c r="O30" s="282">
        <f>((N30+1)*(N29+1)*(N28+1)*(N27+1))-1</f>
        <v>4.1774588905376664E-2</v>
      </c>
      <c r="P30" s="146">
        <f>Returns!M35</f>
        <v>-3.6929613653673421E-3</v>
      </c>
      <c r="Q30" s="147">
        <f t="shared" si="4"/>
        <v>-4.3592961365367347E-2</v>
      </c>
      <c r="R30" s="282">
        <f>((Q30+1)*(Q29+1)*(Q28+1)*(Q27+1))-1</f>
        <v>-0.14503538215816059</v>
      </c>
      <c r="S30" s="720"/>
      <c r="U30" s="505" t="str">
        <f t="shared" si="5"/>
        <v>4Q2005</v>
      </c>
      <c r="V30" s="715">
        <f>Returns!E35</f>
        <v>4.7691629431807936E-2</v>
      </c>
      <c r="W30" s="715">
        <f t="shared" si="11"/>
        <v>2.4791629431807936E-2</v>
      </c>
      <c r="X30" s="282">
        <f>((W30+1)*(W29+1)*(W28+1)*(W27+1))-1</f>
        <v>5.6709490009453134E-2</v>
      </c>
      <c r="Z30" s="505" t="str">
        <f t="shared" si="6"/>
        <v>4Q2005</v>
      </c>
      <c r="AA30" s="715">
        <f>Returns!V35</f>
        <v>2.6905122932169522E-2</v>
      </c>
      <c r="AB30" s="715">
        <f t="shared" si="10"/>
        <v>-7.0448770678304788E-3</v>
      </c>
      <c r="AC30" s="282">
        <f>((AB30+1)*(AB29+1)*(AB28+1)*(AB27+1))-1</f>
        <v>3.5382350248877037E-2</v>
      </c>
      <c r="AE30" s="505" t="str">
        <f t="shared" si="7"/>
        <v>4Q2005</v>
      </c>
      <c r="AF30" s="715">
        <f>Returns!N35</f>
        <v>1.8352620746716598E-2</v>
      </c>
      <c r="AG30" s="715">
        <f t="shared" si="8"/>
        <v>-5.0820492532834029E-3</v>
      </c>
      <c r="AH30" s="282">
        <f>((AG30+1)*(AG29+1)*(AG28+1)*(AG27+1))-1</f>
        <v>3.524666747866334E-2</v>
      </c>
    </row>
    <row r="31" spans="1:34" ht="15">
      <c r="A31" s="337" t="s">
        <v>10</v>
      </c>
      <c r="B31" s="141">
        <f>'CPI+exchange rates'!L36</f>
        <v>4.5200000000000005</v>
      </c>
      <c r="C31" s="133">
        <f t="shared" si="1"/>
        <v>4.5200000000000004E-2</v>
      </c>
      <c r="D31" s="141">
        <f t="shared" si="0"/>
        <v>1.0451999999999999</v>
      </c>
      <c r="E31" s="133">
        <v>2.4199999999999999E-2</v>
      </c>
      <c r="F31" s="133">
        <v>3.7879999999999997E-2</v>
      </c>
      <c r="G31" s="133">
        <v>2.6115670000000001E-2</v>
      </c>
      <c r="I31" s="505" t="str">
        <f t="shared" si="2"/>
        <v>1Q2006</v>
      </c>
      <c r="J31" s="146">
        <f>Returns!C36</f>
        <v>3.4367718014040927E-2</v>
      </c>
      <c r="K31" s="147">
        <f t="shared" si="3"/>
        <v>-1.0832281985959077E-2</v>
      </c>
      <c r="L31" s="282"/>
      <c r="M31" s="152">
        <f>Returns!U36</f>
        <v>4.8599452797525089E-2</v>
      </c>
      <c r="N31" s="147">
        <f t="shared" si="9"/>
        <v>3.3994527975250849E-3</v>
      </c>
      <c r="O31" s="282"/>
      <c r="P31" s="146">
        <f>Returns!M36</f>
        <v>5.6267903316775225E-2</v>
      </c>
      <c r="Q31" s="147">
        <f t="shared" si="4"/>
        <v>1.1067903316775221E-2</v>
      </c>
      <c r="R31" s="282"/>
      <c r="S31" s="720"/>
      <c r="U31" s="505" t="str">
        <f t="shared" si="5"/>
        <v>1Q2006</v>
      </c>
      <c r="V31" s="715">
        <f>Returns!E36</f>
        <v>2.5327935268155688E-3</v>
      </c>
      <c r="W31" s="715">
        <f t="shared" si="11"/>
        <v>-2.166720647318443E-2</v>
      </c>
      <c r="Z31" s="505" t="str">
        <f t="shared" si="6"/>
        <v>1Q2006</v>
      </c>
      <c r="AA31" s="715">
        <f>Returns!V36</f>
        <v>4.7208082552405814E-2</v>
      </c>
      <c r="AB31" s="715">
        <f t="shared" si="10"/>
        <v>9.328082552405817E-3</v>
      </c>
      <c r="AE31" s="505" t="str">
        <f t="shared" si="7"/>
        <v>1Q2006</v>
      </c>
      <c r="AF31" s="715">
        <f>Returns!N36</f>
        <v>2.9559101110307101E-2</v>
      </c>
      <c r="AG31" s="715">
        <f t="shared" si="8"/>
        <v>3.4434311103071005E-3</v>
      </c>
    </row>
    <row r="32" spans="1:34" ht="15">
      <c r="A32" s="337" t="s">
        <v>11</v>
      </c>
      <c r="B32" s="141">
        <f>'CPI+exchange rates'!L37</f>
        <v>4.87</v>
      </c>
      <c r="C32" s="133">
        <f t="shared" si="1"/>
        <v>4.87E-2</v>
      </c>
      <c r="D32" s="141">
        <f t="shared" si="0"/>
        <v>1.0487</v>
      </c>
      <c r="E32" s="133">
        <v>2.7933333333333334E-2</v>
      </c>
      <c r="F32" s="133">
        <v>4.2999999999999997E-2</v>
      </c>
      <c r="G32" s="133">
        <v>2.8895000000000001E-2</v>
      </c>
      <c r="I32" s="505" t="str">
        <f t="shared" si="2"/>
        <v>2Q2006</v>
      </c>
      <c r="J32" s="146">
        <f>Returns!C37</f>
        <v>1.9907051977573698E-2</v>
      </c>
      <c r="K32" s="147">
        <f t="shared" si="3"/>
        <v>-2.8792948022426303E-2</v>
      </c>
      <c r="L32" s="282"/>
      <c r="M32" s="152">
        <f>Returns!U37</f>
        <v>1.9213886449635842E-2</v>
      </c>
      <c r="N32" s="147">
        <f t="shared" si="9"/>
        <v>-2.9486113550364158E-2</v>
      </c>
      <c r="O32" s="282"/>
      <c r="P32" s="146">
        <f>Returns!M37</f>
        <v>4.1085220938983591E-2</v>
      </c>
      <c r="Q32" s="147">
        <f t="shared" si="4"/>
        <v>-7.6147790610164093E-3</v>
      </c>
      <c r="R32" s="282"/>
      <c r="S32" s="720"/>
      <c r="U32" s="505" t="str">
        <f t="shared" si="5"/>
        <v>2Q2006</v>
      </c>
      <c r="V32" s="715">
        <f>Returns!E37</f>
        <v>-3.2969880214289371E-2</v>
      </c>
      <c r="W32" s="715">
        <f t="shared" si="11"/>
        <v>-6.0903213547622709E-2</v>
      </c>
      <c r="Z32" s="505" t="str">
        <f t="shared" si="6"/>
        <v>2Q2006</v>
      </c>
      <c r="AA32" s="715">
        <f>Returns!V37</f>
        <v>-2.840068307848452E-2</v>
      </c>
      <c r="AB32" s="715">
        <f t="shared" si="10"/>
        <v>-7.1400683078484517E-2</v>
      </c>
      <c r="AE32" s="505" t="str">
        <f t="shared" si="7"/>
        <v>2Q2006</v>
      </c>
      <c r="AF32" s="715">
        <f>Returns!N37</f>
        <v>-1.46879215364841E-2</v>
      </c>
      <c r="AG32" s="715">
        <f t="shared" si="8"/>
        <v>-4.3582921536484104E-2</v>
      </c>
    </row>
    <row r="33" spans="1:34" ht="15">
      <c r="A33" s="337" t="s">
        <v>12</v>
      </c>
      <c r="B33" s="141">
        <f>'CPI+exchange rates'!L38</f>
        <v>4.7700000000000005</v>
      </c>
      <c r="C33" s="133">
        <f t="shared" si="1"/>
        <v>4.7700000000000006E-2</v>
      </c>
      <c r="D33" s="141">
        <f t="shared" si="0"/>
        <v>1.0477000000000001</v>
      </c>
      <c r="E33" s="133">
        <v>3.1199999999999995E-2</v>
      </c>
      <c r="F33" s="133">
        <v>4.165E-2</v>
      </c>
      <c r="G33" s="133">
        <v>3.221367E-2</v>
      </c>
      <c r="I33" s="505" t="str">
        <f t="shared" si="2"/>
        <v>3Q2006</v>
      </c>
      <c r="J33" s="146">
        <f>Returns!C38</f>
        <v>3.3788384235323488E-2</v>
      </c>
      <c r="K33" s="147">
        <f t="shared" si="3"/>
        <v>-1.3911615764676519E-2</v>
      </c>
      <c r="L33" s="282"/>
      <c r="M33" s="152">
        <f>Returns!U38</f>
        <v>3.5713599517874117E-2</v>
      </c>
      <c r="N33" s="147">
        <f t="shared" si="9"/>
        <v>-1.1986400482125889E-2</v>
      </c>
      <c r="O33" s="282"/>
      <c r="P33" s="146">
        <f>Returns!M38</f>
        <v>2.753899370522106E-2</v>
      </c>
      <c r="Q33" s="147">
        <f t="shared" si="4"/>
        <v>-2.0161006294778946E-2</v>
      </c>
      <c r="R33" s="282"/>
      <c r="S33" s="720"/>
      <c r="U33" s="505" t="str">
        <f t="shared" si="5"/>
        <v>3Q2006</v>
      </c>
      <c r="V33" s="715">
        <f>Returns!E38</f>
        <v>8.2972495563846671E-2</v>
      </c>
      <c r="W33" s="715">
        <f t="shared" si="11"/>
        <v>5.1772495563846679E-2</v>
      </c>
      <c r="Z33" s="505" t="str">
        <f t="shared" si="6"/>
        <v>3Q2006</v>
      </c>
      <c r="AA33" s="715">
        <f>Returns!V38</f>
        <v>3.9019761983739146E-2</v>
      </c>
      <c r="AB33" s="715">
        <f t="shared" si="10"/>
        <v>-2.6302380162608538E-3</v>
      </c>
      <c r="AE33" s="505" t="str">
        <f t="shared" si="7"/>
        <v>3Q2006</v>
      </c>
      <c r="AF33" s="715">
        <f>Returns!N38</f>
        <v>3.7191941295608301E-2</v>
      </c>
      <c r="AG33" s="715">
        <f t="shared" si="8"/>
        <v>4.9782712956083011E-3</v>
      </c>
    </row>
    <row r="34" spans="1:34" ht="15">
      <c r="A34" s="337" t="s">
        <v>13</v>
      </c>
      <c r="B34" s="141">
        <f>'CPI+exchange rates'!L39</f>
        <v>4.8899999999999997</v>
      </c>
      <c r="C34" s="133">
        <f t="shared" si="1"/>
        <v>4.8899999999999999E-2</v>
      </c>
      <c r="D34" s="141">
        <f t="shared" si="0"/>
        <v>1.0488999999999999</v>
      </c>
      <c r="E34" s="133">
        <v>3.5099999999999999E-2</v>
      </c>
      <c r="F34" s="133">
        <v>4.1609999999999994E-2</v>
      </c>
      <c r="G34" s="133">
        <v>3.5944669999999998E-2</v>
      </c>
      <c r="I34" s="505" t="str">
        <f t="shared" si="2"/>
        <v>4Q2006</v>
      </c>
      <c r="J34" s="146">
        <f>Returns!C39</f>
        <v>5.5911078756500698E-2</v>
      </c>
      <c r="K34" s="147">
        <f t="shared" si="3"/>
        <v>7.0110787565006993E-3</v>
      </c>
      <c r="L34" s="282">
        <f>((K34+1)*(K33+1)*(K32+1)*(K31+1))-1</f>
        <v>-4.6036291540137331E-2</v>
      </c>
      <c r="M34" s="152">
        <f>Returns!U39</f>
        <v>4.1280551036863455E-2</v>
      </c>
      <c r="N34" s="147">
        <f t="shared" si="9"/>
        <v>-7.6194489631365436E-3</v>
      </c>
      <c r="O34" s="282">
        <f>((N34+1)*(N33+1)*(N32+1)*(N31+1))-1</f>
        <v>-4.5190392357862041E-2</v>
      </c>
      <c r="P34" s="146">
        <f>Returns!M39</f>
        <v>8.379449508360981E-2</v>
      </c>
      <c r="Q34" s="147">
        <f t="shared" si="4"/>
        <v>3.4894495083609811E-2</v>
      </c>
      <c r="R34" s="282">
        <f>((Q34+1)*(Q33+1)*(Q32+1)*(Q31+1))-1</f>
        <v>1.7446090095937006E-2</v>
      </c>
      <c r="S34" s="720"/>
      <c r="U34" s="505" t="str">
        <f t="shared" si="5"/>
        <v>4Q2006</v>
      </c>
      <c r="V34" s="715">
        <f>Returns!E39</f>
        <v>8.5634211401959259E-3</v>
      </c>
      <c r="W34" s="715">
        <f t="shared" si="11"/>
        <v>-2.6536578859804073E-2</v>
      </c>
      <c r="X34" s="282">
        <f>((W34+1)*(W33+1)*(W32+1)*(W31+1))-1</f>
        <v>-5.932757694106372E-2</v>
      </c>
      <c r="Z34" s="505" t="str">
        <f t="shared" si="6"/>
        <v>4Q2006</v>
      </c>
      <c r="AA34" s="715">
        <f>Returns!V39</f>
        <v>8.6127528563257533E-2</v>
      </c>
      <c r="AB34" s="715">
        <f t="shared" si="10"/>
        <v>4.4517528563257538E-2</v>
      </c>
      <c r="AC34" s="282">
        <f>((AB34+1)*(AB33+1)*(AB32+1)*(AB31+1))-1</f>
        <v>-2.3589038275103391E-2</v>
      </c>
      <c r="AE34" s="505" t="str">
        <f t="shared" si="7"/>
        <v>4Q2006</v>
      </c>
      <c r="AF34" s="715">
        <f>Returns!N39</f>
        <v>4.11372360298429E-2</v>
      </c>
      <c r="AG34" s="715">
        <f t="shared" si="8"/>
        <v>5.1925660298429016E-3</v>
      </c>
      <c r="AH34" s="282">
        <f>((AG34+1)*(AG33+1)*(AG32+1)*(AG31+1))-1</f>
        <v>-3.0503697985269529E-2</v>
      </c>
    </row>
    <row r="35" spans="1:34" ht="15">
      <c r="A35" s="337" t="s">
        <v>14</v>
      </c>
      <c r="B35" s="141">
        <f>'CPI+exchange rates'!L40</f>
        <v>4.9000000000000004</v>
      </c>
      <c r="C35" s="133">
        <f t="shared" si="1"/>
        <v>4.9000000000000002E-2</v>
      </c>
      <c r="D35" s="141">
        <f t="shared" si="0"/>
        <v>1.0489999999999999</v>
      </c>
      <c r="E35" s="133">
        <v>0.04</v>
      </c>
      <c r="F35" s="133">
        <v>4.1730000000000003E-2</v>
      </c>
      <c r="G35" s="133">
        <v>3.8203330000000001E-2</v>
      </c>
      <c r="I35" s="505" t="str">
        <f t="shared" si="2"/>
        <v>1Q2007</v>
      </c>
      <c r="J35" s="146">
        <f>Returns!C40</f>
        <v>1.9291200062115932E-2</v>
      </c>
      <c r="K35" s="147">
        <f t="shared" si="3"/>
        <v>-2.970879993788407E-2</v>
      </c>
      <c r="L35" s="282"/>
      <c r="M35" s="152">
        <f>Returns!U40</f>
        <v>3.2935751825010851E-2</v>
      </c>
      <c r="N35" s="147">
        <f t="shared" si="9"/>
        <v>-1.6064248174989151E-2</v>
      </c>
      <c r="O35" s="282"/>
      <c r="P35" s="146">
        <f>Returns!M40</f>
        <v>2.6919689565400473E-2</v>
      </c>
      <c r="Q35" s="147">
        <f t="shared" si="4"/>
        <v>-2.2080310434599529E-2</v>
      </c>
      <c r="R35" s="282"/>
      <c r="S35" s="720"/>
      <c r="U35" s="505" t="str">
        <f t="shared" si="5"/>
        <v>1Q2007</v>
      </c>
      <c r="V35" s="715">
        <f>Returns!E40</f>
        <v>-7.2186525024104916E-4</v>
      </c>
      <c r="W35" s="715">
        <f t="shared" si="11"/>
        <v>-4.0721865250241053E-2</v>
      </c>
      <c r="Z35" s="505" t="str">
        <f t="shared" si="6"/>
        <v>1Q2007</v>
      </c>
      <c r="AA35" s="715">
        <f>Returns!V40</f>
        <v>2.4015064099788246E-2</v>
      </c>
      <c r="AB35" s="715">
        <f t="shared" si="10"/>
        <v>-1.7714935900211757E-2</v>
      </c>
      <c r="AE35" s="505" t="str">
        <f t="shared" si="7"/>
        <v>1Q2007</v>
      </c>
      <c r="AF35" s="715">
        <f>Returns!N40</f>
        <v>1.7276799782970899E-2</v>
      </c>
      <c r="AG35" s="715">
        <f t="shared" si="8"/>
        <v>-2.0926530217029102E-2</v>
      </c>
    </row>
    <row r="36" spans="1:34" ht="15">
      <c r="A36" s="337" t="s">
        <v>15</v>
      </c>
      <c r="B36" s="141">
        <f>'CPI+exchange rates'!L41</f>
        <v>4.68</v>
      </c>
      <c r="C36" s="133">
        <f t="shared" si="1"/>
        <v>4.6799999999999994E-2</v>
      </c>
      <c r="D36" s="141">
        <f t="shared" si="0"/>
        <v>1.0468</v>
      </c>
      <c r="E36" s="133">
        <v>4.4333333333333336E-2</v>
      </c>
      <c r="F36" s="133">
        <v>4.4180000000000004E-2</v>
      </c>
      <c r="G36" s="133">
        <v>4.0648330000000003E-2</v>
      </c>
      <c r="I36" s="505" t="str">
        <f t="shared" si="2"/>
        <v>2Q2007</v>
      </c>
      <c r="J36" s="146">
        <f>Returns!C41</f>
        <v>3.0912484490987158E-2</v>
      </c>
      <c r="K36" s="147">
        <f t="shared" si="3"/>
        <v>-1.5887515509012837E-2</v>
      </c>
      <c r="L36" s="282"/>
      <c r="M36" s="152">
        <f>Returns!U41</f>
        <v>9.1719356240153926E-2</v>
      </c>
      <c r="N36" s="147">
        <f t="shared" si="9"/>
        <v>4.4919356240153932E-2</v>
      </c>
      <c r="O36" s="282"/>
      <c r="P36" s="146">
        <f>Returns!M41</f>
        <v>2.8359722410894017E-2</v>
      </c>
      <c r="Q36" s="147">
        <f t="shared" si="4"/>
        <v>-1.8440277589105977E-2</v>
      </c>
      <c r="R36" s="282"/>
      <c r="S36" s="720"/>
      <c r="U36" s="505" t="str">
        <f t="shared" si="5"/>
        <v>2Q2007</v>
      </c>
      <c r="V36" s="715">
        <f>Returns!E41</f>
        <v>-2.4852225924639096E-3</v>
      </c>
      <c r="W36" s="715">
        <f t="shared" si="11"/>
        <v>-4.6818555925797242E-2</v>
      </c>
      <c r="Z36" s="505" t="str">
        <f t="shared" si="6"/>
        <v>2Q2007</v>
      </c>
      <c r="AA36" s="715">
        <f>Returns!V41</f>
        <v>6.6453995583268454E-3</v>
      </c>
      <c r="AB36" s="715">
        <f t="shared" si="10"/>
        <v>-3.7534600441673158E-2</v>
      </c>
      <c r="AE36" s="505" t="str">
        <f t="shared" si="7"/>
        <v>2Q2007</v>
      </c>
      <c r="AF36" s="715">
        <f>Returns!N41</f>
        <v>1.3587908499660401E-2</v>
      </c>
      <c r="AG36" s="715">
        <f t="shared" si="8"/>
        <v>-2.7060421500339604E-2</v>
      </c>
    </row>
    <row r="37" spans="1:34" ht="15">
      <c r="A37" s="337" t="s">
        <v>16</v>
      </c>
      <c r="B37" s="141">
        <f>'CPI+exchange rates'!L42</f>
        <v>3.72</v>
      </c>
      <c r="C37" s="133">
        <f t="shared" si="1"/>
        <v>3.7200000000000004E-2</v>
      </c>
      <c r="D37" s="141">
        <f t="shared" si="0"/>
        <v>1.0371999999999999</v>
      </c>
      <c r="E37" s="133">
        <v>4.7166666666666662E-2</v>
      </c>
      <c r="F37" s="133">
        <v>4.1050000000000003E-2</v>
      </c>
      <c r="G37" s="133">
        <v>4.5004999999999996E-2</v>
      </c>
      <c r="I37" s="505" t="str">
        <f t="shared" si="2"/>
        <v>3Q2007</v>
      </c>
      <c r="J37" s="146">
        <f>Returns!C42</f>
        <v>4.127613941639674E-2</v>
      </c>
      <c r="K37" s="147">
        <f t="shared" si="3"/>
        <v>4.076139416396736E-3</v>
      </c>
      <c r="L37" s="282"/>
      <c r="M37" s="152">
        <f>Returns!U42</f>
        <v>6.9658483848700214E-2</v>
      </c>
      <c r="N37" s="147">
        <f t="shared" si="9"/>
        <v>3.2458483848700211E-2</v>
      </c>
      <c r="O37" s="282"/>
      <c r="P37" s="146">
        <f>Returns!M42</f>
        <v>7.0931206132829105E-2</v>
      </c>
      <c r="Q37" s="147">
        <f t="shared" si="4"/>
        <v>3.3731206132829102E-2</v>
      </c>
      <c r="R37" s="282"/>
      <c r="S37" s="720"/>
      <c r="U37" s="505" t="str">
        <f t="shared" si="5"/>
        <v>3Q2007</v>
      </c>
      <c r="V37" s="715">
        <f>Returns!E42</f>
        <v>-4.4069595105173706E-2</v>
      </c>
      <c r="W37" s="715">
        <f t="shared" si="11"/>
        <v>-9.1236261771840368E-2</v>
      </c>
      <c r="Z37" s="505" t="str">
        <f t="shared" si="6"/>
        <v>3Q2007</v>
      </c>
      <c r="AA37" s="715">
        <f>Returns!V42</f>
        <v>-7.8060126866919715E-4</v>
      </c>
      <c r="AB37" s="715">
        <f t="shared" si="10"/>
        <v>-4.18306012686692E-2</v>
      </c>
      <c r="AE37" s="505" t="str">
        <f t="shared" si="7"/>
        <v>3Q2007</v>
      </c>
      <c r="AF37" s="715">
        <f>Returns!N42</f>
        <v>1.7014308856727198E-2</v>
      </c>
      <c r="AG37" s="715">
        <f t="shared" si="8"/>
        <v>-2.7990691143272798E-2</v>
      </c>
    </row>
    <row r="38" spans="1:34" ht="15">
      <c r="A38" s="337" t="s">
        <v>17</v>
      </c>
      <c r="B38" s="141">
        <f>'CPI+exchange rates'!L43</f>
        <v>3.29</v>
      </c>
      <c r="C38" s="133">
        <f t="shared" si="1"/>
        <v>3.2899999999999999E-2</v>
      </c>
      <c r="D38" s="141">
        <f t="shared" si="0"/>
        <v>1.0328999999999999</v>
      </c>
      <c r="E38" s="133">
        <v>5.0733333333333332E-2</v>
      </c>
      <c r="F38" s="133">
        <v>3.8620000000000002E-2</v>
      </c>
      <c r="G38" s="133">
        <v>4.7247669999999999E-2</v>
      </c>
      <c r="I38" s="505" t="str">
        <f t="shared" si="2"/>
        <v>4Q2007</v>
      </c>
      <c r="J38" s="146">
        <f>Returns!C43</f>
        <v>3.3261828811859129E-3</v>
      </c>
      <c r="K38" s="147">
        <f t="shared" si="3"/>
        <v>-2.9573817118814086E-2</v>
      </c>
      <c r="L38" s="282">
        <f>((K38+1)*(K37+1)*(K36+1)*(K35+1))-1</f>
        <v>-6.9586536253350539E-2</v>
      </c>
      <c r="M38" s="152">
        <f>Returns!U43</f>
        <v>5.6262127754271862E-3</v>
      </c>
      <c r="N38" s="147">
        <f t="shared" si="9"/>
        <v>-2.7273787224572812E-2</v>
      </c>
      <c r="O38" s="282">
        <f>((N38+1)*(N37+1)*(N36+1)*(N35+1))-1</f>
        <v>3.2553901311482614E-2</v>
      </c>
      <c r="P38" s="146">
        <f>Returns!M43</f>
        <v>1.7378897508807833E-2</v>
      </c>
      <c r="Q38" s="147">
        <f t="shared" si="4"/>
        <v>-1.5521102491192165E-2</v>
      </c>
      <c r="R38" s="282">
        <f>((Q38+1)*(Q37+1)*(Q36+1)*(Q35+1))-1</f>
        <v>-2.3136331187884052E-2</v>
      </c>
      <c r="S38" s="720"/>
      <c r="U38" s="505" t="str">
        <f t="shared" si="5"/>
        <v>4Q2007</v>
      </c>
      <c r="V38" s="715">
        <f>Returns!E43</f>
        <v>4.7324771298644808E-3</v>
      </c>
      <c r="W38" s="715">
        <f t="shared" si="11"/>
        <v>-4.6000856203468853E-2</v>
      </c>
      <c r="X38" s="282">
        <f>((W38+1)*(W37+1)*(W36+1)*(W35+1))-1</f>
        <v>-0.20728130765946551</v>
      </c>
      <c r="Z38" s="505" t="str">
        <f t="shared" si="6"/>
        <v>4Q2007</v>
      </c>
      <c r="AA38" s="715">
        <f>Returns!V43</f>
        <v>-1.2047995383838476E-3</v>
      </c>
      <c r="AB38" s="715">
        <f t="shared" si="10"/>
        <v>-3.9824799538383852E-2</v>
      </c>
      <c r="AC38" s="282">
        <f>((AB38+1)*(AB37+1)*(AB36+1)*(AB35+1))-1</f>
        <v>-0.13020792257228742</v>
      </c>
      <c r="AE38" s="505" t="str">
        <f t="shared" si="7"/>
        <v>4Q2007</v>
      </c>
      <c r="AF38" s="715">
        <f>Returns!N43</f>
        <v>-1.0386437945226101E-2</v>
      </c>
      <c r="AG38" s="715">
        <f t="shared" si="8"/>
        <v>-5.7634107945226096E-2</v>
      </c>
      <c r="AH38" s="282">
        <f>((AG38+1)*(AG37+1)*(AG36+1)*(AG35+1))-1</f>
        <v>-0.12744836604117837</v>
      </c>
    </row>
    <row r="39" spans="1:34" ht="15">
      <c r="A39" s="337" t="s">
        <v>18</v>
      </c>
      <c r="B39" s="141">
        <f>'CPI+exchange rates'!L44</f>
        <v>1.36</v>
      </c>
      <c r="C39" s="133">
        <f t="shared" si="1"/>
        <v>1.3600000000000001E-2</v>
      </c>
      <c r="D39" s="141">
        <f t="shared" si="0"/>
        <v>1.0136000000000001</v>
      </c>
      <c r="E39" s="133">
        <v>5.2366666666666672E-2</v>
      </c>
      <c r="F39" s="133">
        <v>2.0250000000000001E-2</v>
      </c>
      <c r="G39" s="133">
        <v>4.1947999999999999E-2</v>
      </c>
      <c r="I39" s="505" t="str">
        <f t="shared" si="2"/>
        <v>1Q2008</v>
      </c>
      <c r="J39" s="146">
        <f>Returns!C44</f>
        <v>-2.0625818795430351E-2</v>
      </c>
      <c r="K39" s="147">
        <f t="shared" si="3"/>
        <v>-3.4225818795430352E-2</v>
      </c>
      <c r="L39" s="282"/>
      <c r="M39" s="152">
        <f>Returns!U44</f>
        <v>-4.5829365225037222E-2</v>
      </c>
      <c r="N39" s="147">
        <f t="shared" si="9"/>
        <v>-5.9429365225037223E-2</v>
      </c>
      <c r="O39" s="282"/>
      <c r="P39" s="146">
        <f>Returns!M44</f>
        <v>3.4903468280908623E-2</v>
      </c>
      <c r="Q39" s="147">
        <f t="shared" si="4"/>
        <v>2.1303468280908622E-2</v>
      </c>
      <c r="R39" s="282"/>
      <c r="S39" s="720"/>
      <c r="U39" s="505" t="str">
        <f t="shared" si="5"/>
        <v>1Q2008</v>
      </c>
      <c r="V39" s="715">
        <f>Returns!E44</f>
        <v>-8.3412111690687241E-2</v>
      </c>
      <c r="W39" s="715">
        <f t="shared" si="11"/>
        <v>-0.13577877835735391</v>
      </c>
      <c r="Z39" s="505" t="str">
        <f t="shared" si="6"/>
        <v>1Q2008</v>
      </c>
      <c r="AA39" s="715">
        <f>Returns!V44</f>
        <v>-8.0279853986011136E-3</v>
      </c>
      <c r="AB39" s="715">
        <f t="shared" si="10"/>
        <v>-2.8277985398601116E-2</v>
      </c>
      <c r="AE39" s="505" t="str">
        <f t="shared" si="7"/>
        <v>1Q2008</v>
      </c>
      <c r="AF39" s="715">
        <f>Returns!N44</f>
        <v>-4.5103711398185503E-2</v>
      </c>
      <c r="AG39" s="715">
        <f t="shared" si="8"/>
        <v>-8.7051711398185502E-2</v>
      </c>
    </row>
    <row r="40" spans="1:34" ht="15">
      <c r="A40" s="337" t="s">
        <v>19</v>
      </c>
      <c r="B40" s="141">
        <f>'CPI+exchange rates'!L45</f>
        <v>1.87</v>
      </c>
      <c r="C40" s="133">
        <f t="shared" si="1"/>
        <v>1.8700000000000001E-2</v>
      </c>
      <c r="D40" s="141">
        <f t="shared" si="0"/>
        <v>1.0186999999999999</v>
      </c>
      <c r="E40" s="133">
        <v>5.6400000000000006E-2</v>
      </c>
      <c r="F40" s="133">
        <v>2.691E-2</v>
      </c>
      <c r="G40" s="133">
        <v>4.8604659999999994E-2</v>
      </c>
      <c r="I40" s="505" t="str">
        <f t="shared" si="2"/>
        <v>2Q2008</v>
      </c>
      <c r="J40" s="146">
        <f>Returns!C45</f>
        <v>-2.5879253267910962E-2</v>
      </c>
      <c r="K40" s="147">
        <f t="shared" si="3"/>
        <v>-4.4579253267910963E-2</v>
      </c>
      <c r="L40" s="282"/>
      <c r="M40" s="152">
        <f>Returns!U45</f>
        <v>2.128369450351375E-2</v>
      </c>
      <c r="N40" s="147">
        <f t="shared" si="9"/>
        <v>2.583694503513749E-3</v>
      </c>
      <c r="O40" s="282"/>
      <c r="P40" s="146">
        <f>Returns!M45</f>
        <v>-1.1790751166300684E-2</v>
      </c>
      <c r="Q40" s="147">
        <f t="shared" si="4"/>
        <v>-3.0490751166300685E-2</v>
      </c>
      <c r="R40" s="282"/>
      <c r="S40" s="720"/>
      <c r="U40" s="505" t="str">
        <f t="shared" si="5"/>
        <v>2Q2008</v>
      </c>
      <c r="V40" s="715">
        <f>Returns!E45</f>
        <v>-2.3636480062466731E-2</v>
      </c>
      <c r="W40" s="715">
        <f t="shared" si="11"/>
        <v>-8.0036480062466733E-2</v>
      </c>
      <c r="Z40" s="505" t="str">
        <f t="shared" si="6"/>
        <v>2Q2008</v>
      </c>
      <c r="AA40" s="715">
        <f>Returns!V45</f>
        <v>9.8371154023094744E-3</v>
      </c>
      <c r="AB40" s="715">
        <f t="shared" si="10"/>
        <v>-1.7072884597690526E-2</v>
      </c>
      <c r="AE40" s="505" t="str">
        <f t="shared" si="7"/>
        <v>2Q2008</v>
      </c>
      <c r="AF40" s="715">
        <f>Returns!N45</f>
        <v>-6.1458007436288901E-3</v>
      </c>
      <c r="AG40" s="715">
        <f t="shared" si="8"/>
        <v>-5.4750460743628881E-2</v>
      </c>
    </row>
    <row r="41" spans="1:34" ht="15">
      <c r="A41" s="337" t="s">
        <v>20</v>
      </c>
      <c r="B41" s="141">
        <f>'CPI+exchange rates'!L46</f>
        <v>0.9</v>
      </c>
      <c r="C41" s="133">
        <f t="shared" si="1"/>
        <v>9.0000000000000011E-3</v>
      </c>
      <c r="D41" s="141">
        <f t="shared" si="0"/>
        <v>1.0089999999999999</v>
      </c>
      <c r="E41" s="133">
        <v>5.8566666666666663E-2</v>
      </c>
      <c r="F41" s="133">
        <v>1.8769999999999998E-2</v>
      </c>
      <c r="G41" s="133">
        <v>4.9818000000000001E-2</v>
      </c>
      <c r="I41" s="505" t="str">
        <f t="shared" si="2"/>
        <v>3Q2008</v>
      </c>
      <c r="J41" s="146">
        <f>Returns!C46</f>
        <v>-0.13864006617802127</v>
      </c>
      <c r="K41" s="147">
        <f t="shared" si="3"/>
        <v>-0.14764006617802128</v>
      </c>
      <c r="L41" s="282"/>
      <c r="M41" s="152">
        <f>Returns!U46</f>
        <v>-0.13033058029439193</v>
      </c>
      <c r="N41" s="147">
        <f t="shared" si="9"/>
        <v>-0.13933058029439194</v>
      </c>
      <c r="O41" s="282"/>
      <c r="P41" s="146">
        <f>Returns!M46</f>
        <v>-0.15230418229798581</v>
      </c>
      <c r="Q41" s="147">
        <f t="shared" si="4"/>
        <v>-0.16130418229798582</v>
      </c>
      <c r="R41" s="282"/>
      <c r="S41" s="720"/>
      <c r="U41" s="505" t="str">
        <f t="shared" si="5"/>
        <v>3Q2008</v>
      </c>
      <c r="V41" s="715">
        <f>Returns!E46</f>
        <v>-1.6328093223965968E-4</v>
      </c>
      <c r="W41" s="715">
        <f t="shared" si="11"/>
        <v>-5.8729947598906325E-2</v>
      </c>
      <c r="Z41" s="505" t="str">
        <f t="shared" si="6"/>
        <v>3Q2008</v>
      </c>
      <c r="AA41" s="715">
        <f>Returns!V46</f>
        <v>-8.8627936493023959E-2</v>
      </c>
      <c r="AB41" s="715">
        <f t="shared" si="10"/>
        <v>-0.10739793649302395</v>
      </c>
      <c r="AE41" s="505" t="str">
        <f t="shared" si="7"/>
        <v>3Q2008</v>
      </c>
      <c r="AF41" s="715">
        <f>Returns!N46</f>
        <v>-4.9167472716617498E-2</v>
      </c>
      <c r="AG41" s="715">
        <f t="shared" si="8"/>
        <v>-9.8985472716617506E-2</v>
      </c>
    </row>
    <row r="42" spans="1:34" ht="15">
      <c r="A42" s="337" t="s">
        <v>21</v>
      </c>
      <c r="B42" s="141">
        <f>'CPI+exchange rates'!L47</f>
        <v>0.11</v>
      </c>
      <c r="C42" s="133">
        <f t="shared" si="1"/>
        <v>1.1000000000000001E-3</v>
      </c>
      <c r="D42" s="141">
        <f t="shared" si="0"/>
        <v>1.0011000000000001</v>
      </c>
      <c r="E42" s="133">
        <v>4.2099999999999999E-2</v>
      </c>
      <c r="F42" s="133">
        <v>9.4500000000000001E-3</v>
      </c>
      <c r="G42" s="133">
        <v>4.2146670000000004E-2</v>
      </c>
      <c r="I42" s="505" t="str">
        <f t="shared" si="2"/>
        <v>4Q2008</v>
      </c>
      <c r="J42" s="146">
        <f>Returns!C47</f>
        <v>-0.12508377757422806</v>
      </c>
      <c r="K42" s="147">
        <f t="shared" si="3"/>
        <v>-0.12618377757422805</v>
      </c>
      <c r="L42" s="282">
        <f>((K42+1)*(K41+1)*(K40+1)*(K39+1))-1</f>
        <v>-0.31275215187700389</v>
      </c>
      <c r="M42" s="152">
        <f>Returns!U47</f>
        <v>-0.19893423402980126</v>
      </c>
      <c r="N42" s="147">
        <f t="shared" si="9"/>
        <v>-0.20003423402980125</v>
      </c>
      <c r="O42" s="282">
        <f>((N42+1)*(N41+1)*(N40+1)*(N39+1))-1</f>
        <v>-0.35073823611803379</v>
      </c>
      <c r="P42" s="146">
        <f>Returns!M47</f>
        <v>-0.12534397078285586</v>
      </c>
      <c r="Q42" s="147">
        <f t="shared" si="4"/>
        <v>-0.12644397078285585</v>
      </c>
      <c r="R42" s="282">
        <f>((Q42+1)*(Q41+1)*(Q40+1)*(Q39+1))-1</f>
        <v>-0.27455915203481263</v>
      </c>
      <c r="S42" s="720"/>
      <c r="U42" s="505" t="str">
        <f t="shared" si="5"/>
        <v>4Q2008</v>
      </c>
      <c r="V42" s="715">
        <f>Returns!E47</f>
        <v>3.6187419624764836E-2</v>
      </c>
      <c r="W42" s="715">
        <f t="shared" si="11"/>
        <v>-5.912580375235163E-3</v>
      </c>
      <c r="X42" s="282">
        <f>((W42+1)*(W41+1)*(W40+1)*(W39+1))-1</f>
        <v>-0.25606609563766136</v>
      </c>
      <c r="Z42" s="505" t="str">
        <f t="shared" si="6"/>
        <v>4Q2008</v>
      </c>
      <c r="AA42" s="715">
        <f>Returns!V47</f>
        <v>-6.9868615415528398E-2</v>
      </c>
      <c r="AB42" s="715">
        <f t="shared" ref="AB42:AB73" si="12">AA42-F42</f>
        <v>-7.9318615415528398E-2</v>
      </c>
      <c r="AC42" s="282">
        <f>((AB42+1)*(AB41+1)*(AB40+1)*(AB39+1))-1</f>
        <v>-0.21507058146301739</v>
      </c>
      <c r="AE42" s="505" t="str">
        <f t="shared" si="7"/>
        <v>4Q2008</v>
      </c>
      <c r="AF42" s="715">
        <f>Returns!N47</f>
        <v>-0.116156606192563</v>
      </c>
      <c r="AG42" s="715">
        <f t="shared" si="8"/>
        <v>-0.15830327619256301</v>
      </c>
      <c r="AH42" s="282">
        <f>((AG42+1)*(AG41+1)*(AG40+1)*(AG39+1))-1</f>
        <v>-0.34554455822279273</v>
      </c>
    </row>
    <row r="43" spans="1:34" ht="15">
      <c r="A43" s="337" t="s">
        <v>22</v>
      </c>
      <c r="B43" s="141">
        <f>'CPI+exchange rates'!L48</f>
        <v>0.21</v>
      </c>
      <c r="C43" s="133">
        <f t="shared" si="1"/>
        <v>2.0999999999999999E-3</v>
      </c>
      <c r="D43" s="141">
        <f t="shared" si="0"/>
        <v>1.0021</v>
      </c>
      <c r="E43" s="133">
        <v>2.3766666666666669E-2</v>
      </c>
      <c r="F43" s="133">
        <v>4.1599999999999996E-3</v>
      </c>
      <c r="G43" s="133">
        <v>2.0116999999999999E-2</v>
      </c>
      <c r="I43" s="505" t="str">
        <f t="shared" si="2"/>
        <v>1Q2009</v>
      </c>
      <c r="J43" s="146">
        <f>Returns!C48</f>
        <v>-8.0771874950076206E-2</v>
      </c>
      <c r="K43" s="147">
        <f t="shared" si="3"/>
        <v>-8.287187495007621E-2</v>
      </c>
      <c r="L43" s="282"/>
      <c r="M43" s="152">
        <f>Returns!U48</f>
        <v>-7.6552374253544109E-2</v>
      </c>
      <c r="N43" s="147">
        <f t="shared" si="9"/>
        <v>-7.8652374253544113E-2</v>
      </c>
      <c r="O43" s="282"/>
      <c r="P43" s="146">
        <f>Returns!M48</f>
        <v>-8.5144740843196898E-2</v>
      </c>
      <c r="Q43" s="147">
        <f t="shared" si="4"/>
        <v>-8.7244740843196902E-2</v>
      </c>
      <c r="R43" s="282"/>
      <c r="S43" s="720"/>
      <c r="U43" s="505" t="str">
        <f t="shared" si="5"/>
        <v>1Q2009</v>
      </c>
      <c r="V43" s="715">
        <f>Returns!E48</f>
        <v>-0.11359160492572361</v>
      </c>
      <c r="W43" s="715">
        <f t="shared" si="11"/>
        <v>-0.13735827159239028</v>
      </c>
      <c r="Z43" s="505" t="str">
        <f t="shared" si="6"/>
        <v>1Q2009</v>
      </c>
      <c r="AA43" s="715">
        <f>Returns!V48</f>
        <v>-5.886137680607248E-2</v>
      </c>
      <c r="AB43" s="715">
        <f t="shared" si="12"/>
        <v>-6.3021376806072477E-2</v>
      </c>
      <c r="AE43" s="505" t="str">
        <f t="shared" si="7"/>
        <v>1Q2009</v>
      </c>
      <c r="AF43" s="715">
        <f>Returns!N48</f>
        <v>-4.2183108675103401E-2</v>
      </c>
      <c r="AG43" s="715">
        <f t="shared" si="8"/>
        <v>-6.2300108675103397E-2</v>
      </c>
      <c r="AH43" s="282"/>
    </row>
    <row r="44" spans="1:34" ht="15">
      <c r="A44" s="337" t="s">
        <v>23</v>
      </c>
      <c r="B44" s="141">
        <f>'CPI+exchange rates'!L49</f>
        <v>0.19</v>
      </c>
      <c r="C44" s="133">
        <f t="shared" si="1"/>
        <v>1.9E-3</v>
      </c>
      <c r="D44" s="141">
        <f t="shared" si="0"/>
        <v>1.0019</v>
      </c>
      <c r="E44" s="133">
        <v>1.6666666666666666E-2</v>
      </c>
      <c r="F44" s="133">
        <v>2.4299999999999999E-3</v>
      </c>
      <c r="G44" s="133">
        <v>1.3106329999999999E-2</v>
      </c>
      <c r="I44" s="505" t="str">
        <f t="shared" si="2"/>
        <v>2Q2009</v>
      </c>
      <c r="J44" s="146">
        <f>Returns!C49</f>
        <v>0.17631546523322417</v>
      </c>
      <c r="K44" s="147">
        <f t="shared" si="3"/>
        <v>0.17441546523322415</v>
      </c>
      <c r="L44" s="282"/>
      <c r="M44" s="152">
        <f>Returns!U49</f>
        <v>0.15852803708430363</v>
      </c>
      <c r="N44" s="147">
        <f t="shared" si="9"/>
        <v>0.15662803708430362</v>
      </c>
      <c r="O44" s="282"/>
      <c r="P44" s="146">
        <f>Returns!M49</f>
        <v>0.15234845920514273</v>
      </c>
      <c r="Q44" s="147">
        <f t="shared" si="4"/>
        <v>0.15044845920514271</v>
      </c>
      <c r="R44" s="282"/>
      <c r="S44" s="720"/>
      <c r="U44" s="505" t="str">
        <f t="shared" si="5"/>
        <v>2Q2009</v>
      </c>
      <c r="V44" s="715">
        <f>Returns!E49</f>
        <v>0.12134199845187547</v>
      </c>
      <c r="W44" s="715">
        <f t="shared" si="11"/>
        <v>0.10467533178520881</v>
      </c>
      <c r="Z44" s="505" t="str">
        <f t="shared" si="6"/>
        <v>2Q2009</v>
      </c>
      <c r="AA44" s="715">
        <f>Returns!V49</f>
        <v>6.9392787718361118E-2</v>
      </c>
      <c r="AB44" s="715">
        <f t="shared" si="12"/>
        <v>6.6962787718361116E-2</v>
      </c>
      <c r="AE44" s="505" t="str">
        <f t="shared" si="7"/>
        <v>2Q2009</v>
      </c>
      <c r="AF44" s="715">
        <f>Returns!N49</f>
        <v>9.0773147940176005E-2</v>
      </c>
      <c r="AG44" s="715">
        <f t="shared" si="8"/>
        <v>7.7666817940176006E-2</v>
      </c>
    </row>
    <row r="45" spans="1:34" ht="15">
      <c r="A45" s="337" t="s">
        <v>24</v>
      </c>
      <c r="B45" s="141">
        <f>'CPI+exchange rates'!L50</f>
        <v>0.14000000000000001</v>
      </c>
      <c r="C45" s="133">
        <f t="shared" si="1"/>
        <v>1.4000000000000002E-3</v>
      </c>
      <c r="D45" s="141">
        <f t="shared" si="0"/>
        <v>1.0014000000000001</v>
      </c>
      <c r="E45" s="133">
        <v>1.47E-2</v>
      </c>
      <c r="F45" s="133">
        <v>2.2200000000000002E-3</v>
      </c>
      <c r="G45" s="133">
        <v>8.6920000000000001E-3</v>
      </c>
      <c r="I45" s="505" t="str">
        <f t="shared" si="2"/>
        <v>3Q2009</v>
      </c>
      <c r="J45" s="146">
        <f>Returns!C50</f>
        <v>0.16083524328588461</v>
      </c>
      <c r="K45" s="147">
        <f t="shared" si="3"/>
        <v>0.1594352432858846</v>
      </c>
      <c r="L45" s="282"/>
      <c r="M45" s="152">
        <f>Returns!U50</f>
        <v>0.1301428138880798</v>
      </c>
      <c r="N45" s="147">
        <f t="shared" si="9"/>
        <v>0.12874281388807979</v>
      </c>
      <c r="O45" s="282"/>
      <c r="P45" s="146">
        <f>Returns!M50</f>
        <v>0.1537196747136429</v>
      </c>
      <c r="Q45" s="147">
        <f t="shared" si="4"/>
        <v>0.15231967471364288</v>
      </c>
      <c r="R45" s="282"/>
      <c r="S45" s="720"/>
      <c r="U45" s="505" t="str">
        <f t="shared" si="5"/>
        <v>3Q2009</v>
      </c>
      <c r="V45" s="715">
        <f>Returns!E50</f>
        <v>4.6447915749537792E-2</v>
      </c>
      <c r="W45" s="715">
        <f t="shared" si="11"/>
        <v>3.1747915749537794E-2</v>
      </c>
      <c r="Z45" s="505" t="str">
        <f t="shared" si="6"/>
        <v>3Q2009</v>
      </c>
      <c r="AA45" s="715">
        <f>Returns!V50</f>
        <v>4.4458847157253331E-2</v>
      </c>
      <c r="AB45" s="715">
        <f t="shared" si="12"/>
        <v>4.2238847157253331E-2</v>
      </c>
      <c r="AE45" s="505" t="str">
        <f t="shared" si="7"/>
        <v>3Q2009</v>
      </c>
      <c r="AF45" s="715">
        <f>Returns!N50</f>
        <v>0.10711201238290401</v>
      </c>
      <c r="AG45" s="715">
        <f t="shared" si="8"/>
        <v>9.8420012382904001E-2</v>
      </c>
    </row>
    <row r="46" spans="1:34" ht="15">
      <c r="A46" s="337" t="s">
        <v>25</v>
      </c>
      <c r="B46" s="141">
        <f>'CPI+exchange rates'!L51</f>
        <v>0.06</v>
      </c>
      <c r="C46" s="133">
        <f t="shared" si="1"/>
        <v>5.9999999999999995E-4</v>
      </c>
      <c r="D46" s="141">
        <f t="shared" si="0"/>
        <v>1.0005999999999999</v>
      </c>
      <c r="E46" s="133">
        <v>1.7866666666666666E-2</v>
      </c>
      <c r="F46" s="133">
        <v>2.0200000000000001E-3</v>
      </c>
      <c r="G46" s="133">
        <v>7.2189999999999997E-3</v>
      </c>
      <c r="I46" s="505" t="str">
        <f t="shared" si="2"/>
        <v>4Q2009</v>
      </c>
      <c r="J46" s="146">
        <f>Returns!C51</f>
        <v>2.5822400485953079E-2</v>
      </c>
      <c r="K46" s="147">
        <f t="shared" si="3"/>
        <v>2.5222400485953079E-2</v>
      </c>
      <c r="L46" s="282">
        <f>((K46+1)*(K45+1)*(K44+1)*(K43+1))-1</f>
        <v>0.28031359673035894</v>
      </c>
      <c r="M46" s="152">
        <f>Returns!U51</f>
        <v>4.1309261057798752E-2</v>
      </c>
      <c r="N46" s="147">
        <f t="shared" si="9"/>
        <v>4.0709261057798748E-2</v>
      </c>
      <c r="O46" s="282">
        <f>((N46+1)*(N45+1)*(N44+1)*(N43+1))-1</f>
        <v>0.25181933238311505</v>
      </c>
      <c r="P46" s="146">
        <f>Returns!M51</f>
        <v>2.0200728880883201E-2</v>
      </c>
      <c r="Q46" s="147">
        <f t="shared" si="4"/>
        <v>1.9600728880883201E-2</v>
      </c>
      <c r="R46" s="282">
        <f>((Q46+1)*(Q45+1)*(Q44+1)*(Q43+1))-1</f>
        <v>0.23374278272729421</v>
      </c>
      <c r="S46" s="720"/>
      <c r="U46" s="505" t="str">
        <f t="shared" si="5"/>
        <v>4Q2009</v>
      </c>
      <c r="V46" s="715">
        <f>Returns!E51</f>
        <v>2.1314107013986429E-2</v>
      </c>
      <c r="W46" s="715">
        <f t="shared" si="11"/>
        <v>3.4474403473197628E-3</v>
      </c>
      <c r="X46" s="282">
        <f>((W46+1)*(W45+1)*(W44+1)*(W43+1))-1</f>
        <v>-1.3417635426457908E-2</v>
      </c>
      <c r="Z46" s="505" t="str">
        <f t="shared" si="6"/>
        <v>4Q2009</v>
      </c>
      <c r="AA46" s="715">
        <f>Returns!V51</f>
        <v>1.7102919808015753E-2</v>
      </c>
      <c r="AB46" s="715">
        <f t="shared" si="12"/>
        <v>1.5082919808015752E-2</v>
      </c>
      <c r="AC46" s="282">
        <f>((AB46+1)*(AB45+1)*(AB44+1)*(AB43+1))-1</f>
        <v>5.7664024194625352E-2</v>
      </c>
      <c r="AE46" s="505" t="str">
        <f t="shared" si="7"/>
        <v>4Q2009</v>
      </c>
      <c r="AF46" s="715">
        <f>Returns!N51</f>
        <v>3.9364489786038397E-2</v>
      </c>
      <c r="AG46" s="715">
        <f t="shared" si="8"/>
        <v>3.21454897860384E-2</v>
      </c>
      <c r="AH46" s="282">
        <f>((AG46+1)*(AG45+1)*(AG44+1)*(AG43+1))-1</f>
        <v>0.14566522917081959</v>
      </c>
    </row>
    <row r="47" spans="1:34" ht="15">
      <c r="A47" s="337" t="s">
        <v>26</v>
      </c>
      <c r="B47" s="141">
        <f>'CPI+exchange rates'!L52</f>
        <v>0.16</v>
      </c>
      <c r="C47" s="133">
        <f t="shared" si="1"/>
        <v>1.6000000000000001E-3</v>
      </c>
      <c r="D47" s="141">
        <f t="shared" si="0"/>
        <v>1.0016</v>
      </c>
      <c r="E47" s="133">
        <v>2.0399999999999998E-2</v>
      </c>
      <c r="F47" s="133">
        <v>2.8899999999999998E-3</v>
      </c>
      <c r="G47" s="133">
        <v>6.6216670000000004E-3</v>
      </c>
      <c r="I47" s="505" t="str">
        <f t="shared" si="2"/>
        <v>1Q2010</v>
      </c>
      <c r="J47" s="146">
        <f>Returns!C52</f>
        <v>1.0513750365447327E-2</v>
      </c>
      <c r="K47" s="147">
        <f t="shared" si="3"/>
        <v>8.9137503654473267E-3</v>
      </c>
      <c r="L47" s="282"/>
      <c r="M47" s="152">
        <f>Returns!U52</f>
        <v>4.1321314126054887E-2</v>
      </c>
      <c r="N47" s="147">
        <f t="shared" si="9"/>
        <v>3.9721314126054889E-2</v>
      </c>
      <c r="O47" s="282"/>
      <c r="P47" s="146">
        <f>Returns!M52</f>
        <v>-9.1342007127742653E-3</v>
      </c>
      <c r="Q47" s="147">
        <f t="shared" si="4"/>
        <v>-1.0734200712774266E-2</v>
      </c>
      <c r="R47" s="282"/>
      <c r="S47" s="720"/>
      <c r="U47" s="505" t="str">
        <f t="shared" si="5"/>
        <v>1Q2010</v>
      </c>
      <c r="V47" s="715">
        <f>Returns!E52</f>
        <v>3.8309525696611516E-2</v>
      </c>
      <c r="W47" s="715">
        <f t="shared" si="11"/>
        <v>1.7909525696611518E-2</v>
      </c>
      <c r="Z47" s="505" t="str">
        <f t="shared" si="6"/>
        <v>1Q2010</v>
      </c>
      <c r="AA47" s="715">
        <f>Returns!V52</f>
        <v>7.7479269772394018E-3</v>
      </c>
      <c r="AB47" s="715">
        <f t="shared" si="12"/>
        <v>4.8579269772394025E-3</v>
      </c>
      <c r="AE47" s="505" t="str">
        <f t="shared" si="7"/>
        <v>1Q2010</v>
      </c>
      <c r="AF47" s="715">
        <f>Returns!N52</f>
        <v>5.0657292640639E-2</v>
      </c>
      <c r="AG47" s="715">
        <f t="shared" si="8"/>
        <v>4.4035625640639002E-2</v>
      </c>
    </row>
    <row r="48" spans="1:34" ht="15">
      <c r="A48" s="337" t="s">
        <v>27</v>
      </c>
      <c r="B48" s="141">
        <f>'CPI+exchange rates'!L53</f>
        <v>0.18</v>
      </c>
      <c r="C48" s="133">
        <f t="shared" si="1"/>
        <v>1.8E-3</v>
      </c>
      <c r="D48" s="141">
        <f t="shared" si="0"/>
        <v>1.0018</v>
      </c>
      <c r="E48" s="133">
        <v>2.2099999999999998E-2</v>
      </c>
      <c r="F48" s="133">
        <v>5.79E-3</v>
      </c>
      <c r="G48" s="133">
        <v>6.8626670000000002E-3</v>
      </c>
      <c r="I48" s="505" t="str">
        <f t="shared" si="2"/>
        <v>2Q2010</v>
      </c>
      <c r="J48" s="146">
        <f>Returns!C53</f>
        <v>-8.961467897503006E-2</v>
      </c>
      <c r="K48" s="147">
        <f t="shared" si="3"/>
        <v>-9.1414678975030056E-2</v>
      </c>
      <c r="L48" s="282"/>
      <c r="M48" s="152">
        <f>Returns!U53</f>
        <v>-5.8498736957299013E-2</v>
      </c>
      <c r="N48" s="147">
        <f t="shared" si="9"/>
        <v>-6.0298736957299016E-2</v>
      </c>
      <c r="O48" s="282"/>
      <c r="P48" s="146">
        <f>Returns!M53</f>
        <v>-9.9550101258882751E-2</v>
      </c>
      <c r="Q48" s="147">
        <f t="shared" si="4"/>
        <v>-0.10135010125888275</v>
      </c>
      <c r="R48" s="282"/>
      <c r="S48" s="720"/>
      <c r="U48" s="505" t="str">
        <f t="shared" si="5"/>
        <v>2Q2010</v>
      </c>
      <c r="V48" s="715">
        <f>Returns!E53</f>
        <v>-2.5822901387312657E-3</v>
      </c>
      <c r="W48" s="715">
        <f t="shared" si="11"/>
        <v>-2.4682290138731265E-2</v>
      </c>
      <c r="Z48" s="505" t="str">
        <f t="shared" si="6"/>
        <v>2Q2010</v>
      </c>
      <c r="AA48" s="715">
        <f>Returns!V53</f>
        <v>-1.3861990860651154E-2</v>
      </c>
      <c r="AB48" s="715">
        <f t="shared" si="12"/>
        <v>-1.9651990860651156E-2</v>
      </c>
      <c r="AE48" s="505" t="str">
        <f t="shared" si="7"/>
        <v>2Q2010</v>
      </c>
      <c r="AF48" s="715">
        <f>Returns!N53</f>
        <v>-5.3082168545352396E-3</v>
      </c>
      <c r="AG48" s="715">
        <f t="shared" si="8"/>
        <v>-1.217088385453524E-2</v>
      </c>
    </row>
    <row r="49" spans="1:34" ht="15">
      <c r="A49" s="337" t="s">
        <v>28</v>
      </c>
      <c r="B49" s="141">
        <f>'CPI+exchange rates'!L54</f>
        <v>0.16</v>
      </c>
      <c r="C49" s="133">
        <f t="shared" si="1"/>
        <v>1.6000000000000001E-3</v>
      </c>
      <c r="D49" s="141">
        <f t="shared" si="0"/>
        <v>1.0016</v>
      </c>
      <c r="E49" s="133">
        <v>2.2333333333333334E-2</v>
      </c>
      <c r="F49" s="133">
        <v>8.9300000000000004E-3</v>
      </c>
      <c r="G49" s="133">
        <v>8.7493339999999992E-3</v>
      </c>
      <c r="I49" s="505" t="str">
        <f t="shared" si="2"/>
        <v>3Q2010</v>
      </c>
      <c r="J49" s="146">
        <f>Returns!C54</f>
        <v>0.13658222126528474</v>
      </c>
      <c r="K49" s="147">
        <f t="shared" si="3"/>
        <v>0.13498222126528475</v>
      </c>
      <c r="L49" s="282"/>
      <c r="M49" s="152">
        <f>Returns!U54</f>
        <v>0.10089503304817837</v>
      </c>
      <c r="N49" s="147">
        <f t="shared" si="9"/>
        <v>9.9295033048178369E-2</v>
      </c>
      <c r="O49" s="282"/>
      <c r="P49" s="146">
        <f>Returns!M54</f>
        <v>0.17814455901968218</v>
      </c>
      <c r="Q49" s="147">
        <f t="shared" si="4"/>
        <v>0.17654455901968219</v>
      </c>
      <c r="R49" s="282"/>
      <c r="S49" s="720"/>
      <c r="U49" s="505" t="str">
        <f t="shared" si="5"/>
        <v>3Q2010</v>
      </c>
      <c r="V49" s="715">
        <f>Returns!E54</f>
        <v>2.3512114002254357E-2</v>
      </c>
      <c r="W49" s="715">
        <f t="shared" si="11"/>
        <v>1.1787806689210235E-3</v>
      </c>
      <c r="Z49" s="505" t="str">
        <f t="shared" si="6"/>
        <v>3Q2010</v>
      </c>
      <c r="AA49" s="715">
        <f>Returns!V54</f>
        <v>6.2770592059920027E-2</v>
      </c>
      <c r="AB49" s="715">
        <f t="shared" si="12"/>
        <v>5.3840592059920027E-2</v>
      </c>
      <c r="AE49" s="505" t="str">
        <f t="shared" si="7"/>
        <v>3Q2010</v>
      </c>
      <c r="AF49" s="715">
        <f>Returns!N54</f>
        <v>5.7067665291108599E-2</v>
      </c>
      <c r="AG49" s="715">
        <f t="shared" si="8"/>
        <v>4.8318331291108602E-2</v>
      </c>
    </row>
    <row r="50" spans="1:34" ht="15">
      <c r="A50" s="321" t="s">
        <v>29</v>
      </c>
      <c r="B50" s="141">
        <f>'CPI+exchange rates'!L55</f>
        <v>0.12</v>
      </c>
      <c r="C50" s="133">
        <f t="shared" si="1"/>
        <v>1.1999999999999999E-3</v>
      </c>
      <c r="D50" s="141">
        <f t="shared" si="0"/>
        <v>1.0012000000000001</v>
      </c>
      <c r="E50" s="133">
        <v>2.1833333333333333E-2</v>
      </c>
      <c r="F50" s="133">
        <v>9.9799999999999993E-3</v>
      </c>
      <c r="G50" s="133">
        <v>1.0204670000000001E-2</v>
      </c>
      <c r="I50" s="505" t="str">
        <f t="shared" si="2"/>
        <v>4Q2010</v>
      </c>
      <c r="J50" s="146">
        <f>Returns!C55</f>
        <v>3.8307621655095936E-2</v>
      </c>
      <c r="K50" s="147">
        <f t="shared" si="3"/>
        <v>3.7107621655095936E-2</v>
      </c>
      <c r="L50" s="282">
        <f>((K50+1)*(K49+1)*(K48+1)*(K47+1))-1</f>
        <v>7.9027819208806305E-2</v>
      </c>
      <c r="M50" s="152">
        <f>Returns!U55</f>
        <v>6.1231542828701802E-2</v>
      </c>
      <c r="N50" s="147">
        <f t="shared" si="9"/>
        <v>6.0031542828701802E-2</v>
      </c>
      <c r="O50" s="282">
        <f>((N50+1)*(N49+1)*(N48+1)*(N47+1))-1</f>
        <v>0.13851776575502872</v>
      </c>
      <c r="P50" s="146">
        <f>Returns!M55</f>
        <v>9.9930549224158671E-3</v>
      </c>
      <c r="Q50" s="147">
        <f t="shared" si="4"/>
        <v>8.7930549224158674E-3</v>
      </c>
      <c r="R50" s="282">
        <f>((Q50+1)*(Q49+1)*(Q48+1)*(Q47+1))-1</f>
        <v>5.5149477268986224E-2</v>
      </c>
      <c r="S50" s="720"/>
      <c r="U50" s="505" t="str">
        <f t="shared" si="5"/>
        <v>4Q2010</v>
      </c>
      <c r="V50" s="715">
        <f>Returns!E55</f>
        <v>3.0559586569831421E-2</v>
      </c>
      <c r="W50" s="715">
        <f t="shared" si="11"/>
        <v>8.7262532364980883E-3</v>
      </c>
      <c r="X50" s="282">
        <f>((W50+1)*(W49+1)*(W48+1)*(W47+1))-1</f>
        <v>2.6289705154858289E-3</v>
      </c>
      <c r="Z50" s="505" t="str">
        <f t="shared" si="6"/>
        <v>4Q2010</v>
      </c>
      <c r="AA50" s="715">
        <f>Returns!V55</f>
        <v>2.7920965571710709E-2</v>
      </c>
      <c r="AB50" s="715">
        <f t="shared" si="12"/>
        <v>1.794096557171071E-2</v>
      </c>
      <c r="AC50" s="282">
        <f>((AB50+1)*(AB49+1)*(AB48+1)*(AB47+1))-1</f>
        <v>5.6774801657579532E-2</v>
      </c>
      <c r="AE50" s="505" t="str">
        <f t="shared" si="7"/>
        <v>4Q2010</v>
      </c>
      <c r="AF50" s="715">
        <f>Returns!N55</f>
        <v>2.7798058271544499E-2</v>
      </c>
      <c r="AG50" s="715">
        <f t="shared" si="8"/>
        <v>1.7593388271544497E-2</v>
      </c>
      <c r="AH50" s="282">
        <f>((AG50+1)*(AG49+1)*(AG48+1)*(AG47+1))-1</f>
        <v>0.10018215847760636</v>
      </c>
    </row>
    <row r="51" spans="1:34" ht="15">
      <c r="A51" s="337" t="s">
        <v>30</v>
      </c>
      <c r="B51" s="141">
        <f>'CPI+exchange rates'!L56</f>
        <v>0.09</v>
      </c>
      <c r="C51" s="133">
        <f t="shared" si="1"/>
        <v>8.9999999999999998E-4</v>
      </c>
      <c r="D51" s="141">
        <f t="shared" si="0"/>
        <v>1.0008999999999999</v>
      </c>
      <c r="E51" s="133">
        <v>2.24E-2</v>
      </c>
      <c r="F51" s="133">
        <v>9.1800000000000007E-3</v>
      </c>
      <c r="G51" s="133">
        <v>1.093133E-2</v>
      </c>
      <c r="I51" s="505" t="str">
        <f t="shared" si="2"/>
        <v>1Q2011</v>
      </c>
      <c r="J51" s="146">
        <f>Returns!C56</f>
        <v>4.5711627495188756E-2</v>
      </c>
      <c r="K51" s="147">
        <f t="shared" si="3"/>
        <v>4.4811627495188758E-2</v>
      </c>
      <c r="L51" s="282"/>
      <c r="M51" s="152">
        <f>Returns!U56</f>
        <v>5.4915832433081624E-2</v>
      </c>
      <c r="N51" s="147">
        <f t="shared" si="9"/>
        <v>5.4015832433081626E-2</v>
      </c>
      <c r="O51" s="282"/>
      <c r="P51" s="146">
        <f>Returns!M56</f>
        <v>6.7314308550062041E-2</v>
      </c>
      <c r="Q51" s="147">
        <f t="shared" si="4"/>
        <v>6.6414308550062043E-2</v>
      </c>
      <c r="R51" s="282"/>
      <c r="S51" s="720"/>
      <c r="U51" s="505" t="str">
        <f t="shared" si="5"/>
        <v>1Q2011</v>
      </c>
      <c r="V51" s="715">
        <f>Returns!E56</f>
        <v>-4.7973685339336696E-3</v>
      </c>
      <c r="W51" s="715">
        <f t="shared" si="11"/>
        <v>-2.7197368533933668E-2</v>
      </c>
      <c r="Z51" s="505" t="str">
        <f t="shared" si="6"/>
        <v>1Q2011</v>
      </c>
      <c r="AA51" s="715">
        <f>Returns!V56</f>
        <v>3.2727193679142987E-2</v>
      </c>
      <c r="AB51" s="715">
        <f t="shared" si="12"/>
        <v>2.3547193679142986E-2</v>
      </c>
      <c r="AE51" s="505" t="str">
        <f t="shared" si="7"/>
        <v>1Q2011</v>
      </c>
      <c r="AF51" s="715">
        <f>Returns!N56</f>
        <v>8.9890723103776098E-3</v>
      </c>
      <c r="AG51" s="715">
        <f t="shared" si="8"/>
        <v>-1.9422576896223898E-3</v>
      </c>
    </row>
    <row r="52" spans="1:34" ht="15">
      <c r="A52" s="337" t="s">
        <v>31</v>
      </c>
      <c r="B52" s="141">
        <f>'CPI+exchange rates'!L57</f>
        <v>0.03</v>
      </c>
      <c r="C52" s="133">
        <f t="shared" si="1"/>
        <v>2.9999999999999997E-4</v>
      </c>
      <c r="D52" s="141">
        <f t="shared" si="0"/>
        <v>1.0003</v>
      </c>
      <c r="E52" s="133">
        <v>2.3333333333333334E-2</v>
      </c>
      <c r="F52" s="133">
        <v>9.1500000000000001E-3</v>
      </c>
      <c r="G52" s="133">
        <v>1.411633E-2</v>
      </c>
      <c r="I52" s="505" t="str">
        <f t="shared" si="2"/>
        <v>2Q2011</v>
      </c>
      <c r="J52" s="146">
        <f>Returns!C57</f>
        <v>1.6233376975580471E-2</v>
      </c>
      <c r="K52" s="147">
        <f t="shared" si="3"/>
        <v>1.593337697558047E-2</v>
      </c>
      <c r="L52" s="282"/>
      <c r="M52" s="152">
        <f>Returns!U57</f>
        <v>1.6048596239324642E-2</v>
      </c>
      <c r="N52" s="147">
        <f t="shared" si="9"/>
        <v>1.574859623932464E-2</v>
      </c>
      <c r="O52" s="282"/>
      <c r="P52" s="146">
        <f>Returns!M57</f>
        <v>2.978164295389929E-2</v>
      </c>
      <c r="Q52" s="147">
        <f t="shared" si="4"/>
        <v>2.9481642953899288E-2</v>
      </c>
      <c r="R52" s="282"/>
      <c r="S52" s="720"/>
      <c r="U52" s="505" t="str">
        <f t="shared" si="5"/>
        <v>2Q2011</v>
      </c>
      <c r="V52" s="715">
        <f>Returns!E57</f>
        <v>-1.4317463281307381E-2</v>
      </c>
      <c r="W52" s="715">
        <f t="shared" si="11"/>
        <v>-3.7650796614640714E-2</v>
      </c>
      <c r="Z52" s="505" t="str">
        <f t="shared" si="6"/>
        <v>2Q2011</v>
      </c>
      <c r="AA52" s="715">
        <f>Returns!V57</f>
        <v>8.0580829921071285E-3</v>
      </c>
      <c r="AB52" s="715">
        <f t="shared" si="12"/>
        <v>-1.0919170078928717E-3</v>
      </c>
      <c r="AE52" s="505" t="str">
        <f t="shared" si="7"/>
        <v>2Q2011</v>
      </c>
      <c r="AF52" s="715">
        <f>Returns!N57</f>
        <v>7.9415717520550707E-3</v>
      </c>
      <c r="AG52" s="715">
        <f t="shared" si="8"/>
        <v>-6.1747582479449292E-3</v>
      </c>
    </row>
    <row r="53" spans="1:34" ht="15">
      <c r="A53" s="337" t="s">
        <v>32</v>
      </c>
      <c r="B53" s="141">
        <f>'CPI+exchange rates'!L58</f>
        <v>0.02</v>
      </c>
      <c r="C53" s="133">
        <f t="shared" si="1"/>
        <v>2.0000000000000001E-4</v>
      </c>
      <c r="D53" s="141">
        <f t="shared" si="0"/>
        <v>1.0002</v>
      </c>
      <c r="E53" s="133">
        <v>2.173333333333333E-2</v>
      </c>
      <c r="F53" s="133">
        <v>8.6800000000000002E-3</v>
      </c>
      <c r="G53" s="133">
        <v>1.5620670000000001E-2</v>
      </c>
      <c r="I53" s="505" t="str">
        <f t="shared" si="2"/>
        <v>3Q2011</v>
      </c>
      <c r="J53" s="146">
        <f>Returns!C58</f>
        <v>-0.12665855641056489</v>
      </c>
      <c r="K53" s="147">
        <f t="shared" si="3"/>
        <v>-0.1268585564105649</v>
      </c>
      <c r="L53" s="282"/>
      <c r="M53" s="152">
        <f>Returns!U58</f>
        <v>-8.1796735840098833E-2</v>
      </c>
      <c r="N53" s="147">
        <f t="shared" si="9"/>
        <v>-8.1996735840098839E-2</v>
      </c>
      <c r="O53" s="282"/>
      <c r="P53" s="146">
        <f>Returns!M58</f>
        <v>-0.10143781305154509</v>
      </c>
      <c r="Q53" s="147">
        <f t="shared" si="4"/>
        <v>-0.1016378130515451</v>
      </c>
      <c r="R53" s="282"/>
      <c r="S53" s="720"/>
      <c r="U53" s="505" t="str">
        <f t="shared" si="5"/>
        <v>3Q2011</v>
      </c>
      <c r="V53" s="715">
        <f>Returns!E58</f>
        <v>-4.4369509488752255E-2</v>
      </c>
      <c r="W53" s="715">
        <f t="shared" si="11"/>
        <v>-6.6102842822085589E-2</v>
      </c>
      <c r="Z53" s="505" t="str">
        <f t="shared" si="6"/>
        <v>3Q2011</v>
      </c>
      <c r="AA53" s="715">
        <f>Returns!V58</f>
        <v>-8.5859378118070279E-3</v>
      </c>
      <c r="AB53" s="715">
        <f t="shared" si="12"/>
        <v>-1.7265937811807026E-2</v>
      </c>
      <c r="AE53" s="505" t="str">
        <f t="shared" si="7"/>
        <v>3Q2011</v>
      </c>
      <c r="AF53" s="715">
        <f>Returns!N58</f>
        <v>-2.90084847149913E-2</v>
      </c>
      <c r="AG53" s="715">
        <f t="shared" si="8"/>
        <v>-4.46291547149913E-2</v>
      </c>
    </row>
    <row r="54" spans="1:34" ht="15">
      <c r="A54" s="337" t="s">
        <v>33</v>
      </c>
      <c r="B54" s="141">
        <f>'CPI+exchange rates'!L59</f>
        <v>0.02</v>
      </c>
      <c r="C54" s="133">
        <f t="shared" si="1"/>
        <v>2.0000000000000001E-4</v>
      </c>
      <c r="D54" s="141">
        <f t="shared" si="0"/>
        <v>1.0002</v>
      </c>
      <c r="E54" s="133">
        <v>1.8000000000000002E-2</v>
      </c>
      <c r="F54" s="133">
        <v>8.26E-3</v>
      </c>
      <c r="G54" s="133">
        <v>1.4955670000000001E-2</v>
      </c>
      <c r="I54" s="505" t="str">
        <f t="shared" si="2"/>
        <v>4Q2011</v>
      </c>
      <c r="J54" s="146">
        <f>Returns!C59</f>
        <v>3.2227419324049267E-2</v>
      </c>
      <c r="K54" s="147">
        <f t="shared" si="3"/>
        <v>3.2027419324049268E-2</v>
      </c>
      <c r="L54" s="282">
        <f>((K54+1)*(K53+1)*(K52+1)*(K51+1))-1</f>
        <v>-4.351301657217066E-2</v>
      </c>
      <c r="M54" s="152">
        <f>Returns!U59</f>
        <v>4.3758284463026431E-2</v>
      </c>
      <c r="N54" s="147">
        <f t="shared" si="9"/>
        <v>4.3558284463026432E-2</v>
      </c>
      <c r="O54" s="282">
        <f>((N54+1)*(N53+1)*(N52+1)*(N51+1))-1</f>
        <v>2.5638466991357634E-2</v>
      </c>
      <c r="P54" s="146">
        <f>Returns!M59</f>
        <v>1.2227752166667605E-2</v>
      </c>
      <c r="Q54" s="147">
        <f t="shared" si="4"/>
        <v>1.2027752166667604E-2</v>
      </c>
      <c r="R54" s="282">
        <f>((Q54+1)*(Q53+1)*(Q52+1)*(Q51+1))-1</f>
        <v>-1.8669036469597389E-3</v>
      </c>
      <c r="S54" s="720"/>
      <c r="U54" s="505" t="str">
        <f t="shared" si="5"/>
        <v>4Q2011</v>
      </c>
      <c r="V54" s="715">
        <f>Returns!E59</f>
        <v>4.9272973455111453E-2</v>
      </c>
      <c r="W54" s="715">
        <f t="shared" si="11"/>
        <v>3.1272973455111451E-2</v>
      </c>
      <c r="X54" s="282">
        <f>((W54+1)*(W53+1)*(W52+1)*(W51+1))-1</f>
        <v>-9.8366337749112409E-2</v>
      </c>
      <c r="Z54" s="505" t="str">
        <f t="shared" si="6"/>
        <v>4Q2011</v>
      </c>
      <c r="AA54" s="715">
        <f>Returns!V59</f>
        <v>1.9919267937696512E-2</v>
      </c>
      <c r="AB54" s="715">
        <f t="shared" si="12"/>
        <v>1.1659267937696512E-2</v>
      </c>
      <c r="AC54" s="282">
        <f>((AB54+1)*(AB53+1)*(AB52+1)*(AB51+1))-1</f>
        <v>1.6491316598584271E-2</v>
      </c>
      <c r="AE54" s="505" t="str">
        <f t="shared" si="7"/>
        <v>4Q2011</v>
      </c>
      <c r="AF54" s="715">
        <f>Returns!N59</f>
        <v>4.6185838412731897E-2</v>
      </c>
      <c r="AG54" s="715">
        <f t="shared" si="8"/>
        <v>3.1230168412731896E-2</v>
      </c>
      <c r="AH54" s="282">
        <f>((AG54+1)*(AG53+1)*(AG52+1)*(AG51+1))-1</f>
        <v>-2.2777889607671686E-2</v>
      </c>
    </row>
    <row r="55" spans="1:34" ht="15">
      <c r="A55" s="337" t="s">
        <v>34</v>
      </c>
      <c r="B55" s="141">
        <f>'CPI+exchange rates'!L60</f>
        <v>7.0000000000000007E-2</v>
      </c>
      <c r="C55" s="133">
        <f t="shared" si="1"/>
        <v>7.000000000000001E-4</v>
      </c>
      <c r="D55" s="141">
        <f t="shared" si="0"/>
        <v>1.0006999999999999</v>
      </c>
      <c r="E55" s="133">
        <v>1.6033333333333333E-2</v>
      </c>
      <c r="F55" s="133">
        <v>9.2600000000000009E-3</v>
      </c>
      <c r="G55" s="133">
        <v>1.043E-2</v>
      </c>
      <c r="I55" s="505" t="str">
        <f t="shared" si="2"/>
        <v>1Q2012</v>
      </c>
      <c r="J55" s="146">
        <f>Returns!C60</f>
        <v>8.4757952615789334E-2</v>
      </c>
      <c r="K55" s="147">
        <f t="shared" si="3"/>
        <v>8.4057952615789328E-2</v>
      </c>
      <c r="L55" s="282"/>
      <c r="M55" s="152">
        <f>Returns!U60</f>
        <v>6.1524451112405121E-2</v>
      </c>
      <c r="N55" s="147">
        <f t="shared" si="9"/>
        <v>6.0824451112405122E-2</v>
      </c>
      <c r="O55" s="282"/>
      <c r="P55" s="146">
        <f>Returns!M60</f>
        <v>8.5606856930382724E-2</v>
      </c>
      <c r="Q55" s="147">
        <f t="shared" si="4"/>
        <v>8.4906856930382718E-2</v>
      </c>
      <c r="R55" s="282"/>
      <c r="S55" s="720"/>
      <c r="U55" s="505" t="str">
        <f t="shared" si="5"/>
        <v>1Q2012</v>
      </c>
      <c r="V55" s="715">
        <f>Returns!E60</f>
        <v>3.6790455620119775E-2</v>
      </c>
      <c r="W55" s="715">
        <f t="shared" si="11"/>
        <v>2.0757122286786441E-2</v>
      </c>
      <c r="Z55" s="505" t="str">
        <f t="shared" si="6"/>
        <v>1Q2012</v>
      </c>
      <c r="AA55" s="715">
        <f>Returns!V60</f>
        <v>4.1925472785949748E-2</v>
      </c>
      <c r="AB55" s="715">
        <f t="shared" si="12"/>
        <v>3.2665472785949751E-2</v>
      </c>
      <c r="AE55" s="505" t="str">
        <f t="shared" si="7"/>
        <v>1Q2012</v>
      </c>
      <c r="AF55" s="715">
        <f>Returns!N60</f>
        <v>5.8256949329522502E-2</v>
      </c>
      <c r="AG55" s="715">
        <f t="shared" si="8"/>
        <v>4.78269493295225E-2</v>
      </c>
    </row>
    <row r="56" spans="1:34" ht="15">
      <c r="A56" s="337" t="s">
        <v>35</v>
      </c>
      <c r="B56" s="141">
        <f>'CPI+exchange rates'!L61</f>
        <v>0.09</v>
      </c>
      <c r="C56" s="133">
        <f t="shared" si="1"/>
        <v>8.9999999999999998E-4</v>
      </c>
      <c r="D56" s="141">
        <f t="shared" si="0"/>
        <v>1.0008999999999999</v>
      </c>
      <c r="E56" s="133">
        <v>1.5299999999999999E-2</v>
      </c>
      <c r="F56" s="133">
        <v>9.0200000000000002E-3</v>
      </c>
      <c r="G56" s="133">
        <v>6.9603340000000003E-3</v>
      </c>
      <c r="I56" s="505" t="str">
        <f t="shared" si="2"/>
        <v>2Q2012</v>
      </c>
      <c r="J56" s="146">
        <f>Returns!C61</f>
        <v>-4.2563545352649501E-2</v>
      </c>
      <c r="K56" s="147">
        <f t="shared" si="3"/>
        <v>-4.3463545352649499E-2</v>
      </c>
      <c r="L56" s="282"/>
      <c r="M56" s="152">
        <f>Returns!U61</f>
        <v>-1.5224825335710568E-2</v>
      </c>
      <c r="N56" s="147">
        <f t="shared" si="9"/>
        <v>-1.6124825335710569E-2</v>
      </c>
      <c r="O56" s="282"/>
      <c r="P56" s="146">
        <f>Returns!M61</f>
        <v>-4.6180629183128374E-2</v>
      </c>
      <c r="Q56" s="147">
        <f t="shared" si="4"/>
        <v>-4.7080629183128372E-2</v>
      </c>
      <c r="R56" s="282"/>
      <c r="S56" s="720"/>
      <c r="U56" s="505" t="str">
        <f t="shared" si="5"/>
        <v>2Q2012</v>
      </c>
      <c r="V56" s="715">
        <f>Returns!E61</f>
        <v>-2.2119138456985358E-3</v>
      </c>
      <c r="W56" s="715">
        <f t="shared" si="11"/>
        <v>-1.7511913845698536E-2</v>
      </c>
      <c r="Z56" s="505" t="str">
        <f t="shared" si="6"/>
        <v>2Q2012</v>
      </c>
      <c r="AA56" s="715">
        <f>Returns!V61</f>
        <v>4.4815166456650219E-3</v>
      </c>
      <c r="AB56" s="715">
        <f t="shared" si="12"/>
        <v>-4.5384833543349783E-3</v>
      </c>
      <c r="AE56" s="505" t="str">
        <f t="shared" si="7"/>
        <v>2Q2012</v>
      </c>
      <c r="AF56" s="715">
        <f>Returns!N61</f>
        <v>9.0699386000863704E-4</v>
      </c>
      <c r="AG56" s="715">
        <f t="shared" si="8"/>
        <v>-6.0533401399913631E-3</v>
      </c>
    </row>
    <row r="57" spans="1:34" ht="15">
      <c r="A57" s="337" t="s">
        <v>36</v>
      </c>
      <c r="B57" s="141">
        <f>'CPI+exchange rates'!L62</f>
        <v>0.1</v>
      </c>
      <c r="C57" s="133">
        <f t="shared" si="1"/>
        <v>1E-3</v>
      </c>
      <c r="D57" s="141">
        <f t="shared" si="0"/>
        <v>1.0009999999999999</v>
      </c>
      <c r="E57" s="133">
        <v>1.4900000000000002E-2</v>
      </c>
      <c r="F57" s="133">
        <v>0.01</v>
      </c>
      <c r="G57" s="133">
        <v>3.5856670000000003E-3</v>
      </c>
      <c r="I57" s="505" t="str">
        <f t="shared" si="2"/>
        <v>3Q2012</v>
      </c>
      <c r="J57" s="146">
        <f>Returns!C62</f>
        <v>6.1883850340186841E-2</v>
      </c>
      <c r="K57" s="147">
        <f t="shared" si="3"/>
        <v>6.088385034018684E-2</v>
      </c>
      <c r="L57" s="282"/>
      <c r="M57" s="152">
        <f>Returns!U62</f>
        <v>5.4691416092790934E-2</v>
      </c>
      <c r="N57" s="147">
        <f t="shared" si="9"/>
        <v>5.3691416092790933E-2</v>
      </c>
      <c r="O57" s="282"/>
      <c r="P57" s="146">
        <f>Returns!M62</f>
        <v>6.2371966303622184E-2</v>
      </c>
      <c r="Q57" s="147">
        <f t="shared" si="4"/>
        <v>6.1371966303622183E-2</v>
      </c>
      <c r="R57" s="282"/>
      <c r="S57" s="720"/>
      <c r="U57" s="505" t="str">
        <f t="shared" si="5"/>
        <v>3Q2012</v>
      </c>
      <c r="V57" s="715">
        <f>Returns!E62</f>
        <v>2.2646782532866956E-2</v>
      </c>
      <c r="W57" s="715">
        <f t="shared" si="11"/>
        <v>7.7467825328669544E-3</v>
      </c>
      <c r="Z57" s="505" t="str">
        <f t="shared" si="6"/>
        <v>3Q2012</v>
      </c>
      <c r="AA57" s="715">
        <f>Returns!V62</f>
        <v>1.7964214884988627E-2</v>
      </c>
      <c r="AB57" s="715">
        <f t="shared" si="12"/>
        <v>7.9642148849886265E-3</v>
      </c>
      <c r="AE57" s="505" t="str">
        <f t="shared" si="7"/>
        <v>3Q2012</v>
      </c>
      <c r="AF57" s="715">
        <f>Returns!N62</f>
        <v>4.7962370793199899E-2</v>
      </c>
      <c r="AG57" s="715">
        <f t="shared" si="8"/>
        <v>4.4376703793199898E-2</v>
      </c>
    </row>
    <row r="58" spans="1:34" ht="15">
      <c r="A58" s="337" t="s">
        <v>37</v>
      </c>
      <c r="B58" s="141">
        <f>'CPI+exchange rates'!L63</f>
        <v>0.05</v>
      </c>
      <c r="C58" s="133">
        <f t="shared" si="1"/>
        <v>5.0000000000000001E-4</v>
      </c>
      <c r="D58" s="141">
        <f t="shared" si="0"/>
        <v>1.0004999999999999</v>
      </c>
      <c r="E58" s="133">
        <v>1.5666666666666666E-2</v>
      </c>
      <c r="F58" s="133">
        <v>9.7999999999999997E-3</v>
      </c>
      <c r="G58" s="133">
        <v>1.9513330000000002E-3</v>
      </c>
      <c r="I58" s="505" t="str">
        <f t="shared" si="2"/>
        <v>4Q2012</v>
      </c>
      <c r="J58" s="146">
        <f>Returns!C63</f>
        <v>3.6335863211270469E-2</v>
      </c>
      <c r="K58" s="147">
        <f t="shared" si="3"/>
        <v>3.5835863211270469E-2</v>
      </c>
      <c r="L58" s="282">
        <f>((K58+1)*(K57+1)*(K56+1)*(K55+1))-1</f>
        <v>0.13949600637628223</v>
      </c>
      <c r="M58" s="152">
        <f>Returns!U63</f>
        <v>1.6200992159832728E-2</v>
      </c>
      <c r="N58" s="147">
        <f t="shared" si="9"/>
        <v>1.5700992159832727E-2</v>
      </c>
      <c r="O58" s="282">
        <f>((N58+1)*(N57+1)*(N56+1)*(N55+1))-1</f>
        <v>0.1170248699789378</v>
      </c>
      <c r="P58" s="146">
        <f>Returns!M63</f>
        <v>4.9865907564982992E-2</v>
      </c>
      <c r="Q58" s="147">
        <f t="shared" si="4"/>
        <v>4.9365907564982991E-2</v>
      </c>
      <c r="R58" s="282">
        <f>((Q58+1)*(Q57+1)*(Q56+1)*(Q55+1))-1</f>
        <v>0.15144493149932958</v>
      </c>
      <c r="S58" s="720"/>
      <c r="U58" s="505" t="str">
        <f t="shared" si="5"/>
        <v>4Q2012</v>
      </c>
      <c r="V58" s="715">
        <f>Returns!E63</f>
        <v>7.4532145640937948E-3</v>
      </c>
      <c r="W58" s="715">
        <f t="shared" si="11"/>
        <v>-8.2134521025728699E-3</v>
      </c>
      <c r="X58" s="282">
        <f>((W58+1)*(W57+1)*(W56+1)*(W55+1))-1</f>
        <v>2.3498859428190411E-3</v>
      </c>
      <c r="Z58" s="505" t="str">
        <f t="shared" si="6"/>
        <v>4Q2012</v>
      </c>
      <c r="AA58" s="715">
        <f>Returns!V63</f>
        <v>2.8336122662274948E-2</v>
      </c>
      <c r="AB58" s="715">
        <f t="shared" si="12"/>
        <v>1.8536122662274949E-2</v>
      </c>
      <c r="AC58" s="282">
        <f>((AB58+1)*(AB57+1)*(AB56+1)*(AB55+1))-1</f>
        <v>5.5372277312044638E-2</v>
      </c>
      <c r="AE58" s="505" t="str">
        <f t="shared" si="7"/>
        <v>4Q2012</v>
      </c>
      <c r="AF58" s="715">
        <f>Returns!N63</f>
        <v>2.44628433937626E-2</v>
      </c>
      <c r="AG58" s="715">
        <f t="shared" si="8"/>
        <v>2.2511510393762601E-2</v>
      </c>
      <c r="AH58" s="282">
        <f>((AG58+1)*(AG57+1)*(AG56+1)*(AG55+1))-1</f>
        <v>0.11218753639580981</v>
      </c>
    </row>
    <row r="59" spans="1:34" ht="15">
      <c r="A59" s="337" t="s">
        <v>38</v>
      </c>
      <c r="B59" s="141">
        <f>'CPI+exchange rates'!L64</f>
        <v>7.0000000000000007E-2</v>
      </c>
      <c r="C59" s="133">
        <f t="shared" si="1"/>
        <v>7.000000000000001E-4</v>
      </c>
      <c r="D59" s="141">
        <f t="shared" si="0"/>
        <v>1.0006999999999999</v>
      </c>
      <c r="E59" s="133">
        <v>1.5966666666666667E-2</v>
      </c>
      <c r="F59" s="133">
        <v>9.7800000000000005E-3</v>
      </c>
      <c r="G59" s="133">
        <v>2.1146670000000002E-3</v>
      </c>
      <c r="I59" s="505" t="str">
        <f t="shared" si="2"/>
        <v>1Q2013</v>
      </c>
      <c r="J59" s="146">
        <f>Returns!C64</f>
        <v>2.7596859938547214E-2</v>
      </c>
      <c r="K59" s="147">
        <f t="shared" si="3"/>
        <v>2.6896859938547214E-2</v>
      </c>
      <c r="L59" s="282"/>
      <c r="M59" s="152">
        <f>Returns!U64</f>
        <v>2.244556210925297E-2</v>
      </c>
      <c r="N59" s="147">
        <f t="shared" si="9"/>
        <v>2.1745562109252971E-2</v>
      </c>
      <c r="O59" s="282"/>
      <c r="P59" s="146">
        <f>Returns!M64</f>
        <v>8.7694412746850414E-3</v>
      </c>
      <c r="Q59" s="147">
        <f t="shared" si="4"/>
        <v>8.0694412746850422E-3</v>
      </c>
      <c r="R59" s="282"/>
      <c r="S59" s="720"/>
      <c r="U59" s="505" t="str">
        <f t="shared" si="5"/>
        <v>1Q2013</v>
      </c>
      <c r="V59" s="715">
        <f>Returns!E64</f>
        <v>7.6943297352603371E-2</v>
      </c>
      <c r="W59" s="715">
        <f t="shared" si="11"/>
        <v>6.09766306859367E-2</v>
      </c>
      <c r="Z59" s="505" t="str">
        <f t="shared" si="6"/>
        <v>1Q2013</v>
      </c>
      <c r="AA59" s="715">
        <f>Returns!V64</f>
        <v>4.3239498669173183E-2</v>
      </c>
      <c r="AB59" s="715">
        <f t="shared" si="12"/>
        <v>3.3459498669173179E-2</v>
      </c>
      <c r="AE59" s="505" t="str">
        <f t="shared" si="7"/>
        <v>1Q2013</v>
      </c>
      <c r="AF59" s="715">
        <f>Returns!N64</f>
        <v>3.5715799061705897E-2</v>
      </c>
      <c r="AG59" s="715">
        <f t="shared" si="8"/>
        <v>3.3601132061705896E-2</v>
      </c>
    </row>
    <row r="60" spans="1:34" ht="15">
      <c r="A60" s="337" t="s">
        <v>39</v>
      </c>
      <c r="B60" s="141">
        <f>'CPI+exchange rates'!L65</f>
        <v>0.04</v>
      </c>
      <c r="C60" s="133">
        <f t="shared" si="1"/>
        <v>4.0000000000000002E-4</v>
      </c>
      <c r="D60" s="141">
        <f t="shared" si="0"/>
        <v>1.0004</v>
      </c>
      <c r="E60" s="133">
        <v>1.5133333333333334E-2</v>
      </c>
      <c r="F60" s="133">
        <v>1.0240000000000001E-2</v>
      </c>
      <c r="G60" s="133">
        <v>2.068E-3</v>
      </c>
      <c r="I60" s="505" t="str">
        <f t="shared" si="2"/>
        <v>2Q2013</v>
      </c>
      <c r="J60" s="146">
        <f>Returns!C65</f>
        <v>-9.8375336375877698E-3</v>
      </c>
      <c r="K60" s="147">
        <f t="shared" si="3"/>
        <v>-1.0237533637587769E-2</v>
      </c>
      <c r="L60" s="282"/>
      <c r="M60" s="152">
        <f>Returns!U65</f>
        <v>-2.7150122727053416E-2</v>
      </c>
      <c r="N60" s="147">
        <f t="shared" si="9"/>
        <v>-2.7550122727053417E-2</v>
      </c>
      <c r="O60" s="282"/>
      <c r="P60" s="146">
        <f>Returns!M65</f>
        <v>-6.8760494217233736E-3</v>
      </c>
      <c r="Q60" s="147">
        <f t="shared" si="4"/>
        <v>-7.2760494217233738E-3</v>
      </c>
      <c r="R60" s="282"/>
      <c r="S60" s="720"/>
      <c r="U60" s="505" t="str">
        <f t="shared" si="5"/>
        <v>2Q2013</v>
      </c>
      <c r="V60" s="715">
        <f>Returns!E65</f>
        <v>3.6602062191548657E-2</v>
      </c>
      <c r="W60" s="715">
        <f t="shared" si="11"/>
        <v>2.1468728858215325E-2</v>
      </c>
      <c r="Z60" s="505" t="str">
        <f t="shared" si="6"/>
        <v>2Q2013</v>
      </c>
      <c r="AA60" s="715">
        <f>Returns!V65</f>
        <v>1.0195362005113439E-2</v>
      </c>
      <c r="AB60" s="715">
        <f t="shared" si="12"/>
        <v>-4.4637994886562171E-5</v>
      </c>
      <c r="AE60" s="505" t="str">
        <f t="shared" si="7"/>
        <v>2Q2013</v>
      </c>
      <c r="AF60" s="715">
        <f>Returns!N65</f>
        <v>-1.8909494554289401E-2</v>
      </c>
      <c r="AG60" s="715">
        <f t="shared" si="8"/>
        <v>-2.0977494554289402E-2</v>
      </c>
    </row>
    <row r="61" spans="1:34" ht="15">
      <c r="A61" s="337" t="s">
        <v>40</v>
      </c>
      <c r="B61" s="141">
        <f>'CPI+exchange rates'!L66</f>
        <v>0.02</v>
      </c>
      <c r="C61" s="133">
        <f t="shared" si="1"/>
        <v>2.0000000000000001E-4</v>
      </c>
      <c r="D61" s="141">
        <f t="shared" si="0"/>
        <v>1.0002</v>
      </c>
      <c r="E61" s="133">
        <v>1.4999999999999999E-2</v>
      </c>
      <c r="F61" s="133">
        <v>9.8600000000000007E-3</v>
      </c>
      <c r="G61" s="133">
        <v>2.235E-3</v>
      </c>
      <c r="I61" s="505" t="str">
        <f t="shared" si="2"/>
        <v>3Q2013</v>
      </c>
      <c r="J61" s="146">
        <f>Returns!C66</f>
        <v>7.3295153074385277E-2</v>
      </c>
      <c r="K61" s="147">
        <f t="shared" si="3"/>
        <v>7.3095153074385272E-2</v>
      </c>
      <c r="L61" s="282"/>
      <c r="M61" s="152">
        <f>Returns!U66</f>
        <v>4.3921207811157714E-2</v>
      </c>
      <c r="N61" s="147">
        <f t="shared" si="9"/>
        <v>4.3721207811157715E-2</v>
      </c>
      <c r="O61" s="282"/>
      <c r="P61" s="146">
        <f>Returns!M66</f>
        <v>6.3122747785508526E-2</v>
      </c>
      <c r="Q61" s="147">
        <f t="shared" si="4"/>
        <v>6.292274778550852E-2</v>
      </c>
      <c r="R61" s="282"/>
      <c r="S61" s="720"/>
      <c r="U61" s="505" t="str">
        <f t="shared" si="5"/>
        <v>3Q2013</v>
      </c>
      <c r="V61" s="715">
        <f>Returns!E66</f>
        <v>5.7158944715097436E-2</v>
      </c>
      <c r="W61" s="715">
        <f t="shared" si="11"/>
        <v>4.2158944715097436E-2</v>
      </c>
      <c r="Z61" s="505" t="str">
        <f t="shared" si="6"/>
        <v>3Q2013</v>
      </c>
      <c r="AA61" s="715">
        <f>Returns!V66</f>
        <v>1.7153997354461464E-2</v>
      </c>
      <c r="AB61" s="715">
        <f t="shared" si="12"/>
        <v>7.2939973544614636E-3</v>
      </c>
      <c r="AE61" s="505" t="str">
        <f t="shared" si="7"/>
        <v>3Q2013</v>
      </c>
      <c r="AF61" s="715">
        <f>Returns!N66</f>
        <v>2.0868413751507699E-2</v>
      </c>
      <c r="AG61" s="715">
        <f t="shared" si="8"/>
        <v>1.8633413751507698E-2</v>
      </c>
    </row>
    <row r="62" spans="1:34" ht="15">
      <c r="A62" s="337" t="s">
        <v>41</v>
      </c>
      <c r="B62" s="141">
        <f>'CPI+exchange rates'!L67</f>
        <v>7.0000000000000007E-2</v>
      </c>
      <c r="C62" s="133">
        <f t="shared" si="1"/>
        <v>7.000000000000001E-4</v>
      </c>
      <c r="D62" s="141">
        <f t="shared" si="0"/>
        <v>1.0006999999999999</v>
      </c>
      <c r="E62" s="133">
        <v>1.4633333333333333E-2</v>
      </c>
      <c r="F62" s="133">
        <v>8.8800000000000007E-3</v>
      </c>
      <c r="G62" s="133">
        <v>2.4090000000000001E-3</v>
      </c>
      <c r="I62" s="505" t="str">
        <f t="shared" si="2"/>
        <v>4Q2013</v>
      </c>
      <c r="J62" s="146">
        <f>Returns!C67</f>
        <v>4.4698436545951292E-2</v>
      </c>
      <c r="K62" s="147">
        <f t="shared" si="3"/>
        <v>4.3998436545951293E-2</v>
      </c>
      <c r="L62" s="282">
        <f>((K62+1)*(K61+1)*(K60+1)*(K59+1))-1</f>
        <v>0.13866478061616916</v>
      </c>
      <c r="M62" s="152">
        <f>Returns!U67</f>
        <v>2.16336433648876E-2</v>
      </c>
      <c r="N62" s="147">
        <f t="shared" si="9"/>
        <v>2.0933643364887601E-2</v>
      </c>
      <c r="O62" s="282">
        <f>((N62+1)*(N61+1)*(N60+1)*(N59+1))-1</f>
        <v>5.8746553653110656E-2</v>
      </c>
      <c r="P62" s="146">
        <f>Returns!M67</f>
        <v>4.2149377427629586E-2</v>
      </c>
      <c r="Q62" s="147">
        <f t="shared" si="4"/>
        <v>4.1449377427629587E-2</v>
      </c>
      <c r="R62" s="282">
        <f>((Q62+1)*(Q61+1)*(Q60+1)*(Q59+1))-1</f>
        <v>0.10779350817996791</v>
      </c>
      <c r="S62" s="720"/>
      <c r="U62" s="505" t="str">
        <f t="shared" si="5"/>
        <v>4Q2013</v>
      </c>
      <c r="V62" s="715">
        <f>Returns!E67</f>
        <v>5.3835259551698801E-2</v>
      </c>
      <c r="W62" s="715">
        <f t="shared" si="11"/>
        <v>3.920192621836547E-2</v>
      </c>
      <c r="X62" s="282">
        <f>((W62+1)*(W61+1)*(W60+1)*(W59+1))-1</f>
        <v>0.17372079006089103</v>
      </c>
      <c r="Z62" s="505" t="str">
        <f t="shared" si="6"/>
        <v>4Q2013</v>
      </c>
      <c r="AA62" s="715">
        <f>Returns!V67</f>
        <v>5.6022712399253792E-2</v>
      </c>
      <c r="AB62" s="715">
        <f t="shared" si="12"/>
        <v>4.7142712399253793E-2</v>
      </c>
      <c r="AC62" s="282">
        <f>((AB62+1)*(AB61+1)*(AB60+1)*(AB59+1))-1</f>
        <v>9.0024338930790648E-2</v>
      </c>
      <c r="AE62" s="505" t="str">
        <f t="shared" si="7"/>
        <v>4Q2013</v>
      </c>
      <c r="AF62" s="715">
        <f>Returns!N67</f>
        <v>2.3772106929297199E-2</v>
      </c>
      <c r="AG62" s="715">
        <f t="shared" si="8"/>
        <v>2.1363106929297198E-2</v>
      </c>
      <c r="AH62" s="282">
        <f>((AG62+1)*(AG61+1)*(AG60+1)*(AG59+1))-1</f>
        <v>5.2794812038578609E-2</v>
      </c>
    </row>
    <row r="63" spans="1:34" ht="15">
      <c r="A63" s="337" t="s">
        <v>42</v>
      </c>
      <c r="B63" s="141">
        <f>'CPI+exchange rates'!L68</f>
        <v>0.05</v>
      </c>
      <c r="C63" s="133">
        <f t="shared" si="1"/>
        <v>5.0000000000000001E-4</v>
      </c>
      <c r="D63" s="141">
        <f t="shared" si="0"/>
        <v>1.0004999999999999</v>
      </c>
      <c r="E63" s="133">
        <v>1.3533333333333333E-2</v>
      </c>
      <c r="F63" s="133">
        <v>8.8000000000000005E-3</v>
      </c>
      <c r="G63" s="133">
        <v>2.951333E-3</v>
      </c>
      <c r="I63" s="505" t="str">
        <f t="shared" si="2"/>
        <v>1Q2014</v>
      </c>
      <c r="J63" s="146">
        <f>Returns!C68</f>
        <v>1.9311530179193293E-2</v>
      </c>
      <c r="K63" s="147">
        <f t="shared" si="3"/>
        <v>1.8811530179193292E-2</v>
      </c>
      <c r="L63" s="282"/>
      <c r="M63" s="152">
        <f>Returns!U68</f>
        <v>2.6732184381401236E-2</v>
      </c>
      <c r="N63" s="147">
        <f t="shared" si="9"/>
        <v>2.6232184381401236E-2</v>
      </c>
      <c r="O63" s="282"/>
      <c r="P63" s="146">
        <f>Returns!M68</f>
        <v>3.0799711349195125E-2</v>
      </c>
      <c r="Q63" s="147">
        <f t="shared" si="4"/>
        <v>3.0299711349195124E-2</v>
      </c>
      <c r="R63" s="282"/>
      <c r="S63" s="720"/>
      <c r="U63" s="505" t="str">
        <f t="shared" si="5"/>
        <v>1Q2014</v>
      </c>
      <c r="V63" s="715">
        <f>Returns!E68</f>
        <v>5.9040682989260585E-3</v>
      </c>
      <c r="W63" s="715">
        <f t="shared" si="11"/>
        <v>-7.6292650344072744E-3</v>
      </c>
      <c r="Z63" s="505" t="str">
        <f t="shared" si="6"/>
        <v>1Q2014</v>
      </c>
      <c r="AA63" s="715">
        <f>Returns!V68</f>
        <v>6.6593551539737922E-2</v>
      </c>
      <c r="AB63" s="715">
        <f t="shared" si="12"/>
        <v>5.779355153973792E-2</v>
      </c>
      <c r="AE63" s="505" t="str">
        <f t="shared" si="7"/>
        <v>1Q2014</v>
      </c>
      <c r="AF63" s="715">
        <f>Returns!N68</f>
        <v>3.05752897374445E-2</v>
      </c>
      <c r="AG63" s="715">
        <f t="shared" si="8"/>
        <v>2.7623956737444499E-2</v>
      </c>
    </row>
    <row r="64" spans="1:34" ht="15">
      <c r="A64" s="337" t="s">
        <v>43</v>
      </c>
      <c r="B64" s="141">
        <f>'CPI+exchange rates'!L69</f>
        <v>0.04</v>
      </c>
      <c r="C64" s="133">
        <f t="shared" si="1"/>
        <v>4.0000000000000002E-4</v>
      </c>
      <c r="D64" s="141">
        <f t="shared" si="0"/>
        <v>1.0004</v>
      </c>
      <c r="E64" s="133">
        <v>1.26E-2</v>
      </c>
      <c r="F64" s="133">
        <v>9.2800000000000001E-3</v>
      </c>
      <c r="G64" s="133">
        <v>2.985667E-3</v>
      </c>
      <c r="I64" s="505" t="str">
        <f t="shared" si="2"/>
        <v>2Q2014</v>
      </c>
      <c r="J64" s="146">
        <f>Returns!C69</f>
        <v>3.5569410329010953E-2</v>
      </c>
      <c r="K64" s="147">
        <f t="shared" si="3"/>
        <v>3.5169410329010956E-2</v>
      </c>
      <c r="L64" s="282"/>
      <c r="M64" s="152">
        <f>Returns!U69</f>
        <v>5.2243073260522799E-2</v>
      </c>
      <c r="N64" s="147">
        <f t="shared" si="9"/>
        <v>5.1843073260522801E-2</v>
      </c>
      <c r="O64" s="282"/>
      <c r="P64" s="146">
        <f>Returns!M69</f>
        <v>4.3393728757311401E-2</v>
      </c>
      <c r="Q64" s="147">
        <f t="shared" si="4"/>
        <v>4.2993728757311403E-2</v>
      </c>
      <c r="R64" s="282"/>
      <c r="S64" s="720"/>
      <c r="U64" s="505" t="str">
        <f t="shared" si="5"/>
        <v>2Q2014</v>
      </c>
      <c r="V64" s="715">
        <f>Returns!E69</f>
        <v>6.1384917881412246E-2</v>
      </c>
      <c r="W64" s="715">
        <f t="shared" si="11"/>
        <v>4.8784917881412246E-2</v>
      </c>
      <c r="Z64" s="505" t="str">
        <f t="shared" si="6"/>
        <v>2Q2014</v>
      </c>
      <c r="AA64" s="715">
        <f>Returns!V69</f>
        <v>1.5444357402895504E-2</v>
      </c>
      <c r="AB64" s="715">
        <f t="shared" si="12"/>
        <v>6.1643574028955039E-3</v>
      </c>
      <c r="AE64" s="505" t="str">
        <f t="shared" si="7"/>
        <v>2Q2014</v>
      </c>
      <c r="AF64" s="715">
        <f>Returns!N69</f>
        <v>5.0328039398318203E-2</v>
      </c>
      <c r="AG64" s="715">
        <f t="shared" si="8"/>
        <v>4.7342372398318205E-2</v>
      </c>
    </row>
    <row r="65" spans="1:34" ht="15">
      <c r="A65" s="337" t="s">
        <v>44</v>
      </c>
      <c r="B65" s="141">
        <f>'CPI+exchange rates'!L70</f>
        <v>0.02</v>
      </c>
      <c r="C65" s="133">
        <f t="shared" si="1"/>
        <v>2.0000000000000001E-4</v>
      </c>
      <c r="D65" s="141">
        <f t="shared" si="0"/>
        <v>1.0002</v>
      </c>
      <c r="E65" s="133">
        <v>1.1666666666666667E-2</v>
      </c>
      <c r="F65" s="133">
        <v>9.1800000000000007E-3</v>
      </c>
      <c r="G65" s="133">
        <v>1.6456670000000002E-3</v>
      </c>
      <c r="I65" s="505" t="str">
        <f t="shared" si="2"/>
        <v>3Q2014</v>
      </c>
      <c r="J65" s="146">
        <f>Returns!C70</f>
        <v>-4.1258899704833318E-2</v>
      </c>
      <c r="K65" s="147">
        <f t="shared" si="3"/>
        <v>-4.1458899704833317E-2</v>
      </c>
      <c r="L65" s="282"/>
      <c r="M65" s="152">
        <f>Returns!U70</f>
        <v>-1.5627784347121643E-2</v>
      </c>
      <c r="N65" s="147">
        <f t="shared" si="9"/>
        <v>-1.5827784347121641E-2</v>
      </c>
      <c r="O65" s="282"/>
      <c r="P65" s="146">
        <f>Returns!M70</f>
        <v>-5.0633333238247813E-2</v>
      </c>
      <c r="Q65" s="147">
        <f t="shared" si="4"/>
        <v>-5.0833333238247812E-2</v>
      </c>
      <c r="R65" s="282"/>
      <c r="S65" s="720"/>
      <c r="U65" s="505" t="str">
        <f t="shared" si="5"/>
        <v>3Q2014</v>
      </c>
      <c r="V65" s="715">
        <f>Returns!E70</f>
        <v>3.4963091636300652E-3</v>
      </c>
      <c r="W65" s="715">
        <f t="shared" si="11"/>
        <v>-8.1703575030366016E-3</v>
      </c>
      <c r="Z65" s="505" t="str">
        <f t="shared" si="6"/>
        <v>3Q2014</v>
      </c>
      <c r="AA65" s="715">
        <f>Returns!V70</f>
        <v>3.2798356666079186E-2</v>
      </c>
      <c r="AB65" s="715">
        <f t="shared" si="12"/>
        <v>2.3618356666079185E-2</v>
      </c>
      <c r="AE65" s="505" t="str">
        <f t="shared" si="7"/>
        <v>3Q2014</v>
      </c>
      <c r="AF65" s="715">
        <f>Returns!N70</f>
        <v>2.89536921994085E-2</v>
      </c>
      <c r="AG65" s="715">
        <f t="shared" si="8"/>
        <v>2.73080251994085E-2</v>
      </c>
    </row>
    <row r="66" spans="1:34" ht="15">
      <c r="A66" s="337" t="s">
        <v>45</v>
      </c>
      <c r="B66" s="141">
        <f>'CPI+exchange rates'!L71</f>
        <v>0.04</v>
      </c>
      <c r="C66" s="133">
        <f t="shared" si="1"/>
        <v>4.0000000000000002E-4</v>
      </c>
      <c r="D66" s="141">
        <f t="shared" si="0"/>
        <v>1.0004</v>
      </c>
      <c r="E66" s="133">
        <v>1.1933333333333332E-2</v>
      </c>
      <c r="F66" s="133">
        <v>9.1199999999999996E-3</v>
      </c>
      <c r="G66" s="133">
        <v>8.1466670000000004E-4</v>
      </c>
      <c r="I66" s="505" t="str">
        <f t="shared" si="2"/>
        <v>4Q2014</v>
      </c>
      <c r="J66" s="146">
        <f>Returns!C71</f>
        <v>-1.8198192988486461E-2</v>
      </c>
      <c r="K66" s="147">
        <f t="shared" si="3"/>
        <v>-1.8598192988486462E-2</v>
      </c>
      <c r="L66" s="282">
        <f>((K66+1)*(K65+1)*(K64+1)*(K63+1))-1</f>
        <v>-7.8830399850476907E-3</v>
      </c>
      <c r="M66" s="152">
        <f>Returns!U71</f>
        <v>-5.611753408553577E-3</v>
      </c>
      <c r="N66" s="147">
        <f t="shared" si="9"/>
        <v>-6.0117534085535771E-3</v>
      </c>
      <c r="O66" s="282">
        <f>((N66+1)*(N65+1)*(N64+1)*(N63+1))-1</f>
        <v>5.5963559786929018E-2</v>
      </c>
      <c r="P66" s="146">
        <f>Returns!M71</f>
        <v>-1.520305227740415E-2</v>
      </c>
      <c r="Q66" s="147">
        <f t="shared" si="4"/>
        <v>-1.5603052277404149E-2</v>
      </c>
      <c r="R66" s="282">
        <f>((Q66+1)*(Q65+1)*(Q64+1)*(Q63+1))-1</f>
        <v>4.0561758684580784E-3</v>
      </c>
      <c r="S66" s="720"/>
      <c r="U66" s="505" t="str">
        <f t="shared" si="5"/>
        <v>4Q2014</v>
      </c>
      <c r="V66" s="715">
        <f>Returns!E71</f>
        <v>0.14609912236334477</v>
      </c>
      <c r="W66" s="715">
        <f t="shared" si="11"/>
        <v>0.13416578903001145</v>
      </c>
      <c r="X66" s="282">
        <f>((W66+1)*(W65+1)*(W64+1)*(W63+1))-1</f>
        <v>0.17077653234541157</v>
      </c>
      <c r="Z66" s="505" t="str">
        <f t="shared" si="6"/>
        <v>4Q2014</v>
      </c>
      <c r="AA66" s="715">
        <f>Returns!V71</f>
        <v>3.0602824584620585E-2</v>
      </c>
      <c r="AB66" s="715">
        <f t="shared" si="12"/>
        <v>2.1482824584620586E-2</v>
      </c>
      <c r="AC66" s="282">
        <f>((AB66+1)*(AB65+1)*(AB64+1)*(AB63+1))-1</f>
        <v>0.11285601661192035</v>
      </c>
      <c r="AE66" s="505" t="str">
        <f t="shared" si="7"/>
        <v>4Q2014</v>
      </c>
      <c r="AF66" s="715">
        <f>Returns!N71</f>
        <v>2.80934339570744E-2</v>
      </c>
      <c r="AG66" s="715">
        <f t="shared" si="8"/>
        <v>2.7278767257074399E-2</v>
      </c>
      <c r="AH66" s="282">
        <f>((AG66+1)*(AG65+1)*(AG64+1)*(AG63+1))-1</f>
        <v>0.1358262124858356</v>
      </c>
    </row>
    <row r="67" spans="1:34" ht="15">
      <c r="A67" s="337" t="s">
        <v>46</v>
      </c>
      <c r="B67" s="141">
        <f>'CPI+exchange rates'!L72</f>
        <v>0.03</v>
      </c>
      <c r="C67" s="133">
        <f t="shared" ref="C67:C73" si="13">B67/100</f>
        <v>2.9999999999999997E-4</v>
      </c>
      <c r="D67" s="141">
        <f t="shared" ref="D67:D74" si="14">C67+1</f>
        <v>1.0003</v>
      </c>
      <c r="E67" s="133">
        <v>9.300000000000001E-3</v>
      </c>
      <c r="F67" s="133">
        <v>5.28E-3</v>
      </c>
      <c r="G67" s="133">
        <v>4.6033329999999999E-4</v>
      </c>
      <c r="I67" s="505" t="str">
        <f t="shared" si="2"/>
        <v>1Q2015</v>
      </c>
      <c r="J67" s="146">
        <f>Returns!C72</f>
        <v>1.0021297713558308E-2</v>
      </c>
      <c r="K67" s="147">
        <f t="shared" si="3"/>
        <v>9.7212977135583082E-3</v>
      </c>
      <c r="L67" s="282"/>
      <c r="M67" s="152">
        <f>Returns!U72</f>
        <v>-3.537745256251501E-3</v>
      </c>
      <c r="N67" s="147">
        <f t="shared" si="9"/>
        <v>-3.837745256251501E-3</v>
      </c>
      <c r="O67" s="282"/>
      <c r="P67" s="146">
        <f>Returns!M72</f>
        <v>-3.4508696680849216E-2</v>
      </c>
      <c r="Q67" s="147">
        <f t="shared" si="4"/>
        <v>-3.4808696680849217E-2</v>
      </c>
      <c r="R67" s="282"/>
      <c r="S67" s="720"/>
      <c r="U67" s="505" t="str">
        <f t="shared" si="5"/>
        <v>1Q2015</v>
      </c>
      <c r="V67" s="715">
        <f>Returns!E72</f>
        <v>8.5669670812910548E-2</v>
      </c>
      <c r="W67" s="715">
        <f t="shared" si="11"/>
        <v>7.6369670812910545E-2</v>
      </c>
      <c r="Z67" s="505" t="str">
        <f t="shared" si="6"/>
        <v>1Q2015</v>
      </c>
      <c r="AA67" s="715">
        <f>Returns!V72</f>
        <v>8.9591578357830881E-2</v>
      </c>
      <c r="AB67" s="715">
        <f t="shared" si="12"/>
        <v>8.4311578357830874E-2</v>
      </c>
      <c r="AE67" s="505" t="str">
        <f t="shared" si="7"/>
        <v>1Q2015</v>
      </c>
      <c r="AF67" s="715">
        <f>Returns!N72</f>
        <v>8.7796386099376705E-2</v>
      </c>
      <c r="AG67" s="715">
        <f t="shared" si="8"/>
        <v>8.7336052799376701E-2</v>
      </c>
    </row>
    <row r="68" spans="1:34" ht="15">
      <c r="A68" s="337" t="s">
        <v>4</v>
      </c>
      <c r="B68" s="141">
        <f>'CPI+exchange rates'!L73</f>
        <v>0.01</v>
      </c>
      <c r="C68" s="133">
        <f t="shared" si="13"/>
        <v>1E-4</v>
      </c>
      <c r="D68" s="141">
        <f t="shared" si="14"/>
        <v>1.0001</v>
      </c>
      <c r="E68" s="133">
        <v>9.3333333333333324E-3</v>
      </c>
      <c r="F68" s="133">
        <v>5.7599999999999995E-3</v>
      </c>
      <c r="G68" s="133">
        <v>-6.5333340000000003E-5</v>
      </c>
      <c r="I68" s="505" t="str">
        <f t="shared" ref="I68:I74" si="15">A68</f>
        <v>2Q2015</v>
      </c>
      <c r="J68" s="146">
        <f>Returns!C73</f>
        <v>5.5653241133761799E-3</v>
      </c>
      <c r="K68" s="147">
        <f t="shared" ref="K68:K74" si="16">J68-C68</f>
        <v>5.4653241133761797E-3</v>
      </c>
      <c r="L68" s="282"/>
      <c r="M68" s="152">
        <f>Returns!U73</f>
        <v>1.3817515039323824E-2</v>
      </c>
      <c r="N68" s="147">
        <f t="shared" ref="N68:N74" si="17">M68-C68</f>
        <v>1.3717515039323825E-2</v>
      </c>
      <c r="O68" s="282"/>
      <c r="P68" s="146">
        <f>Returns!M73</f>
        <v>-7.6731449612380542E-3</v>
      </c>
      <c r="Q68" s="147">
        <f t="shared" ref="Q68:Q73" si="18">P68-C68</f>
        <v>-7.7731449612380545E-3</v>
      </c>
      <c r="R68" s="282"/>
      <c r="S68" s="720"/>
      <c r="U68" s="505" t="str">
        <f t="shared" ref="U68:U74" si="19">I68</f>
        <v>2Q2015</v>
      </c>
      <c r="V68" s="715">
        <f>Returns!E73</f>
        <v>-1.8341354808603022E-2</v>
      </c>
      <c r="W68" s="715">
        <f t="shared" si="11"/>
        <v>-2.7674688141936354E-2</v>
      </c>
      <c r="Z68" s="505" t="str">
        <f t="shared" ref="Z68:Z74" si="20">U68</f>
        <v>2Q2015</v>
      </c>
      <c r="AA68" s="715">
        <f>Returns!V73</f>
        <v>-6.3128570797971986E-4</v>
      </c>
      <c r="AB68" s="715">
        <f t="shared" si="12"/>
        <v>-6.3912857079797191E-3</v>
      </c>
      <c r="AE68" s="505" t="str">
        <f t="shared" ref="AE68:AE74" si="21">Z68</f>
        <v>2Q2015</v>
      </c>
      <c r="AF68" s="715">
        <f>Returns!N73</f>
        <v>-4.3476242556845103E-2</v>
      </c>
      <c r="AG68" s="715">
        <f t="shared" ref="AG68:AG74" si="22">AF68-G68</f>
        <v>-4.3410909216845102E-2</v>
      </c>
    </row>
    <row r="69" spans="1:34" ht="15">
      <c r="A69" s="337" t="s">
        <v>0</v>
      </c>
      <c r="B69" s="141">
        <f>'CPI+exchange rates'!L74</f>
        <v>-0.01</v>
      </c>
      <c r="C69" s="133">
        <f t="shared" si="13"/>
        <v>-1E-4</v>
      </c>
      <c r="D69" s="141">
        <f t="shared" si="14"/>
        <v>0.99990000000000001</v>
      </c>
      <c r="E69" s="133">
        <v>7.899999999999999E-3</v>
      </c>
      <c r="F69" s="133">
        <v>4.13E-3</v>
      </c>
      <c r="G69" s="133">
        <v>-2.7799999999999998E-4</v>
      </c>
      <c r="I69" s="505" t="str">
        <f t="shared" si="15"/>
        <v>3Q2015</v>
      </c>
      <c r="J69" s="146">
        <f>Returns!C74</f>
        <v>-6.3282998485200581E-2</v>
      </c>
      <c r="K69" s="147">
        <f t="shared" si="16"/>
        <v>-6.3182998485200578E-2</v>
      </c>
      <c r="L69" s="282"/>
      <c r="M69" s="152">
        <f>Returns!U74</f>
        <v>-5.4488292303053965E-2</v>
      </c>
      <c r="N69" s="147">
        <f t="shared" si="17"/>
        <v>-5.4388292303053962E-2</v>
      </c>
      <c r="O69" s="282"/>
      <c r="P69" s="146">
        <f>Returns!M74</f>
        <v>-2.9219933775839646E-2</v>
      </c>
      <c r="Q69" s="147">
        <f>P69-C69</f>
        <v>-2.9119933775839647E-2</v>
      </c>
      <c r="R69" s="282"/>
      <c r="S69" s="720"/>
      <c r="U69" s="505" t="str">
        <f t="shared" si="19"/>
        <v>3Q2015</v>
      </c>
      <c r="V69" s="715">
        <f>Returns!E74</f>
        <v>1.559530002176544E-2</v>
      </c>
      <c r="W69" s="715">
        <f t="shared" si="11"/>
        <v>7.6953000217654405E-3</v>
      </c>
      <c r="Z69" s="505" t="str">
        <f t="shared" si="20"/>
        <v>3Q2015</v>
      </c>
      <c r="AA69" s="715">
        <f>Returns!V74</f>
        <v>1.5377104817410045E-2</v>
      </c>
      <c r="AB69" s="715">
        <f t="shared" si="12"/>
        <v>1.1247104817410045E-2</v>
      </c>
      <c r="AE69" s="505" t="str">
        <f t="shared" si="21"/>
        <v>3Q2015</v>
      </c>
      <c r="AF69" s="715">
        <f>Returns!N74</f>
        <v>-3.1002481560127599E-2</v>
      </c>
      <c r="AG69" s="715">
        <f t="shared" si="22"/>
        <v>-3.0724481560127598E-2</v>
      </c>
    </row>
    <row r="70" spans="1:34" ht="15">
      <c r="A70" s="337" t="s">
        <v>1</v>
      </c>
      <c r="B70" s="141">
        <f>'CPI+exchange rates'!L75</f>
        <v>0.16</v>
      </c>
      <c r="C70" s="133">
        <f t="shared" si="13"/>
        <v>1.6000000000000001E-3</v>
      </c>
      <c r="D70" s="141">
        <f t="shared" si="14"/>
        <v>1.0016</v>
      </c>
      <c r="E70" s="133">
        <v>6.2666666666666669E-3</v>
      </c>
      <c r="F70" s="133">
        <v>4.9699999999999996E-3</v>
      </c>
      <c r="G70" s="133">
        <v>-8.9166659999999993E-4</v>
      </c>
      <c r="I70" s="505" t="str">
        <f t="shared" si="15"/>
        <v>4Q2015</v>
      </c>
      <c r="J70" s="146">
        <f>Returns!C75</f>
        <v>2.2583010724084529E-2</v>
      </c>
      <c r="K70" s="147">
        <f t="shared" si="16"/>
        <v>2.0983010724084528E-2</v>
      </c>
      <c r="L70" s="282">
        <f>((K70+1)*(K69+1)*(K68+1)*(K67+1))-1</f>
        <v>-2.8949327167301364E-2</v>
      </c>
      <c r="M70" s="152">
        <f>Returns!U75</f>
        <v>7.6637953391380798E-3</v>
      </c>
      <c r="N70" s="147">
        <f t="shared" si="17"/>
        <v>6.0637953391380799E-3</v>
      </c>
      <c r="O70" s="282">
        <f>((N70+1)*(N69+1)*(N68+1)*(N67+1))-1</f>
        <v>-3.9305302857488567E-2</v>
      </c>
      <c r="P70" s="146">
        <f>Returns!M75</f>
        <v>-8.4123859932511147E-3</v>
      </c>
      <c r="Q70" s="147">
        <f t="shared" si="18"/>
        <v>-1.0012385993251115E-2</v>
      </c>
      <c r="R70" s="282">
        <f>((Q70+1)*(Q69+1)*(Q68+1)*(Q67+1))-1</f>
        <v>-7.9508626530529591E-2</v>
      </c>
      <c r="S70" s="720"/>
      <c r="U70" s="505" t="str">
        <f t="shared" si="19"/>
        <v>4Q2015</v>
      </c>
      <c r="V70" s="715">
        <f>Returns!E75</f>
        <v>6.1106697769357871E-2</v>
      </c>
      <c r="W70" s="715">
        <f t="shared" si="11"/>
        <v>5.48400311026912E-2</v>
      </c>
      <c r="X70" s="282">
        <f>((W70+1)*(W69+1)*(W68+1)*(W67+1))-1</f>
        <v>0.11247146335268798</v>
      </c>
      <c r="Z70" s="505" t="str">
        <f t="shared" si="20"/>
        <v>4Q2015</v>
      </c>
      <c r="AA70" s="715">
        <f>Returns!V75</f>
        <v>4.4041007015437304E-2</v>
      </c>
      <c r="AB70" s="715">
        <f t="shared" si="12"/>
        <v>3.9071007015437302E-2</v>
      </c>
      <c r="AC70" s="282">
        <f>((AB70+1)*(AB69+1)*(AB68+1)*(AB67+1))-1</f>
        <v>0.13206667258607685</v>
      </c>
      <c r="AE70" s="505" t="str">
        <f t="shared" si="21"/>
        <v>4Q2015</v>
      </c>
      <c r="AF70" s="715">
        <f>Returns!N75</f>
        <v>1.8925930812168399E-2</v>
      </c>
      <c r="AG70" s="715">
        <f t="shared" si="22"/>
        <v>1.9817597412168399E-2</v>
      </c>
      <c r="AH70" s="282">
        <f>((AG70+1)*(AG69+1)*(AG68+1)*(AG67+1))-1</f>
        <v>2.8155864906237671E-2</v>
      </c>
    </row>
    <row r="71" spans="1:34" ht="15">
      <c r="A71" s="337" t="s">
        <v>47</v>
      </c>
      <c r="B71" s="141">
        <f>'CPI+exchange rates'!L76</f>
        <v>0.21</v>
      </c>
      <c r="C71" s="133">
        <f t="shared" si="13"/>
        <v>2.0999999999999999E-3</v>
      </c>
      <c r="D71" s="141">
        <f t="shared" si="14"/>
        <v>1.0021</v>
      </c>
      <c r="E71" s="133">
        <v>5.8666666666666667E-3</v>
      </c>
      <c r="F71" s="133">
        <v>4.62E-3</v>
      </c>
      <c r="G71" s="133">
        <v>-1.8606670000000001E-3</v>
      </c>
      <c r="I71" s="505" t="str">
        <f t="shared" si="15"/>
        <v>1Q2016</v>
      </c>
      <c r="J71" s="146">
        <f>Returns!C76</f>
        <v>1.5450618395908666E-2</v>
      </c>
      <c r="K71" s="147">
        <f t="shared" si="16"/>
        <v>1.3350618395908667E-2</v>
      </c>
      <c r="L71" s="282"/>
      <c r="M71" s="152">
        <f>Returns!U76</f>
        <v>4.6409654331767802E-2</v>
      </c>
      <c r="N71" s="147">
        <f t="shared" si="17"/>
        <v>4.4309654331767805E-2</v>
      </c>
      <c r="O71" s="282"/>
      <c r="P71" s="146">
        <f>Returns!M76</f>
        <v>7.2409430985128642E-2</v>
      </c>
      <c r="Q71" s="147">
        <f t="shared" si="18"/>
        <v>7.0309430985128638E-2</v>
      </c>
      <c r="R71" s="282"/>
      <c r="S71" s="720"/>
      <c r="U71" s="505" t="str">
        <f t="shared" si="19"/>
        <v>1Q2016</v>
      </c>
      <c r="V71" s="715">
        <f>Returns!E76</f>
        <v>-5.1100009895986495E-2</v>
      </c>
      <c r="W71" s="715">
        <f t="shared" si="11"/>
        <v>-5.6966676562653161E-2</v>
      </c>
      <c r="Z71" s="505" t="str">
        <f t="shared" si="20"/>
        <v>1Q2016</v>
      </c>
      <c r="AA71" s="715">
        <f>Returns!V76</f>
        <v>-2.5643533658178008E-2</v>
      </c>
      <c r="AB71" s="715">
        <f t="shared" si="12"/>
        <v>-3.0263533658178007E-2</v>
      </c>
      <c r="AE71" s="505" t="str">
        <f t="shared" si="21"/>
        <v>1Q2016</v>
      </c>
      <c r="AF71" s="715">
        <f>Returns!N76</f>
        <v>2.2296416141178398E-2</v>
      </c>
      <c r="AG71" s="715">
        <f t="shared" si="22"/>
        <v>2.4157083141178398E-2</v>
      </c>
    </row>
    <row r="72" spans="1:34" ht="15">
      <c r="A72" s="337" t="s">
        <v>2</v>
      </c>
      <c r="B72" s="141">
        <f>'CPI+exchange rates'!L77</f>
        <v>0.26</v>
      </c>
      <c r="C72" s="133">
        <f t="shared" si="13"/>
        <v>2.5999999999999999E-3</v>
      </c>
      <c r="D72" s="141">
        <f t="shared" si="14"/>
        <v>1.0025999999999999</v>
      </c>
      <c r="E72" s="133">
        <v>5.3E-3</v>
      </c>
      <c r="F72" s="133">
        <v>4.9399999999999999E-3</v>
      </c>
      <c r="G72" s="133">
        <v>-2.581E-3</v>
      </c>
      <c r="I72" s="505" t="str">
        <f t="shared" si="15"/>
        <v>2Q2016</v>
      </c>
      <c r="J72" s="146">
        <f>Returns!C77</f>
        <v>5.1589187565723726E-3</v>
      </c>
      <c r="K72" s="147">
        <f t="shared" si="16"/>
        <v>2.5589187565723728E-3</v>
      </c>
      <c r="L72" s="282"/>
      <c r="M72" s="152">
        <f>Returns!U77</f>
        <v>1.048294584280085E-2</v>
      </c>
      <c r="N72" s="147">
        <f t="shared" si="17"/>
        <v>7.8829458428008505E-3</v>
      </c>
      <c r="O72" s="282"/>
      <c r="P72" s="146">
        <f>Returns!M77</f>
        <v>1.2838140867943659E-2</v>
      </c>
      <c r="Q72" s="147">
        <f t="shared" si="18"/>
        <v>1.0238140867943659E-2</v>
      </c>
      <c r="R72" s="282"/>
      <c r="S72" s="720"/>
      <c r="U72" s="505" t="str">
        <f t="shared" si="19"/>
        <v>2Q2016</v>
      </c>
      <c r="V72" s="715">
        <f>Returns!E77</f>
        <v>1.6910330870069067E-2</v>
      </c>
      <c r="W72" s="715">
        <f t="shared" si="11"/>
        <v>1.1610330870069067E-2</v>
      </c>
      <c r="Z72" s="505" t="str">
        <f t="shared" si="20"/>
        <v>2Q2016</v>
      </c>
      <c r="AA72" s="715">
        <f>Returns!V77</f>
        <v>1.4584407411222152E-2</v>
      </c>
      <c r="AB72" s="715">
        <f t="shared" si="12"/>
        <v>9.6444074112221525E-3</v>
      </c>
      <c r="AE72" s="505" t="str">
        <f t="shared" si="21"/>
        <v>2Q2016</v>
      </c>
      <c r="AF72" s="715">
        <f>Returns!N77</f>
        <v>3.8913380006590101E-2</v>
      </c>
      <c r="AG72" s="715">
        <f t="shared" si="22"/>
        <v>4.1494380006590101E-2</v>
      </c>
    </row>
    <row r="73" spans="1:34" ht="15">
      <c r="A73" s="337" t="s">
        <v>3</v>
      </c>
      <c r="B73" s="141">
        <f>'CPI+exchange rates'!L78</f>
        <v>0.28000000000000003</v>
      </c>
      <c r="C73" s="133">
        <f t="shared" si="13"/>
        <v>2.8000000000000004E-3</v>
      </c>
      <c r="D73" s="141">
        <f t="shared" si="14"/>
        <v>1.0027999999999999</v>
      </c>
      <c r="E73" s="133">
        <v>5.0000000000000001E-3</v>
      </c>
      <c r="F73" s="133">
        <v>5.3300000000000005E-3</v>
      </c>
      <c r="G73" s="133">
        <v>-2.9809999999999997E-3</v>
      </c>
      <c r="I73" s="505" t="str">
        <f t="shared" si="15"/>
        <v>3Q2016</v>
      </c>
      <c r="J73" s="146">
        <f>Returns!C78</f>
        <v>4.2630103305857814E-2</v>
      </c>
      <c r="K73" s="147">
        <f t="shared" si="16"/>
        <v>3.9830103305857817E-2</v>
      </c>
      <c r="L73" s="282"/>
      <c r="M73" s="152">
        <f>Returns!U78</f>
        <v>3.4044872683364646E-2</v>
      </c>
      <c r="N73" s="147">
        <f t="shared" si="17"/>
        <v>3.1244872683364646E-2</v>
      </c>
      <c r="O73" s="282"/>
      <c r="P73" s="146">
        <f>Returns!M78</f>
        <v>3.8395936508697881E-2</v>
      </c>
      <c r="Q73" s="147">
        <f t="shared" si="18"/>
        <v>3.5595936508697884E-2</v>
      </c>
      <c r="R73" s="282"/>
      <c r="S73" s="720"/>
      <c r="U73" s="505" t="str">
        <f t="shared" si="19"/>
        <v>3Q2016</v>
      </c>
      <c r="V73" s="715">
        <f>Returns!E78</f>
        <v>-4.1751474792024032E-3</v>
      </c>
      <c r="W73" s="715">
        <f t="shared" si="11"/>
        <v>-9.1751474792024033E-3</v>
      </c>
      <c r="Z73" s="505" t="str">
        <f t="shared" si="20"/>
        <v>3Q2016</v>
      </c>
      <c r="AA73" s="715">
        <f>Returns!V78</f>
        <v>4.6426021347587478E-2</v>
      </c>
      <c r="AB73" s="715">
        <f t="shared" si="12"/>
        <v>4.1096021347587476E-2</v>
      </c>
      <c r="AE73" s="505" t="str">
        <f t="shared" si="21"/>
        <v>3Q2016</v>
      </c>
      <c r="AF73" s="715">
        <f>Returns!N78</f>
        <v>2.6521876650206101E-2</v>
      </c>
      <c r="AG73" s="715">
        <f t="shared" si="22"/>
        <v>2.9502876650206102E-2</v>
      </c>
    </row>
    <row r="74" spans="1:34" ht="15.75" thickBot="1">
      <c r="A74" s="337" t="s">
        <v>5</v>
      </c>
      <c r="B74" s="141">
        <f>'CPI+exchange rates'!L79</f>
        <v>0.5</v>
      </c>
      <c r="C74" s="133">
        <f>B74/100</f>
        <v>5.0000000000000001E-3</v>
      </c>
      <c r="D74" s="141">
        <f t="shared" si="14"/>
        <v>1.0049999999999999</v>
      </c>
      <c r="E74" s="133">
        <v>5.1666666666666666E-3</v>
      </c>
      <c r="F74" s="133">
        <v>4.7299999999999998E-3</v>
      </c>
      <c r="G74" s="133">
        <v>-3.1250000000000002E-3</v>
      </c>
      <c r="I74" s="505" t="str">
        <f t="shared" si="15"/>
        <v>4Q2016</v>
      </c>
      <c r="J74" s="510">
        <f>Returns!C79</f>
        <v>-1.8465187276381023E-2</v>
      </c>
      <c r="K74" s="511">
        <f t="shared" si="16"/>
        <v>-2.3465187276381024E-2</v>
      </c>
      <c r="L74" s="512">
        <f>((K74+1)*(K73+1)*(K72+1)*(K71+1))-1</f>
        <v>3.1620011498626477E-2</v>
      </c>
      <c r="M74" s="513">
        <f>Returns!U79</f>
        <v>-1.4628526265785036E-2</v>
      </c>
      <c r="N74" s="511">
        <f t="shared" si="17"/>
        <v>-1.9628526265785037E-2</v>
      </c>
      <c r="O74" s="512">
        <f>((N74+1)*(N73+1)*(N72+1)*(N71+1))-1</f>
        <v>6.4123067739709771E-2</v>
      </c>
      <c r="P74" s="510">
        <f>Returns!M79</f>
        <v>-5.7773078935081545E-2</v>
      </c>
      <c r="Q74" s="511">
        <f>P74-C74</f>
        <v>-6.277307893508155E-2</v>
      </c>
      <c r="R74" s="512">
        <f>((Q74+1)*(Q73+1)*(Q72+1)*(Q71+1))-1</f>
        <v>4.9465595477706792E-2</v>
      </c>
      <c r="S74" s="720"/>
      <c r="U74" s="505" t="str">
        <f t="shared" si="19"/>
        <v>4Q2016</v>
      </c>
      <c r="V74" s="715">
        <f>Returns!E79</f>
        <v>5.7112121351938022E-2</v>
      </c>
      <c r="W74" s="715">
        <f t="shared" si="11"/>
        <v>5.1945454685271356E-2</v>
      </c>
      <c r="X74" s="282">
        <f>((W74+1)*(W73+1)*(W72+1)*(W71+1))-1</f>
        <v>-5.6703084715569174E-3</v>
      </c>
      <c r="Z74" s="505" t="str">
        <f t="shared" si="20"/>
        <v>4Q2016</v>
      </c>
      <c r="AA74" s="715">
        <f>Returns!V79</f>
        <v>5.4650293713288094E-3</v>
      </c>
      <c r="AB74" s="715">
        <f>AA74-F74</f>
        <v>7.3502937132880961E-4</v>
      </c>
      <c r="AC74" s="282">
        <f>((AB74+1)*(AB73+1)*(AB72+1)*(AB71+1))-1</f>
        <v>2.0074896646788076E-2</v>
      </c>
      <c r="AE74" s="505" t="str">
        <f t="shared" si="21"/>
        <v>4Q2016</v>
      </c>
      <c r="AF74" s="715">
        <f>Returns!N79</f>
        <v>3.9106062522397999E-3</v>
      </c>
      <c r="AG74" s="715">
        <f t="shared" si="22"/>
        <v>7.0356062522398E-3</v>
      </c>
      <c r="AH74" s="282">
        <f>((AG74+1)*(AG73+1)*(AG72+1)*(AG71+1))-1</f>
        <v>0.10584916566649283</v>
      </c>
    </row>
    <row r="75" spans="1:34">
      <c r="H75" s="941" t="s">
        <v>499</v>
      </c>
      <c r="I75" s="514" t="s">
        <v>365</v>
      </c>
      <c r="J75" s="515"/>
      <c r="K75" s="516">
        <f>AVERAGE(K11:K74)</f>
        <v>1.4545903526970725E-3</v>
      </c>
      <c r="L75" s="517"/>
      <c r="M75" s="518"/>
      <c r="N75" s="519">
        <f>AVERAGE(N11:N74)</f>
        <v>3.9192327360895356E-3</v>
      </c>
      <c r="O75" s="520"/>
      <c r="P75" s="518"/>
      <c r="Q75" s="521">
        <f>AVERAGE(Q11:Q74)</f>
        <v>5.4511824715337085E-3</v>
      </c>
      <c r="R75" s="517"/>
      <c r="S75" s="721"/>
      <c r="T75" s="941" t="s">
        <v>499</v>
      </c>
      <c r="U75" s="514" t="s">
        <v>365</v>
      </c>
      <c r="V75" s="515"/>
      <c r="W75" s="516">
        <f>AVERAGE(W19:W74)</f>
        <v>-2.9090932200177646E-3</v>
      </c>
      <c r="Y75" s="941" t="s">
        <v>499</v>
      </c>
      <c r="Z75" s="514" t="s">
        <v>365</v>
      </c>
      <c r="AA75" s="515"/>
      <c r="AB75" s="516">
        <f>AVERAGE(AB11:AB74)</f>
        <v>-4.7804627424467812E-3</v>
      </c>
      <c r="AD75" s="941" t="s">
        <v>499</v>
      </c>
      <c r="AE75" s="514" t="s">
        <v>365</v>
      </c>
      <c r="AF75" s="515"/>
      <c r="AG75" s="516">
        <f>AVERAGE(AG11:AG74)</f>
        <v>-3.394673336582998E-3</v>
      </c>
    </row>
    <row r="76" spans="1:34">
      <c r="H76" s="942"/>
      <c r="I76" s="286" t="s">
        <v>396</v>
      </c>
      <c r="J76" s="286"/>
      <c r="K76" s="523">
        <f>_xlfn.STDEV.S(K11:K74)</f>
        <v>6.1854696939580317E-2</v>
      </c>
      <c r="L76" s="522"/>
      <c r="M76" s="286"/>
      <c r="N76" s="523">
        <f>_xlfn.STDEV.S(N11:N74)</f>
        <v>7.8118502014789662E-2</v>
      </c>
      <c r="O76" s="522"/>
      <c r="P76" s="286"/>
      <c r="Q76" s="524">
        <f>_xlfn.STDEV.S(Q11:Q74)</f>
        <v>6.6591316336593528E-2</v>
      </c>
      <c r="R76" s="522"/>
      <c r="S76" s="721"/>
      <c r="T76" s="942"/>
      <c r="U76" s="286" t="s">
        <v>396</v>
      </c>
      <c r="V76" s="286"/>
      <c r="W76" s="523">
        <f>_xlfn.STDEV.S(W19:W74)</f>
        <v>5.0717468802458567E-2</v>
      </c>
      <c r="Y76" s="942"/>
      <c r="Z76" s="286" t="s">
        <v>396</v>
      </c>
      <c r="AA76" s="286"/>
      <c r="AB76" s="523">
        <f>_xlfn.STDEV.S(AB11:AB74)</f>
        <v>5.8107341863176017E-2</v>
      </c>
      <c r="AD76" s="942"/>
      <c r="AE76" s="286" t="s">
        <v>396</v>
      </c>
      <c r="AF76" s="286"/>
      <c r="AG76" s="523">
        <f>_xlfn.STDEV.S(AG11:AG74)</f>
        <v>4.8039106428266948E-2</v>
      </c>
    </row>
    <row r="77" spans="1:34" ht="13.5" thickBot="1">
      <c r="E77" s="715"/>
      <c r="F77" s="715"/>
      <c r="G77" s="715"/>
      <c r="H77" s="943"/>
      <c r="I77" s="262" t="s">
        <v>429</v>
      </c>
      <c r="J77" s="262"/>
      <c r="K77" s="263">
        <f>K75/K76</f>
        <v>2.3516247345256848E-2</v>
      </c>
      <c r="L77" s="284"/>
      <c r="M77" s="262"/>
      <c r="N77" s="263">
        <f>N75/N76</f>
        <v>5.0170351901365609E-2</v>
      </c>
      <c r="O77" s="284"/>
      <c r="P77" s="262"/>
      <c r="Q77" s="264">
        <f>Q75/Q76</f>
        <v>8.186026003721078E-2</v>
      </c>
      <c r="R77" s="287"/>
      <c r="S77" s="721"/>
      <c r="T77" s="943"/>
      <c r="U77" s="262" t="s">
        <v>429</v>
      </c>
      <c r="V77" s="262"/>
      <c r="W77" s="263">
        <f>W75/W76</f>
        <v>-5.7358801389487804E-2</v>
      </c>
      <c r="Y77" s="943"/>
      <c r="Z77" s="262" t="s">
        <v>429</v>
      </c>
      <c r="AA77" s="262"/>
      <c r="AB77" s="263">
        <f>AB75/AB76</f>
        <v>-8.226951344123129E-2</v>
      </c>
      <c r="AD77" s="943"/>
      <c r="AE77" s="262" t="s">
        <v>429</v>
      </c>
      <c r="AF77" s="262"/>
      <c r="AG77" s="263">
        <f>AG75/AG76</f>
        <v>-7.0664789355563862E-2</v>
      </c>
    </row>
    <row r="78" spans="1:34">
      <c r="H78" s="941" t="s">
        <v>491</v>
      </c>
      <c r="I78" s="514" t="s">
        <v>365</v>
      </c>
      <c r="J78" s="514"/>
      <c r="K78" s="525">
        <f>AVERAGE(K11:K30)</f>
        <v>-1.9306764497256188E-3</v>
      </c>
      <c r="L78" s="526"/>
      <c r="M78" s="527"/>
      <c r="N78" s="525">
        <f>AVERAGE(N11:N30)</f>
        <v>-6.6755231692341576E-4</v>
      </c>
      <c r="O78" s="526"/>
      <c r="P78" s="527"/>
      <c r="Q78" s="525">
        <f>AVERAGE(Q11:Q30)</f>
        <v>5.1514359823774357E-3</v>
      </c>
      <c r="R78" s="517"/>
      <c r="S78" s="721"/>
      <c r="T78" s="941" t="s">
        <v>817</v>
      </c>
      <c r="U78" s="514" t="s">
        <v>365</v>
      </c>
      <c r="V78" s="514"/>
      <c r="W78" s="525">
        <f>AVERAGE(W19:W30)</f>
        <v>4.2761523559799704E-3</v>
      </c>
      <c r="Y78" s="941" t="s">
        <v>491</v>
      </c>
      <c r="Z78" s="514" t="s">
        <v>365</v>
      </c>
      <c r="AA78" s="514"/>
      <c r="AB78" s="525">
        <f>AVERAGE(AB11:AB30)</f>
        <v>-2.2643977073075951E-2</v>
      </c>
      <c r="AD78" s="941" t="s">
        <v>491</v>
      </c>
      <c r="AE78" s="514" t="s">
        <v>365</v>
      </c>
      <c r="AF78" s="514"/>
      <c r="AG78" s="525">
        <f>AVERAGE(AG11:AG30)</f>
        <v>-1.5141187388420818E-2</v>
      </c>
    </row>
    <row r="79" spans="1:34">
      <c r="H79" s="942"/>
      <c r="I79" s="286" t="s">
        <v>396</v>
      </c>
      <c r="J79" s="286"/>
      <c r="K79" s="523">
        <f>_xlfn.STDEV.S(K11:K30)</f>
        <v>5.3143206733003302E-2</v>
      </c>
      <c r="L79" s="522"/>
      <c r="M79" s="286"/>
      <c r="N79" s="523">
        <f>_xlfn.STDEV.S(N11:N30)</f>
        <v>0.10686407442843249</v>
      </c>
      <c r="O79" s="522"/>
      <c r="P79" s="286"/>
      <c r="Q79" s="523">
        <f>_xlfn.STDEV.S(Q11:Q30)</f>
        <v>6.5943786464751727E-2</v>
      </c>
      <c r="R79" s="522"/>
      <c r="S79" s="721"/>
      <c r="T79" s="942"/>
      <c r="U79" s="286" t="s">
        <v>396</v>
      </c>
      <c r="V79" s="286"/>
      <c r="W79" s="523">
        <f>_xlfn.STDEV.S(W19:W30)</f>
        <v>2.6115096245542653E-2</v>
      </c>
      <c r="Y79" s="942"/>
      <c r="Z79" s="286" t="s">
        <v>396</v>
      </c>
      <c r="AA79" s="286"/>
      <c r="AB79" s="523">
        <f>_xlfn.STDEV.S(AB11:AB30)</f>
        <v>8.4883873493361642E-2</v>
      </c>
      <c r="AD79" s="942"/>
      <c r="AE79" s="286" t="s">
        <v>396</v>
      </c>
      <c r="AF79" s="286"/>
      <c r="AG79" s="523">
        <f>_xlfn.STDEV.S(AG11:AG30)</f>
        <v>4.2768710224448475E-2</v>
      </c>
    </row>
    <row r="80" spans="1:34" ht="13.5" thickBot="1">
      <c r="H80" s="943"/>
      <c r="I80" s="262" t="s">
        <v>429</v>
      </c>
      <c r="J80" s="262"/>
      <c r="K80" s="263">
        <f>K78/K79</f>
        <v>-3.6329694205799949E-2</v>
      </c>
      <c r="L80" s="284"/>
      <c r="M80" s="262"/>
      <c r="N80" s="263">
        <f>N78/N79</f>
        <v>-6.246742139431335E-3</v>
      </c>
      <c r="O80" s="284"/>
      <c r="P80" s="262"/>
      <c r="Q80" s="264">
        <f>Q78/Q79</f>
        <v>7.8118595527282633E-2</v>
      </c>
      <c r="R80" s="287"/>
      <c r="S80" s="721"/>
      <c r="T80" s="943"/>
      <c r="U80" s="262" t="s">
        <v>429</v>
      </c>
      <c r="V80" s="262"/>
      <c r="W80" s="263">
        <f>W78/W79</f>
        <v>0.16374254629484</v>
      </c>
      <c r="Y80" s="943"/>
      <c r="Z80" s="262" t="s">
        <v>429</v>
      </c>
      <c r="AA80" s="262"/>
      <c r="AB80" s="263">
        <f>AB78/AB79</f>
        <v>-0.26676418194849255</v>
      </c>
      <c r="AD80" s="943"/>
      <c r="AE80" s="262" t="s">
        <v>429</v>
      </c>
      <c r="AF80" s="262"/>
      <c r="AG80" s="263">
        <f>AG78/AG79</f>
        <v>-0.35402487727500959</v>
      </c>
    </row>
    <row r="81" spans="8:33">
      <c r="H81" s="941" t="s">
        <v>478</v>
      </c>
      <c r="I81" s="514" t="s">
        <v>365</v>
      </c>
      <c r="J81" s="514"/>
      <c r="K81" s="525">
        <f>AVERAGE(K31:K50)</f>
        <v>-5.2229263807841248E-3</v>
      </c>
      <c r="L81" s="526"/>
      <c r="M81" s="527"/>
      <c r="N81" s="525">
        <f>AVERAGE(N31:N50)</f>
        <v>-1.0843149866125949E-3</v>
      </c>
      <c r="O81" s="526"/>
      <c r="P81" s="527"/>
      <c r="Q81" s="525">
        <f>AVERAGE(Q31:Q50)</f>
        <v>3.6590633116001422E-4</v>
      </c>
      <c r="R81" s="517"/>
      <c r="S81" s="721"/>
      <c r="T81" s="941" t="s">
        <v>478</v>
      </c>
      <c r="U81" s="514" t="s">
        <v>365</v>
      </c>
      <c r="V81" s="514"/>
      <c r="W81" s="525">
        <f>AVERAGE(W31:W50)</f>
        <v>-2.7846257155454922E-2</v>
      </c>
      <c r="Y81" s="941" t="s">
        <v>478</v>
      </c>
      <c r="Z81" s="514" t="s">
        <v>365</v>
      </c>
      <c r="AA81" s="514"/>
      <c r="AB81" s="525">
        <f>AVERAGE(AB31:AB50)</f>
        <v>-1.3545349870354361E-2</v>
      </c>
      <c r="AD81" s="941" t="s">
        <v>478</v>
      </c>
      <c r="AE81" s="514" t="s">
        <v>365</v>
      </c>
      <c r="AF81" s="514"/>
      <c r="AG81" s="525">
        <f>AVERAGE(AG31:AG50)</f>
        <v>-1.5948132608740818E-2</v>
      </c>
    </row>
    <row r="82" spans="8:33">
      <c r="H82" s="942"/>
      <c r="I82" s="286" t="s">
        <v>396</v>
      </c>
      <c r="J82" s="286"/>
      <c r="K82" s="523">
        <f>_xlfn.STDEV.S(K31:K50)</f>
        <v>8.4269594541207055E-2</v>
      </c>
      <c r="L82" s="522"/>
      <c r="M82" s="286"/>
      <c r="N82" s="523">
        <f>_xlfn.STDEV.S(N31:N50)</f>
        <v>8.4518810744398598E-2</v>
      </c>
      <c r="O82" s="522"/>
      <c r="P82" s="286"/>
      <c r="Q82" s="523">
        <f>_xlfn.STDEV.S(Q31:Q50)</f>
        <v>8.6712787200911356E-2</v>
      </c>
      <c r="R82" s="522"/>
      <c r="S82" s="721"/>
      <c r="T82" s="942"/>
      <c r="U82" s="286" t="s">
        <v>396</v>
      </c>
      <c r="V82" s="286"/>
      <c r="W82" s="523">
        <f>_xlfn.STDEV.S(W31:W50)</f>
        <v>5.9170925524786068E-2</v>
      </c>
      <c r="Y82" s="942"/>
      <c r="Z82" s="286" t="s">
        <v>396</v>
      </c>
      <c r="AA82" s="286"/>
      <c r="AB82" s="523">
        <f>_xlfn.STDEV.S(AB31:AB50)</f>
        <v>4.6779126510411023E-2</v>
      </c>
      <c r="AD82" s="942"/>
      <c r="AE82" s="286" t="s">
        <v>396</v>
      </c>
      <c r="AF82" s="286"/>
      <c r="AG82" s="523">
        <f>_xlfn.STDEV.S(AG31:AG50)</f>
        <v>6.1963469692175248E-2</v>
      </c>
    </row>
    <row r="83" spans="8:33" ht="13.5" thickBot="1">
      <c r="H83" s="943"/>
      <c r="I83" s="262" t="s">
        <v>429</v>
      </c>
      <c r="J83" s="262"/>
      <c r="K83" s="263">
        <f>K81/K82</f>
        <v>-6.1978776677632665E-2</v>
      </c>
      <c r="L83" s="284"/>
      <c r="M83" s="262"/>
      <c r="N83" s="263">
        <f>N81/N82</f>
        <v>-1.2829274064110713E-2</v>
      </c>
      <c r="O83" s="284"/>
      <c r="P83" s="262"/>
      <c r="Q83" s="264">
        <f>Q81/Q82</f>
        <v>4.2197505462743161E-3</v>
      </c>
      <c r="R83" s="287"/>
      <c r="S83" s="721"/>
      <c r="T83" s="943"/>
      <c r="U83" s="262" t="s">
        <v>429</v>
      </c>
      <c r="V83" s="262"/>
      <c r="W83" s="263">
        <f>W81/W82</f>
        <v>-0.47060709137953949</v>
      </c>
      <c r="Y83" s="943"/>
      <c r="Z83" s="262" t="s">
        <v>429</v>
      </c>
      <c r="AA83" s="262"/>
      <c r="AB83" s="263">
        <f>AB81/AB82</f>
        <v>-0.28955970067845854</v>
      </c>
      <c r="AD83" s="943"/>
      <c r="AE83" s="262" t="s">
        <v>429</v>
      </c>
      <c r="AF83" s="262"/>
      <c r="AG83" s="263">
        <f>AG81/AG82</f>
        <v>-0.25737959297580698</v>
      </c>
    </row>
    <row r="84" spans="8:33">
      <c r="H84" s="941" t="s">
        <v>490</v>
      </c>
      <c r="I84" s="514" t="s">
        <v>365</v>
      </c>
      <c r="J84" s="514"/>
      <c r="K84" s="525">
        <f>AVERAGE(K51:K74)</f>
        <v>9.8402432992836467E-3</v>
      </c>
      <c r="L84" s="526"/>
      <c r="M84" s="527"/>
      <c r="N84" s="525">
        <f>AVERAGE(N51:N74)</f>
        <v>1.1911176715852101E-2</v>
      </c>
      <c r="O84" s="526"/>
      <c r="P84" s="527"/>
      <c r="Q84" s="525">
        <f>AVERAGE(Q51:Q74)</f>
        <v>9.938701329475344E-3</v>
      </c>
      <c r="R84" s="517"/>
      <c r="S84" s="721"/>
      <c r="T84" s="941" t="s">
        <v>490</v>
      </c>
      <c r="U84" s="514" t="s">
        <v>365</v>
      </c>
      <c r="V84" s="514"/>
      <c r="W84" s="525">
        <f>AVERAGE(W51:W74)</f>
        <v>1.4279253938180997E-2</v>
      </c>
      <c r="Y84" s="941" t="s">
        <v>490</v>
      </c>
      <c r="Z84" s="514" t="s">
        <v>365</v>
      </c>
      <c r="AA84" s="514"/>
      <c r="AB84" s="525">
        <f>AVERAGE(AB51:AB74)</f>
        <v>1.740987180633383E-2</v>
      </c>
      <c r="AD84" s="941" t="s">
        <v>490</v>
      </c>
      <c r="AE84" s="514" t="s">
        <v>365</v>
      </c>
      <c r="AF84" s="514"/>
      <c r="AG84" s="525">
        <f>AVERAGE(AG51:AG74)</f>
        <v>1.6855304433413366E-2</v>
      </c>
    </row>
    <row r="85" spans="8:33">
      <c r="H85" s="942"/>
      <c r="I85" s="286" t="s">
        <v>396</v>
      </c>
      <c r="J85" s="286"/>
      <c r="K85" s="523">
        <f>_xlfn.STDEV.S(K51:K74)</f>
        <v>4.6458884322086814E-2</v>
      </c>
      <c r="L85" s="522"/>
      <c r="M85" s="286"/>
      <c r="N85" s="523">
        <f>_xlfn.STDEV.S(N51:N74)</f>
        <v>3.5691490290059427E-2</v>
      </c>
      <c r="O85" s="522"/>
      <c r="P85" s="286"/>
      <c r="Q85" s="523">
        <f>_xlfn.STDEV.S(Q51:Q74)</f>
        <v>4.7948791148278679E-2</v>
      </c>
      <c r="R85" s="522"/>
      <c r="S85" s="721"/>
      <c r="T85" s="942"/>
      <c r="U85" s="286" t="s">
        <v>396</v>
      </c>
      <c r="V85" s="286"/>
      <c r="W85" s="523">
        <f>_xlfn.STDEV.S(W51:W74)</f>
        <v>4.5350001571749218E-2</v>
      </c>
      <c r="Y85" s="942"/>
      <c r="Z85" s="286" t="s">
        <v>396</v>
      </c>
      <c r="AA85" s="286"/>
      <c r="AB85" s="523">
        <f>_xlfn.STDEV.S(AB51:AB74)</f>
        <v>2.5111174734083808E-2</v>
      </c>
      <c r="AD85" s="942"/>
      <c r="AE85" s="286" t="s">
        <v>396</v>
      </c>
      <c r="AF85" s="286"/>
      <c r="AG85" s="523">
        <f>_xlfn.STDEV.S(AG51:AG74)</f>
        <v>3.087963035547938E-2</v>
      </c>
    </row>
    <row r="86" spans="8:33" ht="13.5" thickBot="1">
      <c r="H86" s="943"/>
      <c r="I86" s="262" t="s">
        <v>429</v>
      </c>
      <c r="J86" s="262"/>
      <c r="K86" s="263">
        <f>K84/K85</f>
        <v>0.21180541553826207</v>
      </c>
      <c r="L86" s="284"/>
      <c r="M86" s="262"/>
      <c r="N86" s="263">
        <f>N84/N85</f>
        <v>0.33372595593660398</v>
      </c>
      <c r="O86" s="284"/>
      <c r="P86" s="262"/>
      <c r="Q86" s="264">
        <f>Q84/Q85</f>
        <v>0.20727741182755835</v>
      </c>
      <c r="R86" s="287"/>
      <c r="S86" s="721"/>
      <c r="T86" s="943"/>
      <c r="U86" s="262" t="s">
        <v>429</v>
      </c>
      <c r="V86" s="262"/>
      <c r="W86" s="263">
        <f>W84/W85</f>
        <v>0.31486777162707436</v>
      </c>
      <c r="Y86" s="943"/>
      <c r="Z86" s="262" t="s">
        <v>429</v>
      </c>
      <c r="AA86" s="262"/>
      <c r="AB86" s="263">
        <f>AB84/AB85</f>
        <v>0.69331172239836025</v>
      </c>
      <c r="AD86" s="943"/>
      <c r="AE86" s="262" t="s">
        <v>429</v>
      </c>
      <c r="AF86" s="262"/>
      <c r="AG86" s="263">
        <f>AG84/AG85</f>
        <v>0.5458389313401385</v>
      </c>
    </row>
    <row r="87" spans="8:33">
      <c r="H87" s="948" t="s">
        <v>808</v>
      </c>
      <c r="I87" s="675" t="s">
        <v>365</v>
      </c>
      <c r="J87" s="675"/>
      <c r="K87" s="676">
        <f>AVERAGE(K31:K74)</f>
        <v>2.9933479901619307E-3</v>
      </c>
      <c r="L87" s="677"/>
      <c r="M87" s="678"/>
      <c r="N87" s="676">
        <f>AVERAGE(N31:N74)</f>
        <v>6.004135032913604E-3</v>
      </c>
      <c r="O87" s="677"/>
      <c r="P87" s="678"/>
      <c r="Q87" s="676">
        <f>AVERAGE(Q31:Q74)</f>
        <v>5.5874308756956488E-3</v>
      </c>
      <c r="R87" s="679"/>
      <c r="S87" s="722"/>
    </row>
    <row r="88" spans="8:33">
      <c r="H88" s="949"/>
      <c r="I88" s="680" t="s">
        <v>396</v>
      </c>
      <c r="J88" s="680"/>
      <c r="K88" s="681">
        <f>_xlfn.STDEV.S(K31:K74)</f>
        <v>6.5953653894022926E-2</v>
      </c>
      <c r="L88" s="682"/>
      <c r="M88" s="680"/>
      <c r="N88" s="681">
        <f>_xlfn.STDEV.S(N31:N74)</f>
        <v>6.2294651103282708E-2</v>
      </c>
      <c r="O88" s="682"/>
      <c r="P88" s="680"/>
      <c r="Q88" s="681">
        <f>_xlfn.STDEV.S(Q31:Q74)</f>
        <v>6.764162140127189E-2</v>
      </c>
      <c r="R88" s="682"/>
      <c r="S88" s="722"/>
    </row>
    <row r="89" spans="8:33" ht="13.5" thickBot="1">
      <c r="H89" s="950"/>
      <c r="I89" s="683" t="s">
        <v>429</v>
      </c>
      <c r="J89" s="683"/>
      <c r="K89" s="684">
        <f>K87/K88</f>
        <v>4.5385627837568589E-2</v>
      </c>
      <c r="L89" s="685"/>
      <c r="M89" s="683"/>
      <c r="N89" s="684">
        <f>N87/N88</f>
        <v>9.6382834265480097E-2</v>
      </c>
      <c r="O89" s="685"/>
      <c r="P89" s="683"/>
      <c r="Q89" s="686">
        <f>Q87/Q88</f>
        <v>8.2603443855214662E-2</v>
      </c>
      <c r="R89" s="687"/>
      <c r="S89" s="722"/>
    </row>
    <row r="94" spans="8:33">
      <c r="W94" s="715"/>
    </row>
    <row r="100" spans="7:9">
      <c r="G100" s="714"/>
      <c r="I100" s="715"/>
    </row>
  </sheetData>
  <mergeCells count="23">
    <mergeCell ref="P1:R1"/>
    <mergeCell ref="M1:O1"/>
    <mergeCell ref="J1:L1"/>
    <mergeCell ref="H87:H89"/>
    <mergeCell ref="H81:H83"/>
    <mergeCell ref="H84:H86"/>
    <mergeCell ref="H75:H77"/>
    <mergeCell ref="H78:H80"/>
    <mergeCell ref="U1:X1"/>
    <mergeCell ref="Z1:AC1"/>
    <mergeCell ref="AE1:AH1"/>
    <mergeCell ref="T75:T77"/>
    <mergeCell ref="T78:T80"/>
    <mergeCell ref="AD75:AD77"/>
    <mergeCell ref="AD78:AD80"/>
    <mergeCell ref="AD81:AD83"/>
    <mergeCell ref="AD84:AD86"/>
    <mergeCell ref="T81:T83"/>
    <mergeCell ref="T84:T86"/>
    <mergeCell ref="Y75:Y77"/>
    <mergeCell ref="Y78:Y80"/>
    <mergeCell ref="Y81:Y83"/>
    <mergeCell ref="Y84:Y86"/>
  </mergeCells>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59999389629810485"/>
  </sheetPr>
  <dimension ref="A1:BG76"/>
  <sheetViews>
    <sheetView zoomScale="70" zoomScaleNormal="70" zoomScalePageLayoutView="70" workbookViewId="0">
      <selection activeCell="I29" sqref="I29"/>
    </sheetView>
  </sheetViews>
  <sheetFormatPr defaultColWidth="9.140625" defaultRowHeight="15"/>
  <cols>
    <col min="1" max="1" width="9.140625" style="54"/>
    <col min="2" max="2" width="14.42578125" style="54" bestFit="1" customWidth="1"/>
    <col min="3" max="3" width="10.140625" style="54" customWidth="1"/>
    <col min="4" max="4" width="10.7109375" style="54" bestFit="1" customWidth="1"/>
    <col min="5" max="5" width="10.28515625" style="54" bestFit="1" customWidth="1"/>
    <col min="6" max="6" width="11.140625" style="54" bestFit="1" customWidth="1"/>
    <col min="7" max="8" width="10.140625" style="54" customWidth="1"/>
    <col min="9" max="9" width="10.42578125" style="54" bestFit="1" customWidth="1"/>
    <col min="10" max="10" width="10.140625" style="54" customWidth="1"/>
    <col min="11" max="11" width="12.42578125" style="54" customWidth="1"/>
    <col min="12" max="12" width="13" style="54" customWidth="1"/>
    <col min="13" max="13" width="13.28515625" style="54" customWidth="1"/>
    <col min="14" max="14" width="9.7109375" style="54" bestFit="1" customWidth="1"/>
    <col min="15" max="16" width="9.7109375" style="54" customWidth="1"/>
    <col min="17" max="17" width="10.42578125" style="54" bestFit="1" customWidth="1"/>
    <col min="18" max="18" width="10.140625" style="54" bestFit="1" customWidth="1"/>
    <col min="19" max="20" width="10.140625" style="54" customWidth="1"/>
    <col min="21" max="21" width="12.140625" style="54" bestFit="1" customWidth="1"/>
    <col min="22" max="22" width="12.42578125" style="54" bestFit="1" customWidth="1"/>
    <col min="23" max="23" width="12.42578125" style="59" customWidth="1"/>
    <col min="24" max="25" width="12.42578125" style="54" customWidth="1"/>
    <col min="26" max="26" width="15.85546875" style="21" bestFit="1" customWidth="1"/>
    <col min="27" max="27" width="12.42578125" style="21" bestFit="1" customWidth="1"/>
    <col min="28" max="28" width="9.140625" style="54"/>
    <col min="29" max="29" width="11.42578125" style="54" bestFit="1" customWidth="1"/>
    <col min="30" max="33" width="12.140625" style="54" customWidth="1"/>
    <col min="34" max="34" width="8.28515625" style="117" customWidth="1"/>
    <col min="35" max="38" width="12.140625" style="54" customWidth="1"/>
    <col min="39" max="39" width="7.7109375" style="117" customWidth="1"/>
    <col min="40" max="43" width="12.140625" style="54" customWidth="1"/>
    <col min="44" max="44" width="18.7109375" style="54" customWidth="1"/>
    <col min="45" max="45" width="13" style="54" bestFit="1" customWidth="1"/>
    <col min="46" max="46" width="10.42578125" style="54" customWidth="1"/>
    <col min="47" max="47" width="11" style="54" customWidth="1"/>
    <col min="48" max="48" width="10.42578125" style="54" customWidth="1"/>
    <col min="49" max="49" width="11.42578125" style="54" customWidth="1"/>
    <col min="50" max="50" width="10.42578125" style="54" customWidth="1"/>
    <col min="51" max="51" width="11.85546875" style="54" customWidth="1"/>
    <col min="52" max="52" width="9.140625" style="54"/>
    <col min="53" max="53" width="14" style="54" bestFit="1" customWidth="1"/>
    <col min="54" max="54" width="26" style="54" bestFit="1" customWidth="1"/>
    <col min="55" max="55" width="26.28515625" style="54" bestFit="1" customWidth="1"/>
    <col min="56" max="56" width="26" style="54" bestFit="1" customWidth="1"/>
    <col min="57" max="57" width="25.85546875" style="54" bestFit="1" customWidth="1"/>
    <col min="58" max="59" width="26" style="54" bestFit="1" customWidth="1"/>
    <col min="60" max="16384" width="9.140625" style="54"/>
  </cols>
  <sheetData>
    <row r="1" spans="1:59" ht="25.5" customHeight="1">
      <c r="A1" s="951" t="s">
        <v>376</v>
      </c>
      <c r="B1" s="951"/>
      <c r="C1" s="951"/>
      <c r="D1" s="951"/>
      <c r="E1" s="951"/>
      <c r="F1" s="951"/>
      <c r="G1" s="951"/>
      <c r="H1" s="951"/>
      <c r="I1" s="951"/>
      <c r="J1" s="951"/>
      <c r="L1" s="337"/>
      <c r="M1" s="955" t="s">
        <v>239</v>
      </c>
      <c r="N1" s="956"/>
      <c r="O1" s="956"/>
      <c r="P1" s="962"/>
      <c r="Q1" s="955" t="s">
        <v>266</v>
      </c>
      <c r="R1" s="956"/>
      <c r="S1" s="956"/>
      <c r="T1" s="962"/>
      <c r="U1" s="955" t="s">
        <v>833</v>
      </c>
      <c r="V1" s="956"/>
      <c r="W1" s="956"/>
      <c r="X1" s="956"/>
      <c r="Y1" s="956"/>
      <c r="Z1" s="956"/>
      <c r="AA1" s="956"/>
      <c r="AC1" s="635"/>
      <c r="AD1" s="963" t="str">
        <f>M1</f>
        <v>NBIM</v>
      </c>
      <c r="AE1" s="963"/>
      <c r="AF1" s="963"/>
      <c r="AG1" s="963"/>
      <c r="AH1" s="624"/>
      <c r="AI1" s="963" t="s">
        <v>266</v>
      </c>
      <c r="AJ1" s="963"/>
      <c r="AK1" s="963"/>
      <c r="AL1" s="963"/>
      <c r="AM1" s="624"/>
      <c r="AN1" s="963" t="s">
        <v>833</v>
      </c>
      <c r="AO1" s="963"/>
      <c r="AP1" s="963"/>
      <c r="AQ1" s="964"/>
      <c r="AS1" s="635"/>
      <c r="AT1" s="953" t="s">
        <v>239</v>
      </c>
      <c r="AU1" s="953"/>
      <c r="AV1" s="953" t="s">
        <v>266</v>
      </c>
      <c r="AW1" s="953"/>
      <c r="AX1" s="953" t="s">
        <v>833</v>
      </c>
      <c r="AY1" s="957"/>
      <c r="BA1" s="635"/>
      <c r="BB1" s="953" t="s">
        <v>239</v>
      </c>
      <c r="BC1" s="953"/>
      <c r="BD1" s="953" t="s">
        <v>266</v>
      </c>
      <c r="BE1" s="953"/>
      <c r="BF1" s="953" t="s">
        <v>833</v>
      </c>
      <c r="BG1" s="957"/>
    </row>
    <row r="2" spans="1:59" ht="12.75" customHeight="1">
      <c r="A2" s="321" t="s">
        <v>226</v>
      </c>
      <c r="B2" s="321" t="s">
        <v>423</v>
      </c>
      <c r="C2" s="321" t="s">
        <v>392</v>
      </c>
      <c r="D2" s="321" t="s">
        <v>424</v>
      </c>
      <c r="E2" s="321" t="s">
        <v>392</v>
      </c>
      <c r="F2" s="321" t="s">
        <v>426</v>
      </c>
      <c r="G2" s="321" t="s">
        <v>425</v>
      </c>
      <c r="H2" s="321" t="str">
        <f>Costs!AD2</f>
        <v>Date</v>
      </c>
      <c r="I2" s="321" t="s">
        <v>393</v>
      </c>
      <c r="J2" s="321" t="s">
        <v>394</v>
      </c>
      <c r="L2" s="336" t="str">
        <f>A2</f>
        <v>Date</v>
      </c>
      <c r="M2" s="334" t="s">
        <v>130</v>
      </c>
      <c r="N2" s="310" t="s">
        <v>364</v>
      </c>
      <c r="O2" s="310" t="s">
        <v>775</v>
      </c>
      <c r="P2" s="310" t="s">
        <v>776</v>
      </c>
      <c r="Q2" s="334" t="s">
        <v>130</v>
      </c>
      <c r="R2" s="310" t="s">
        <v>364</v>
      </c>
      <c r="S2" s="310" t="s">
        <v>778</v>
      </c>
      <c r="T2" s="310" t="s">
        <v>779</v>
      </c>
      <c r="U2" s="334" t="s">
        <v>390</v>
      </c>
      <c r="V2" s="310" t="s">
        <v>391</v>
      </c>
      <c r="W2" s="310" t="s">
        <v>777</v>
      </c>
      <c r="X2" s="310" t="s">
        <v>780</v>
      </c>
      <c r="Y2" s="310" t="str">
        <f>USD!BC3</f>
        <v>Date</v>
      </c>
      <c r="Z2" s="310" t="s">
        <v>389</v>
      </c>
      <c r="AA2" s="310" t="s">
        <v>395</v>
      </c>
      <c r="AC2" s="636"/>
      <c r="AD2" s="952" t="s">
        <v>483</v>
      </c>
      <c r="AE2" s="952" t="s">
        <v>626</v>
      </c>
      <c r="AF2" s="952" t="s">
        <v>484</v>
      </c>
      <c r="AG2" s="952" t="s">
        <v>627</v>
      </c>
      <c r="AH2" s="469"/>
      <c r="AI2" s="952" t="str">
        <f>AD2</f>
        <v>Returns b/inflation</v>
      </c>
      <c r="AJ2" s="952" t="s">
        <v>626</v>
      </c>
      <c r="AK2" s="952" t="str">
        <f>AF2</f>
        <v>Benchmark b/inflation</v>
      </c>
      <c r="AL2" s="952" t="s">
        <v>627</v>
      </c>
      <c r="AM2" s="469"/>
      <c r="AN2" s="952" t="str">
        <f>AD2</f>
        <v>Returns b/inflation</v>
      </c>
      <c r="AO2" s="952" t="s">
        <v>626</v>
      </c>
      <c r="AP2" s="952" t="str">
        <f>AF2</f>
        <v>Benchmark b/inflation</v>
      </c>
      <c r="AQ2" s="954" t="s">
        <v>627</v>
      </c>
      <c r="AS2" s="625"/>
      <c r="AT2" s="914" t="s">
        <v>781</v>
      </c>
      <c r="AU2" s="914"/>
      <c r="AV2" s="914"/>
      <c r="AW2" s="914"/>
      <c r="AX2" s="914"/>
      <c r="AY2" s="958"/>
      <c r="BA2" s="625"/>
      <c r="BB2" s="914" t="s">
        <v>786</v>
      </c>
      <c r="BC2" s="914"/>
      <c r="BD2" s="914"/>
      <c r="BE2" s="914"/>
      <c r="BF2" s="914"/>
      <c r="BG2" s="958"/>
    </row>
    <row r="3" spans="1:59" ht="17.25" customHeight="1" thickBot="1">
      <c r="A3" s="456" t="s">
        <v>340</v>
      </c>
      <c r="B3" s="134">
        <f>'CPI+exchange rates'!I7</f>
        <v>72.34</v>
      </c>
      <c r="C3" s="116"/>
      <c r="D3" s="114">
        <f>'CPI+exchange rates'!C7</f>
        <v>91.5</v>
      </c>
      <c r="E3" s="116"/>
      <c r="F3" s="114">
        <f>'CPI+exchange rates'!F7</f>
        <v>72</v>
      </c>
      <c r="G3" s="116"/>
      <c r="H3" s="434" t="str">
        <f>Costs!AD3</f>
        <v>1997 </v>
      </c>
      <c r="I3" s="119"/>
      <c r="L3" s="336" t="str">
        <f t="shared" ref="L3:L66" si="0">A3</f>
        <v>Q4 1998</v>
      </c>
      <c r="M3" s="109"/>
      <c r="N3" s="110"/>
      <c r="O3" s="110"/>
      <c r="P3" s="110"/>
      <c r="Q3" s="112"/>
      <c r="R3" s="106"/>
      <c r="S3" s="106"/>
      <c r="T3" s="106"/>
      <c r="U3" s="461"/>
      <c r="V3" s="623"/>
      <c r="X3" s="116"/>
      <c r="Y3" s="451" t="str">
        <f>USD!BC4</f>
        <v>1997 </v>
      </c>
      <c r="Z3" s="118"/>
      <c r="AA3" s="118"/>
      <c r="AC3" s="625" t="str">
        <f t="shared" ref="AC3:AC34" si="1">L2</f>
        <v>Date</v>
      </c>
      <c r="AD3" s="952"/>
      <c r="AE3" s="952"/>
      <c r="AF3" s="952"/>
      <c r="AG3" s="952"/>
      <c r="AH3" s="470"/>
      <c r="AI3" s="952"/>
      <c r="AJ3" s="952"/>
      <c r="AK3" s="952"/>
      <c r="AL3" s="952"/>
      <c r="AM3" s="470"/>
      <c r="AN3" s="952"/>
      <c r="AO3" s="952"/>
      <c r="AP3" s="952"/>
      <c r="AQ3" s="954"/>
      <c r="AS3" s="638" t="s">
        <v>226</v>
      </c>
      <c r="AT3" s="310" t="s">
        <v>130</v>
      </c>
      <c r="AU3" s="310" t="s">
        <v>83</v>
      </c>
      <c r="AV3" s="310" t="s">
        <v>130</v>
      </c>
      <c r="AW3" s="310" t="s">
        <v>83</v>
      </c>
      <c r="AX3" s="310" t="s">
        <v>130</v>
      </c>
      <c r="AY3" s="639" t="s">
        <v>83</v>
      </c>
      <c r="BA3" s="638" t="s">
        <v>226</v>
      </c>
      <c r="BB3" s="310" t="s">
        <v>782</v>
      </c>
      <c r="BC3" s="310" t="s">
        <v>783</v>
      </c>
      <c r="BD3" s="310" t="s">
        <v>782</v>
      </c>
      <c r="BE3" s="310" t="s">
        <v>784</v>
      </c>
      <c r="BF3" s="310" t="s">
        <v>782</v>
      </c>
      <c r="BG3" s="639" t="s">
        <v>785</v>
      </c>
    </row>
    <row r="4" spans="1:59">
      <c r="A4" s="456" t="s">
        <v>339</v>
      </c>
      <c r="B4" s="134">
        <f>'CPI+exchange rates'!I8</f>
        <v>72.7</v>
      </c>
      <c r="C4" s="113">
        <f>(B4/B3)-1</f>
        <v>4.9764998617638501E-3</v>
      </c>
      <c r="D4" s="114">
        <f>'CPI+exchange rates'!C8</f>
        <v>91.7</v>
      </c>
      <c r="E4" s="113">
        <f>(D4/D3)-1</f>
        <v>2.1857923497268228E-3</v>
      </c>
      <c r="F4" s="114">
        <f>'CPI+exchange rates'!F8</f>
        <v>72.63</v>
      </c>
      <c r="G4" s="113">
        <f>(F4/F3)-1</f>
        <v>8.7500000000000355E-3</v>
      </c>
      <c r="H4" s="434" t="str">
        <f>Costs!AD4</f>
        <v>1998 </v>
      </c>
      <c r="I4" s="120">
        <f>B3</f>
        <v>72.34</v>
      </c>
      <c r="J4" s="23"/>
      <c r="L4" s="336" t="str">
        <f t="shared" si="0"/>
        <v>Q1 1999</v>
      </c>
      <c r="M4" s="457">
        <f>Returns!C8</f>
        <v>-1.2806109663260901E-2</v>
      </c>
      <c r="N4" s="110">
        <f t="shared" ref="N4:N35" si="2">M4-G4</f>
        <v>-2.1556109663260936E-2</v>
      </c>
      <c r="O4" s="110">
        <f>Returns!E8</f>
        <v>1.4206772062699269E-3</v>
      </c>
      <c r="P4" s="110">
        <f>O4-G4</f>
        <v>-7.3293227937301086E-3</v>
      </c>
      <c r="Q4" s="169">
        <f>USD!CX8</f>
        <v>0</v>
      </c>
      <c r="R4" s="87">
        <f t="shared" ref="R4:R35" si="3">Q4-E4</f>
        <v>-2.1857923497268228E-3</v>
      </c>
      <c r="S4" s="87">
        <f>Returns!V8</f>
        <v>0</v>
      </c>
      <c r="T4" s="87">
        <f>S4-E4</f>
        <v>-2.1857923497268228E-3</v>
      </c>
      <c r="U4" s="135">
        <f>USD!AR8</f>
        <v>-5.8435092498162478E-2</v>
      </c>
      <c r="V4" s="110">
        <f t="shared" ref="V4:V35" si="4">U4-C4</f>
        <v>-6.3411592359926328E-2</v>
      </c>
      <c r="W4" s="110">
        <f>Returns!N8</f>
        <v>2.4113687777131201E-2</v>
      </c>
      <c r="X4" s="111">
        <f>W4-C4</f>
        <v>1.9137187915367351E-2</v>
      </c>
      <c r="Y4" s="451" t="str">
        <f>USD!BC5</f>
        <v>1998 </v>
      </c>
      <c r="Z4" s="118"/>
      <c r="AA4" s="118"/>
      <c r="AC4" s="625" t="str">
        <f t="shared" si="1"/>
        <v>Q4 1998</v>
      </c>
      <c r="AD4" s="696"/>
      <c r="AE4" s="697"/>
      <c r="AF4" s="697"/>
      <c r="AG4" s="697"/>
      <c r="AH4" s="698"/>
      <c r="AI4" s="697"/>
      <c r="AJ4" s="697"/>
      <c r="AK4" s="697"/>
      <c r="AL4" s="697"/>
      <c r="AM4" s="698"/>
      <c r="AN4" s="697"/>
      <c r="AO4" s="697"/>
      <c r="AP4" s="697"/>
      <c r="AQ4" s="699"/>
      <c r="AS4" s="625" t="s">
        <v>808</v>
      </c>
      <c r="AT4" s="496">
        <f>AVERAGE(AE36:AE76)</f>
        <v>3.2516908124746217E-2</v>
      </c>
      <c r="AU4" s="496">
        <f>AVERAGE(AG36:AG76)</f>
        <v>2.5737837865047849E-2</v>
      </c>
      <c r="AV4" s="496">
        <f>AVERAGE(AJ36:AJ76)</f>
        <v>5.2202200972157692E-2</v>
      </c>
      <c r="AW4" s="496">
        <f>AVERAGE(AL36:AL76)</f>
        <v>3.9192704588516342E-2</v>
      </c>
      <c r="AX4" s="496">
        <f>AVERAGE(AO36:AO76)</f>
        <v>4.7311696568821636E-2</v>
      </c>
      <c r="AY4" s="645">
        <f>AVERAGE(AQ36:AQ76)</f>
        <v>2.6972994262228787E-2</v>
      </c>
      <c r="BA4" s="625" t="s">
        <v>491</v>
      </c>
      <c r="BB4" s="110">
        <f>AVERAGE(N12:N31)</f>
        <v>1.4467344937238391E-2</v>
      </c>
      <c r="BC4" s="110">
        <f>AVERAGE(P12:P31)</f>
        <v>1.2478712308741369E-3</v>
      </c>
      <c r="BD4" s="110">
        <f>AVERAGE(R12:R31)</f>
        <v>1.449374857359852E-2</v>
      </c>
      <c r="BE4" s="110">
        <f>AVERAGE(T12:T31)</f>
        <v>-1.3717618255400712E-4</v>
      </c>
      <c r="BF4" s="110">
        <f>AVERAGE(V12:V31)</f>
        <v>1.9976076127745844E-2</v>
      </c>
      <c r="BG4" s="627">
        <f>AVERAGE(X12:X31)</f>
        <v>7.4081682569475896E-3</v>
      </c>
    </row>
    <row r="5" spans="1:59">
      <c r="A5" s="456" t="s">
        <v>338</v>
      </c>
      <c r="B5" s="134">
        <f>'CPI+exchange rates'!I9</f>
        <v>73.320000000000007</v>
      </c>
      <c r="C5" s="113">
        <f t="shared" ref="C5:C35" si="5">(B5/B4)-1</f>
        <v>8.5281980742779595E-3</v>
      </c>
      <c r="D5" s="114">
        <f>'CPI+exchange rates'!C9</f>
        <v>92.7</v>
      </c>
      <c r="E5" s="113">
        <f t="shared" ref="E5:E68" si="6">(D5/D4)-1</f>
        <v>1.0905125408942284E-2</v>
      </c>
      <c r="F5" s="114">
        <f>'CPI+exchange rates'!F9</f>
        <v>73.17</v>
      </c>
      <c r="G5" s="113">
        <f t="shared" ref="G5:G68" si="7">(F5/F4)-1</f>
        <v>7.4349442379182396E-3</v>
      </c>
      <c r="H5" s="434" t="str">
        <f>Costs!AD5</f>
        <v>1999 </v>
      </c>
      <c r="I5" s="120">
        <f>B7</f>
        <v>73.84</v>
      </c>
      <c r="J5" s="23">
        <f>(I5/I4)-1</f>
        <v>2.0735416090682968E-2</v>
      </c>
      <c r="L5" s="336" t="str">
        <f t="shared" si="0"/>
        <v>Q2 1999</v>
      </c>
      <c r="M5" s="457">
        <f>Returns!C9</f>
        <v>-2.6679188548619504E-3</v>
      </c>
      <c r="N5" s="110">
        <f t="shared" si="2"/>
        <v>-1.010286309278019E-2</v>
      </c>
      <c r="O5" s="110">
        <f>Returns!E9</f>
        <v>1.5875272851554989E-2</v>
      </c>
      <c r="P5" s="110">
        <f t="shared" ref="P5:P68" si="8">O5-G5</f>
        <v>8.4403286136367495E-3</v>
      </c>
      <c r="Q5" s="467">
        <f>USD!CX9</f>
        <v>0</v>
      </c>
      <c r="R5" s="87">
        <f t="shared" si="3"/>
        <v>-1.0905125408942284E-2</v>
      </c>
      <c r="S5" s="87">
        <f>Returns!V9</f>
        <v>0</v>
      </c>
      <c r="T5" s="87">
        <f t="shared" ref="T5:T68" si="9">S5-E5</f>
        <v>-1.0905125408942284E-2</v>
      </c>
      <c r="U5" s="135">
        <f>USD!AR9</f>
        <v>-2.1751370310895357E-2</v>
      </c>
      <c r="V5" s="110">
        <f t="shared" si="4"/>
        <v>-3.0279568385173317E-2</v>
      </c>
      <c r="W5" s="110">
        <f>Returns!N9</f>
        <v>2.4113687777131201E-2</v>
      </c>
      <c r="X5" s="111">
        <f t="shared" ref="X5:X68" si="10">W5-C5</f>
        <v>1.5585489702853242E-2</v>
      </c>
      <c r="Y5" s="451" t="str">
        <f>USD!BC6</f>
        <v>1999 </v>
      </c>
      <c r="Z5" s="121">
        <f>Returns!Q6</f>
        <v>-5.8692267746834226E-2</v>
      </c>
      <c r="AA5" s="121">
        <f t="shared" ref="AA5:AA21" si="11">Z5-J5</f>
        <v>-7.9427683837517193E-2</v>
      </c>
      <c r="AC5" s="625" t="str">
        <f t="shared" si="1"/>
        <v>Q1 1999</v>
      </c>
      <c r="AD5" s="700">
        <f t="shared" ref="AD5:AD36" si="12">N4</f>
        <v>-2.1556109663260936E-2</v>
      </c>
      <c r="AE5" s="110"/>
      <c r="AF5" s="59">
        <f>'Benchmark finished'!B7</f>
        <v>0</v>
      </c>
      <c r="AG5" s="59"/>
      <c r="AI5" s="110">
        <f t="shared" ref="AI5:AI36" si="13">R4</f>
        <v>-2.1857923497268228E-3</v>
      </c>
      <c r="AJ5" s="110"/>
      <c r="AK5" s="59">
        <f>'Benchmark finished'!D7</f>
        <v>0</v>
      </c>
      <c r="AL5" s="59"/>
      <c r="AN5" s="110">
        <f>V4</f>
        <v>-6.3411592359926328E-2</v>
      </c>
      <c r="AO5" s="110"/>
      <c r="AP5" s="59">
        <f>'Benchmark finished'!C7</f>
        <v>0</v>
      </c>
      <c r="AQ5" s="626"/>
      <c r="AS5" s="625" t="s">
        <v>478</v>
      </c>
      <c r="AT5" s="537">
        <f>AVERAGE(AE36:AE52)</f>
        <v>4.5981728596337382E-2</v>
      </c>
      <c r="AU5" s="537">
        <f>AVERAGE(AG36:AG52)</f>
        <v>1.7093177236010094E-2</v>
      </c>
      <c r="AV5" s="537">
        <f>AVERAGE(AJ36:AJ52)</f>
        <v>7.2360142572796618E-2</v>
      </c>
      <c r="AW5" s="537">
        <f>AVERAGE(AL36:AL52)</f>
        <v>4.1723892567334553E-2</v>
      </c>
      <c r="AX5" s="537">
        <f>AVERAGE(AO36:AO52)</f>
        <v>7.1433414713521673E-2</v>
      </c>
      <c r="AY5" s="538">
        <f>AVERAGE(AQ36:AQ52)</f>
        <v>3.9815913275430548E-2</v>
      </c>
      <c r="BA5" s="625" t="s">
        <v>478</v>
      </c>
      <c r="BB5" s="110">
        <f>AVERAGE(N32:N51)</f>
        <v>9.8111096394744857E-3</v>
      </c>
      <c r="BC5" s="110">
        <f>AVERAGE(P32:P51)</f>
        <v>1.2611219813700707E-4</v>
      </c>
      <c r="BD5" s="110">
        <f>AVERAGE(R32:R51)</f>
        <v>1.5074830139013057E-2</v>
      </c>
      <c r="BE5" s="110">
        <f>AVERAGE(T32:T51)</f>
        <v>4.2397952552712869E-3</v>
      </c>
      <c r="BF5" s="110">
        <f>AVERAGE(V32:V51)</f>
        <v>1.7149559905536477E-2</v>
      </c>
      <c r="BG5" s="627">
        <f>AVERAGE(X32:X51)</f>
        <v>8.2036878656356373E-3</v>
      </c>
    </row>
    <row r="6" spans="1:59">
      <c r="A6" s="456" t="s">
        <v>337</v>
      </c>
      <c r="B6" s="134">
        <f>'CPI+exchange rates'!I10</f>
        <v>73.44</v>
      </c>
      <c r="C6" s="113">
        <f t="shared" si="5"/>
        <v>1.6366612111291534E-3</v>
      </c>
      <c r="D6" s="114">
        <f>'CPI+exchange rates'!C10</f>
        <v>93.300000000000011</v>
      </c>
      <c r="E6" s="113">
        <f t="shared" si="6"/>
        <v>6.4724919093852584E-3</v>
      </c>
      <c r="F6" s="114">
        <f>'CPI+exchange rates'!F10</f>
        <v>73.03</v>
      </c>
      <c r="G6" s="113">
        <f t="shared" si="7"/>
        <v>-1.913352466857976E-3</v>
      </c>
      <c r="H6" s="434" t="str">
        <f>Costs!AD6</f>
        <v>2000 </v>
      </c>
      <c r="I6" s="120">
        <f>B11</f>
        <v>75.960000000000008</v>
      </c>
      <c r="J6" s="23">
        <f>(I6/I5)-1</f>
        <v>2.8710725893824618E-2</v>
      </c>
      <c r="L6" s="336" t="str">
        <f t="shared" si="0"/>
        <v>Q3 1999</v>
      </c>
      <c r="M6" s="457">
        <f>Returns!C10</f>
        <v>3.3740647464486795E-2</v>
      </c>
      <c r="N6" s="110">
        <f t="shared" si="2"/>
        <v>3.5653999931344771E-2</v>
      </c>
      <c r="O6" s="110">
        <f>Returns!E10</f>
        <v>1.7983406728286244E-2</v>
      </c>
      <c r="P6" s="110">
        <f t="shared" si="8"/>
        <v>1.989675919514422E-2</v>
      </c>
      <c r="Q6" s="467">
        <f>USD!CX10</f>
        <v>0</v>
      </c>
      <c r="R6" s="87">
        <f t="shared" si="3"/>
        <v>-6.4724919093852584E-3</v>
      </c>
      <c r="S6" s="87">
        <f>Returns!V10</f>
        <v>0</v>
      </c>
      <c r="T6" s="87">
        <f t="shared" si="9"/>
        <v>-6.4724919093852584E-3</v>
      </c>
      <c r="U6" s="135">
        <f>USD!AR10</f>
        <v>5.7580763906302401E-2</v>
      </c>
      <c r="V6" s="110">
        <f t="shared" si="4"/>
        <v>5.5944102695173248E-2</v>
      </c>
      <c r="W6" s="110">
        <f>Returns!N10</f>
        <v>2.4113687777131201E-2</v>
      </c>
      <c r="X6" s="111">
        <f t="shared" si="10"/>
        <v>2.2477026566002048E-2</v>
      </c>
      <c r="Y6" s="451" t="str">
        <f>USD!BC7</f>
        <v>2000 </v>
      </c>
      <c r="Z6" s="121">
        <f>Returns!Q7</f>
        <v>-2.8164554540235809E-2</v>
      </c>
      <c r="AA6" s="121">
        <f t="shared" si="11"/>
        <v>-5.6875280434060427E-2</v>
      </c>
      <c r="AC6" s="625" t="str">
        <f t="shared" si="1"/>
        <v>Q2 1999</v>
      </c>
      <c r="AD6" s="700">
        <f t="shared" si="12"/>
        <v>-1.010286309278019E-2</v>
      </c>
      <c r="AE6" s="110"/>
      <c r="AF6" s="59">
        <f>'Benchmark finished'!B8</f>
        <v>0</v>
      </c>
      <c r="AG6" s="59"/>
      <c r="AI6" s="110">
        <f t="shared" si="13"/>
        <v>-1.0905125408942284E-2</v>
      </c>
      <c r="AJ6" s="110"/>
      <c r="AK6" s="59">
        <f>'Benchmark finished'!D8</f>
        <v>0</v>
      </c>
      <c r="AL6" s="59"/>
      <c r="AN6" s="110">
        <f t="shared" ref="AN6:AN69" si="14">V5</f>
        <v>-3.0279568385173317E-2</v>
      </c>
      <c r="AO6" s="110"/>
      <c r="AP6" s="59">
        <f>'Benchmark finished'!C8</f>
        <v>0</v>
      </c>
      <c r="AQ6" s="626"/>
      <c r="AS6" s="625" t="s">
        <v>490</v>
      </c>
      <c r="AT6" s="496">
        <f>AVERAGE(AE56:AE76)</f>
        <v>2.1296224398420254E-2</v>
      </c>
      <c r="AU6" s="496">
        <f>AVERAGE(AG56:AG76)</f>
        <v>3.2941721722579309E-2</v>
      </c>
      <c r="AV6" s="496">
        <f>AVERAGE(AJ56:AJ76)</f>
        <v>3.5403916304958594E-2</v>
      </c>
      <c r="AW6" s="496">
        <f>AVERAGE(AL56:AL76)</f>
        <v>3.7083381272834504E-2</v>
      </c>
      <c r="AX6" s="496">
        <f>AVERAGE(AO56:AO76)</f>
        <v>2.7210264781571607E-2</v>
      </c>
      <c r="AY6" s="645">
        <f>AVERAGE(AQ56:AQ76)</f>
        <v>1.6270561751227319E-2</v>
      </c>
      <c r="BA6" s="625" t="s">
        <v>490</v>
      </c>
      <c r="BB6" s="110">
        <f>AVERAGE(N52:N76)</f>
        <v>5.6397416365247532E-3</v>
      </c>
      <c r="BC6" s="110">
        <f>AVERAGE(P52:P75)</f>
        <v>2.2135696719866548E-2</v>
      </c>
      <c r="BD6" s="110">
        <f>AVERAGE(R52:R75)</f>
        <v>9.0396996972666264E-3</v>
      </c>
      <c r="BE6" s="110">
        <f>AVERAGE(T52:T75)</f>
        <v>2.1440478121081685E-2</v>
      </c>
      <c r="BF6" s="110">
        <f>AVERAGE(V52:V75)</f>
        <v>7.0924388356189512E-3</v>
      </c>
      <c r="BG6" s="627">
        <f>AVERAGE(X52:X75)</f>
        <v>1.6586250317056971E-2</v>
      </c>
    </row>
    <row r="7" spans="1:59" ht="15.75" thickBot="1">
      <c r="A7" s="456" t="s">
        <v>336</v>
      </c>
      <c r="B7" s="134">
        <f>'CPI+exchange rates'!I11</f>
        <v>73.84</v>
      </c>
      <c r="C7" s="113">
        <f t="shared" si="5"/>
        <v>5.4466230936820459E-3</v>
      </c>
      <c r="D7" s="114">
        <f>'CPI+exchange rates'!C11</f>
        <v>93.7</v>
      </c>
      <c r="E7" s="113">
        <f t="shared" si="6"/>
        <v>4.287245444801524E-3</v>
      </c>
      <c r="F7" s="114">
        <f>'CPI+exchange rates'!F11</f>
        <v>73.930000000000007</v>
      </c>
      <c r="G7" s="113">
        <f t="shared" si="7"/>
        <v>1.2323702587977658E-2</v>
      </c>
      <c r="H7" s="434" t="str">
        <f>Costs!AD7</f>
        <v>2001 </v>
      </c>
      <c r="I7" s="120">
        <f>B15</f>
        <v>79</v>
      </c>
      <c r="J7" s="23">
        <f t="shared" ref="J7:J22" si="15">(I7/I6)-1</f>
        <v>4.0021063717746053E-2</v>
      </c>
      <c r="L7" s="336" t="str">
        <f t="shared" si="0"/>
        <v>Q4 1999</v>
      </c>
      <c r="M7" s="457">
        <f>Returns!C11</f>
        <v>6.033078700732486E-2</v>
      </c>
      <c r="N7" s="110">
        <f t="shared" si="2"/>
        <v>4.8007084419347201E-2</v>
      </c>
      <c r="O7" s="110">
        <f>Returns!E11</f>
        <v>9.9263151860163878E-2</v>
      </c>
      <c r="P7" s="110">
        <f t="shared" si="8"/>
        <v>8.693944927218622E-2</v>
      </c>
      <c r="Q7" s="467">
        <f>USD!CX11</f>
        <v>0</v>
      </c>
      <c r="R7" s="87">
        <f t="shared" si="3"/>
        <v>-4.287245444801524E-3</v>
      </c>
      <c r="S7" s="87">
        <f>Returns!V11</f>
        <v>0</v>
      </c>
      <c r="T7" s="87">
        <f t="shared" si="9"/>
        <v>-4.287245444801524E-3</v>
      </c>
      <c r="U7" s="135">
        <f>USD!AR11</f>
        <v>-3.6086568844078792E-2</v>
      </c>
      <c r="V7" s="110">
        <f t="shared" si="4"/>
        <v>-4.1533191937760838E-2</v>
      </c>
      <c r="W7" s="110">
        <f>Returns!N11</f>
        <v>2.4113687777131201E-2</v>
      </c>
      <c r="X7" s="111">
        <f t="shared" si="10"/>
        <v>1.8667064683449155E-2</v>
      </c>
      <c r="Y7" s="451" t="str">
        <f>USD!BC8</f>
        <v>2001 </v>
      </c>
      <c r="Z7" s="121">
        <f>Returns!Q8</f>
        <v>-5.6545375726027025E-2</v>
      </c>
      <c r="AA7" s="121">
        <f t="shared" si="11"/>
        <v>-9.6566439443773078E-2</v>
      </c>
      <c r="AC7" s="625" t="str">
        <f t="shared" si="1"/>
        <v>Q3 1999</v>
      </c>
      <c r="AD7" s="700">
        <f t="shared" si="12"/>
        <v>3.5653999931344771E-2</v>
      </c>
      <c r="AE7" s="110"/>
      <c r="AF7" s="59">
        <f>'Benchmark finished'!B9</f>
        <v>0</v>
      </c>
      <c r="AG7" s="59"/>
      <c r="AI7" s="110">
        <f t="shared" si="13"/>
        <v>-6.4724919093852584E-3</v>
      </c>
      <c r="AJ7" s="110"/>
      <c r="AK7" s="59">
        <f>'Benchmark finished'!D9</f>
        <v>0</v>
      </c>
      <c r="AL7" s="59"/>
      <c r="AN7" s="110">
        <f t="shared" si="14"/>
        <v>5.5944102695173248E-2</v>
      </c>
      <c r="AO7" s="110"/>
      <c r="AP7" s="59">
        <f>'Benchmark finished'!C9</f>
        <v>0</v>
      </c>
      <c r="AQ7" s="626"/>
      <c r="AS7" s="625">
        <v>2006</v>
      </c>
      <c r="AT7" s="537">
        <f>AE36</f>
        <v>0.12472099219042065</v>
      </c>
      <c r="AU7" s="537">
        <f>AG36</f>
        <v>3.9977338601549173E-2</v>
      </c>
      <c r="AV7" s="537">
        <f>AJ36</f>
        <v>0.13700617989874542</v>
      </c>
      <c r="AW7" s="537">
        <f>AL36</f>
        <v>0.10721784276242041</v>
      </c>
      <c r="AX7" s="537">
        <f>AO36</f>
        <v>0.21510954408381644</v>
      </c>
      <c r="AY7" s="538">
        <f>AQ36</f>
        <v>5.4089747233080132E-2</v>
      </c>
      <c r="BA7" s="631" t="s">
        <v>499</v>
      </c>
      <c r="BB7" s="632">
        <f>AVERAGE(N12:N75)</f>
        <v>9.7019201689195565E-3</v>
      </c>
      <c r="BC7" s="632">
        <f>AVERAGE(P12:P75)</f>
        <v>8.7302560915159377E-3</v>
      </c>
      <c r="BD7" s="632">
        <f>AVERAGE(R12:R75)</f>
        <v>1.2630068234166103E-2</v>
      </c>
      <c r="BE7" s="632">
        <f>AVERAGE(T12:T75)</f>
        <v>9.3222477556297798E-3</v>
      </c>
      <c r="BF7" s="632">
        <f>AVERAGE(V12:V75)</f>
        <v>1.4261425823757832E-2</v>
      </c>
      <c r="BG7" s="634">
        <f>AVERAGE(X12:X75)</f>
        <v>1.1098548907203621E-2</v>
      </c>
    </row>
    <row r="8" spans="1:59">
      <c r="A8" s="456" t="s">
        <v>335</v>
      </c>
      <c r="B8" s="134">
        <f>'CPI+exchange rates'!I12</f>
        <v>74.070000000000007</v>
      </c>
      <c r="C8" s="113">
        <f t="shared" si="5"/>
        <v>3.1148429035754432E-3</v>
      </c>
      <c r="D8" s="114">
        <f>'CPI+exchange rates'!C12</f>
        <v>94.100000000000009</v>
      </c>
      <c r="E8" s="113">
        <f t="shared" si="6"/>
        <v>4.2689434364995282E-3</v>
      </c>
      <c r="F8" s="114">
        <f>'CPI+exchange rates'!F12</f>
        <v>74.73</v>
      </c>
      <c r="G8" s="113">
        <f t="shared" si="7"/>
        <v>1.0821046936291046E-2</v>
      </c>
      <c r="H8" s="434">
        <f>Costs!AD8</f>
        <v>2002</v>
      </c>
      <c r="I8" s="120">
        <f>B19</f>
        <v>81.239999999999995</v>
      </c>
      <c r="J8" s="23">
        <f t="shared" si="15"/>
        <v>2.835443037974672E-2</v>
      </c>
      <c r="L8" s="336" t="str">
        <f t="shared" si="0"/>
        <v>Q1 2000</v>
      </c>
      <c r="M8" s="457">
        <f>Returns!C12</f>
        <v>3.3425059086740205E-3</v>
      </c>
      <c r="N8" s="110">
        <f t="shared" si="2"/>
        <v>-7.478541027617025E-3</v>
      </c>
      <c r="O8" s="110">
        <f>Returns!E12</f>
        <v>5.3533662537651017E-2</v>
      </c>
      <c r="P8" s="110">
        <f t="shared" si="8"/>
        <v>4.2712615601359971E-2</v>
      </c>
      <c r="Q8" s="467">
        <f>USD!CX12</f>
        <v>0</v>
      </c>
      <c r="R8" s="87">
        <f t="shared" si="3"/>
        <v>-4.2689434364995282E-3</v>
      </c>
      <c r="S8" s="87">
        <f>Returns!V12</f>
        <v>0</v>
      </c>
      <c r="T8" s="87">
        <f t="shared" si="9"/>
        <v>-4.2689434364995282E-3</v>
      </c>
      <c r="U8" s="135">
        <f>USD!AR12</f>
        <v>-3.7848226616450154E-2</v>
      </c>
      <c r="V8" s="110">
        <f t="shared" si="4"/>
        <v>-4.0963069520025597E-2</v>
      </c>
      <c r="W8" s="110">
        <f>Returns!N12</f>
        <v>7.8485240453337705E-3</v>
      </c>
      <c r="X8" s="111">
        <f t="shared" si="10"/>
        <v>4.7336811417583273E-3</v>
      </c>
      <c r="Y8" s="451">
        <f>USD!BC9</f>
        <v>2002</v>
      </c>
      <c r="Z8" s="121">
        <f>Returns!Q9</f>
        <v>9.6880110748693071E-2</v>
      </c>
      <c r="AA8" s="121">
        <f t="shared" si="11"/>
        <v>6.8525680368946351E-2</v>
      </c>
      <c r="AC8" s="625" t="str">
        <f t="shared" si="1"/>
        <v>Q4 1999</v>
      </c>
      <c r="AD8" s="700">
        <f t="shared" si="12"/>
        <v>4.8007084419347201E-2</v>
      </c>
      <c r="AE8" s="110"/>
      <c r="AF8" s="59">
        <f>'Benchmark finished'!B10</f>
        <v>0</v>
      </c>
      <c r="AG8" s="59"/>
      <c r="AI8" s="110">
        <f t="shared" si="13"/>
        <v>-4.287245444801524E-3</v>
      </c>
      <c r="AJ8" s="110"/>
      <c r="AK8" s="59">
        <f>'Benchmark finished'!D10</f>
        <v>0</v>
      </c>
      <c r="AL8" s="59"/>
      <c r="AN8" s="110">
        <f t="shared" si="14"/>
        <v>-4.1533191937760838E-2</v>
      </c>
      <c r="AO8" s="110"/>
      <c r="AP8" s="59">
        <f>'Benchmark finished'!C10</f>
        <v>0</v>
      </c>
      <c r="AQ8" s="626"/>
      <c r="AS8" s="625">
        <v>2007</v>
      </c>
      <c r="AT8" s="496">
        <f>AE40</f>
        <v>8.2264715030836433E-2</v>
      </c>
      <c r="AU8" s="496">
        <f>AG40</f>
        <v>2.9107513392086615E-2</v>
      </c>
      <c r="AV8" s="496">
        <f>AJ40</f>
        <v>0.18632544762183811</v>
      </c>
      <c r="AW8" s="496">
        <f>AL40</f>
        <v>4.3897543110143822E-2</v>
      </c>
      <c r="AX8" s="496">
        <f>AO40</f>
        <v>0.1303181958653099</v>
      </c>
      <c r="AY8" s="645">
        <f>AQ40</f>
        <v>3.5116055262645274E-2</v>
      </c>
      <c r="BA8" s="637"/>
    </row>
    <row r="9" spans="1:59">
      <c r="A9" s="456" t="s">
        <v>334</v>
      </c>
      <c r="B9" s="134">
        <f>'CPI+exchange rates'!I13</f>
        <v>74.91</v>
      </c>
      <c r="C9" s="113">
        <f t="shared" si="5"/>
        <v>1.1340623734305222E-2</v>
      </c>
      <c r="D9" s="114">
        <f>'CPI+exchange rates'!C13</f>
        <v>95</v>
      </c>
      <c r="E9" s="113">
        <f t="shared" si="6"/>
        <v>9.5642933049946421E-3</v>
      </c>
      <c r="F9" s="114">
        <f>'CPI+exchange rates'!F13</f>
        <v>75.3</v>
      </c>
      <c r="G9" s="113">
        <f t="shared" si="7"/>
        <v>7.6274588518665531E-3</v>
      </c>
      <c r="H9" s="434" t="str">
        <f>Costs!AD9</f>
        <v>2003 </v>
      </c>
      <c r="I9" s="120">
        <f>B23</f>
        <v>82.76</v>
      </c>
      <c r="J9" s="23">
        <f t="shared" si="15"/>
        <v>1.870999507631721E-2</v>
      </c>
      <c r="L9" s="336" t="str">
        <f t="shared" si="0"/>
        <v>Q2 2000</v>
      </c>
      <c r="M9" s="457">
        <f>Returns!C13</f>
        <v>-1.1156068624270543E-2</v>
      </c>
      <c r="N9" s="110">
        <f t="shared" si="2"/>
        <v>-1.8783527476137096E-2</v>
      </c>
      <c r="O9" s="110">
        <f>Returns!E13</f>
        <v>1.5571703740073772E-3</v>
      </c>
      <c r="P9" s="110">
        <f t="shared" si="8"/>
        <v>-6.0702884778591759E-3</v>
      </c>
      <c r="Q9" s="467">
        <f>USD!CX13</f>
        <v>0</v>
      </c>
      <c r="R9" s="87">
        <f t="shared" si="3"/>
        <v>-9.5642933049946421E-3</v>
      </c>
      <c r="S9" s="87">
        <f>Returns!V13</f>
        <v>0</v>
      </c>
      <c r="T9" s="87">
        <f t="shared" si="9"/>
        <v>-9.5642933049946421E-3</v>
      </c>
      <c r="U9" s="135">
        <f>USD!AR13</f>
        <v>9.5845582518836459E-3</v>
      </c>
      <c r="V9" s="110">
        <f t="shared" si="4"/>
        <v>-1.756065482421576E-3</v>
      </c>
      <c r="W9" s="110">
        <f>Returns!N13</f>
        <v>7.8485240453337705E-3</v>
      </c>
      <c r="X9" s="111">
        <f t="shared" si="10"/>
        <v>-3.4920996889714513E-3</v>
      </c>
      <c r="Y9" s="451" t="str">
        <f>USD!BC10</f>
        <v>2003 </v>
      </c>
      <c r="Z9" s="121">
        <f>Returns!Q10</f>
        <v>0.30402085757776676</v>
      </c>
      <c r="AA9" s="121">
        <f t="shared" si="11"/>
        <v>0.28531086250144955</v>
      </c>
      <c r="AC9" s="625" t="str">
        <f t="shared" si="1"/>
        <v>Q1 2000</v>
      </c>
      <c r="AD9" s="700">
        <f t="shared" si="12"/>
        <v>-7.478541027617025E-3</v>
      </c>
      <c r="AE9" s="110"/>
      <c r="AF9" s="59">
        <f>'Benchmark finished'!B11</f>
        <v>0</v>
      </c>
      <c r="AG9" s="59"/>
      <c r="AI9" s="110">
        <f t="shared" si="13"/>
        <v>-4.2689434364995282E-3</v>
      </c>
      <c r="AJ9" s="110"/>
      <c r="AK9" s="59">
        <f>'Benchmark finished'!D11</f>
        <v>0</v>
      </c>
      <c r="AL9" s="59"/>
      <c r="AN9" s="110">
        <f t="shared" si="14"/>
        <v>-4.0963069520025597E-2</v>
      </c>
      <c r="AO9" s="110"/>
      <c r="AP9" s="59">
        <f>'Benchmark finished'!C11</f>
        <v>0</v>
      </c>
      <c r="AQ9" s="626"/>
      <c r="AS9" s="625">
        <v>2008</v>
      </c>
      <c r="AT9" s="537">
        <f>AE44</f>
        <v>-0.30853668528529943</v>
      </c>
      <c r="AU9" s="537">
        <f>AG44</f>
        <v>-0.27278829112760439</v>
      </c>
      <c r="AV9" s="537">
        <f>AJ44</f>
        <v>-0.33321515449314076</v>
      </c>
      <c r="AW9" s="537">
        <f>AL44</f>
        <v>-0.2810138157963894</v>
      </c>
      <c r="AX9" s="537">
        <f>AO44</f>
        <v>-0.25931247836077909</v>
      </c>
      <c r="AY9" s="538">
        <f>AQ44</f>
        <v>-0.19384849800458137</v>
      </c>
      <c r="BA9" s="637"/>
    </row>
    <row r="10" spans="1:59">
      <c r="A10" s="456" t="s">
        <v>333</v>
      </c>
      <c r="B10" s="134">
        <f>'CPI+exchange rates'!I14</f>
        <v>75.27</v>
      </c>
      <c r="C10" s="113">
        <f t="shared" si="5"/>
        <v>4.8057669203043218E-3</v>
      </c>
      <c r="D10" s="114">
        <f>'CPI+exchange rates'!C14</f>
        <v>95.9</v>
      </c>
      <c r="E10" s="113">
        <f t="shared" si="6"/>
        <v>9.4736842105263008E-3</v>
      </c>
      <c r="F10" s="114">
        <f>'CPI+exchange rates'!F14</f>
        <v>75.53</v>
      </c>
      <c r="G10" s="113">
        <f t="shared" si="7"/>
        <v>3.0544488711818918E-3</v>
      </c>
      <c r="H10" s="434">
        <f>Costs!AD10</f>
        <v>2004</v>
      </c>
      <c r="I10" s="120">
        <f>B27</f>
        <v>83.820000000000007</v>
      </c>
      <c r="J10" s="23">
        <f t="shared" si="15"/>
        <v>1.280811986466901E-2</v>
      </c>
      <c r="L10" s="336" t="str">
        <f t="shared" si="0"/>
        <v>Q3 2000</v>
      </c>
      <c r="M10" s="457">
        <f>Returns!C14</f>
        <v>-3.5758065980356024E-2</v>
      </c>
      <c r="N10" s="110">
        <f t="shared" si="2"/>
        <v>-3.8812514851537916E-2</v>
      </c>
      <c r="O10" s="110">
        <f>Returns!E14</f>
        <v>2.4108704540863224E-2</v>
      </c>
      <c r="P10" s="110">
        <f t="shared" si="8"/>
        <v>2.1054255669681332E-2</v>
      </c>
      <c r="Q10" s="467">
        <f>USD!CX14</f>
        <v>0</v>
      </c>
      <c r="R10" s="87">
        <f t="shared" si="3"/>
        <v>-9.4736842105263008E-3</v>
      </c>
      <c r="S10" s="87">
        <f>Returns!V14</f>
        <v>0</v>
      </c>
      <c r="T10" s="87">
        <f t="shared" si="9"/>
        <v>-9.4736842105263008E-3</v>
      </c>
      <c r="U10" s="135">
        <f>USD!AR14</f>
        <v>-7.2164300148073179E-2</v>
      </c>
      <c r="V10" s="110">
        <f t="shared" si="4"/>
        <v>-7.6970067068377501E-2</v>
      </c>
      <c r="W10" s="110">
        <f>Returns!N14</f>
        <v>7.8485240453337705E-3</v>
      </c>
      <c r="X10" s="111">
        <f t="shared" si="10"/>
        <v>3.0427571250294487E-3</v>
      </c>
      <c r="Y10" s="451">
        <f>USD!BC11</f>
        <v>2004</v>
      </c>
      <c r="Z10" s="121">
        <f>Returns!Q11</f>
        <v>0.19210386998337114</v>
      </c>
      <c r="AA10" s="121">
        <f t="shared" si="11"/>
        <v>0.17929575011870214</v>
      </c>
      <c r="AC10" s="625" t="str">
        <f t="shared" si="1"/>
        <v>Q2 2000</v>
      </c>
      <c r="AD10" s="701">
        <f t="shared" si="12"/>
        <v>-1.8783527476137096E-2</v>
      </c>
      <c r="AE10" s="215"/>
      <c r="AF10" s="65">
        <f>'Benchmark finished'!B12</f>
        <v>0</v>
      </c>
      <c r="AG10" s="65"/>
      <c r="AI10" s="215">
        <f t="shared" si="13"/>
        <v>-9.5642933049946421E-3</v>
      </c>
      <c r="AJ10" s="110"/>
      <c r="AK10" s="59">
        <f>'Benchmark finished'!D12</f>
        <v>0</v>
      </c>
      <c r="AL10" s="59"/>
      <c r="AN10" s="215">
        <f t="shared" si="14"/>
        <v>-1.756065482421576E-3</v>
      </c>
      <c r="AO10" s="215"/>
      <c r="AP10" s="65">
        <f>'Benchmark finished'!C12</f>
        <v>0</v>
      </c>
      <c r="AQ10" s="626"/>
      <c r="AS10" s="625">
        <v>2009</v>
      </c>
      <c r="AT10" s="496">
        <f>AE48</f>
        <v>0.27144870974630009</v>
      </c>
      <c r="AU10" s="496">
        <f>AG48</f>
        <v>0.20392270089520648</v>
      </c>
      <c r="AV10" s="496">
        <f>AJ48</f>
        <v>0.25113199300514832</v>
      </c>
      <c r="AW10" s="496">
        <f>AL48</f>
        <v>0.24547770590272355</v>
      </c>
      <c r="AX10" s="496">
        <f>AO48</f>
        <v>0.22909610065215924</v>
      </c>
      <c r="AY10" s="645">
        <f>AQ48</f>
        <v>0.20367777043656865</v>
      </c>
      <c r="BA10" s="637"/>
    </row>
    <row r="11" spans="1:59">
      <c r="A11" s="456" t="s">
        <v>332</v>
      </c>
      <c r="B11" s="134">
        <f>'CPI+exchange rates'!I15</f>
        <v>75.960000000000008</v>
      </c>
      <c r="C11" s="113">
        <f t="shared" si="5"/>
        <v>9.1669988043046047E-3</v>
      </c>
      <c r="D11" s="114">
        <f>'CPI+exchange rates'!C15</f>
        <v>96.5</v>
      </c>
      <c r="E11" s="113">
        <f t="shared" si="6"/>
        <v>6.2565172054223073E-3</v>
      </c>
      <c r="F11" s="114">
        <f>'CPI+exchange rates'!F15</f>
        <v>76.23</v>
      </c>
      <c r="G11" s="113">
        <f t="shared" si="7"/>
        <v>9.2678405931418961E-3</v>
      </c>
      <c r="H11" s="434" t="str">
        <f>Costs!AD11</f>
        <v>2005 </v>
      </c>
      <c r="I11" s="120">
        <f>B31</f>
        <v>85.36</v>
      </c>
      <c r="J11" s="23">
        <f t="shared" si="15"/>
        <v>1.837270341207331E-2</v>
      </c>
      <c r="L11" s="336" t="str">
        <f t="shared" si="0"/>
        <v>Q4 2000</v>
      </c>
      <c r="M11" s="458">
        <f>Returns!C15</f>
        <v>1.4857588145565481E-2</v>
      </c>
      <c r="N11" s="215">
        <f t="shared" si="2"/>
        <v>5.5897475524235851E-3</v>
      </c>
      <c r="O11" s="215">
        <f>Returns!E15</f>
        <v>-1.4196153390281241E-2</v>
      </c>
      <c r="P11" s="468">
        <f t="shared" si="8"/>
        <v>-2.3463993983423137E-2</v>
      </c>
      <c r="Q11" s="171">
        <f>USD!CX15</f>
        <v>-7.8801248872425012E-2</v>
      </c>
      <c r="R11" s="100">
        <f t="shared" si="3"/>
        <v>-8.5057766077847319E-2</v>
      </c>
      <c r="S11" s="191">
        <f>Returns!V15</f>
        <v>-8.0393111661825251E-2</v>
      </c>
      <c r="T11" s="199">
        <f t="shared" si="9"/>
        <v>-8.6649628867247558E-2</v>
      </c>
      <c r="U11" s="171">
        <f>USD!AR15</f>
        <v>7.2263413972403878E-2</v>
      </c>
      <c r="V11" s="215">
        <f t="shared" si="4"/>
        <v>6.3096415168099274E-2</v>
      </c>
      <c r="W11" s="215">
        <f>Returns!N15</f>
        <v>7.8485240453337705E-3</v>
      </c>
      <c r="X11" s="468">
        <f t="shared" si="10"/>
        <v>-1.3184747589708341E-3</v>
      </c>
      <c r="Y11" s="451" t="str">
        <f>USD!BC12</f>
        <v>2005 </v>
      </c>
      <c r="Z11" s="121">
        <f>Returns!Q12</f>
        <v>-1.9730742936255208E-2</v>
      </c>
      <c r="AA11" s="121">
        <f t="shared" si="11"/>
        <v>-3.8103446348328518E-2</v>
      </c>
      <c r="AC11" s="625" t="str">
        <f t="shared" si="1"/>
        <v>Q3 2000</v>
      </c>
      <c r="AD11" s="700">
        <f>N10</f>
        <v>-3.8812514851537916E-2</v>
      </c>
      <c r="AE11" s="110"/>
      <c r="AF11" s="110">
        <f>'Benchmark finished'!B13-G10</f>
        <v>-8.6863908853590556E-3</v>
      </c>
      <c r="AG11" s="110"/>
      <c r="AH11" s="453"/>
      <c r="AI11" s="110">
        <f t="shared" si="13"/>
        <v>-9.4736842105263008E-3</v>
      </c>
      <c r="AJ11" s="110"/>
      <c r="AK11" s="59">
        <f>'Benchmark finished'!D13</f>
        <v>0</v>
      </c>
      <c r="AL11" s="59"/>
      <c r="AN11" s="110">
        <f t="shared" si="14"/>
        <v>-7.6970067068377501E-2</v>
      </c>
      <c r="AO11" s="110"/>
      <c r="AP11" s="110">
        <f>'Benchmark finished'!C13-C10</f>
        <v>-9.8677089344814846E-3</v>
      </c>
      <c r="AQ11" s="627"/>
      <c r="AS11" s="625">
        <v>2010</v>
      </c>
      <c r="AT11" s="537">
        <f>AE52</f>
        <v>6.0010911299429148E-2</v>
      </c>
      <c r="AU11" s="537">
        <f>AG52</f>
        <v>8.5246624418812589E-2</v>
      </c>
      <c r="AV11" s="537">
        <f>AJ52</f>
        <v>0.12055224683139198</v>
      </c>
      <c r="AW11" s="537">
        <f>AL52</f>
        <v>9.3040186857774376E-2</v>
      </c>
      <c r="AX11" s="537">
        <f>AO52</f>
        <v>4.1955711327101852E-2</v>
      </c>
      <c r="AY11" s="538">
        <f>AQ52</f>
        <v>0.10004449144944005</v>
      </c>
      <c r="BA11" s="637"/>
    </row>
    <row r="12" spans="1:59">
      <c r="A12" s="456" t="s">
        <v>331</v>
      </c>
      <c r="B12" s="134">
        <f>'CPI+exchange rates'!I16</f>
        <v>77</v>
      </c>
      <c r="C12" s="113">
        <f t="shared" si="5"/>
        <v>1.3691416535018375E-2</v>
      </c>
      <c r="D12" s="114">
        <f>'CPI+exchange rates'!C16</f>
        <v>96.7</v>
      </c>
      <c r="E12" s="113">
        <f t="shared" si="6"/>
        <v>2.0725388601037231E-3</v>
      </c>
      <c r="F12" s="114">
        <f>'CPI+exchange rates'!F16</f>
        <v>77.37</v>
      </c>
      <c r="G12" s="113">
        <f t="shared" si="7"/>
        <v>1.4954742227469398E-2</v>
      </c>
      <c r="H12" s="434" t="str">
        <f>Costs!AD12</f>
        <v>2006 </v>
      </c>
      <c r="I12" s="120">
        <f>B35</f>
        <v>86.04</v>
      </c>
      <c r="J12" s="23">
        <f t="shared" si="15"/>
        <v>7.9662605435801837E-3</v>
      </c>
      <c r="L12" s="336" t="str">
        <f t="shared" si="0"/>
        <v>Q1 2001</v>
      </c>
      <c r="M12" s="457">
        <f>Returns!C16</f>
        <v>-7.2598594490699164E-2</v>
      </c>
      <c r="N12" s="110">
        <f t="shared" si="2"/>
        <v>-8.7553336718168562E-2</v>
      </c>
      <c r="O12" s="110">
        <f>Returns!E16</f>
        <v>-4.2037518520749328E-2</v>
      </c>
      <c r="P12" s="110">
        <f t="shared" si="8"/>
        <v>-5.6992260748218726E-2</v>
      </c>
      <c r="Q12" s="135">
        <f>USD!CX16</f>
        <v>-0.17056492080631502</v>
      </c>
      <c r="R12" s="106">
        <f t="shared" si="3"/>
        <v>-0.17263745966641875</v>
      </c>
      <c r="S12" s="107">
        <f>Returns!V16</f>
        <v>-0.13047371791053514</v>
      </c>
      <c r="T12" s="107">
        <f t="shared" si="9"/>
        <v>-0.13254625677063886</v>
      </c>
      <c r="U12" s="135">
        <f>USD!AR16</f>
        <v>-7.2598243954973274E-2</v>
      </c>
      <c r="V12" s="110">
        <f t="shared" si="4"/>
        <v>-8.6289660489991649E-2</v>
      </c>
      <c r="W12" s="110">
        <f>Returns!N16</f>
        <v>-1.5053294593090299E-2</v>
      </c>
      <c r="X12" s="111">
        <f t="shared" si="10"/>
        <v>-2.8744711128108676E-2</v>
      </c>
      <c r="Y12" s="451" t="str">
        <f>USD!BC13</f>
        <v>2006 </v>
      </c>
      <c r="Z12" s="121">
        <f>Returns!Q13</f>
        <v>0.20868661304458969</v>
      </c>
      <c r="AA12" s="121">
        <f t="shared" si="11"/>
        <v>0.2007203525010095</v>
      </c>
      <c r="AC12" s="625" t="str">
        <f t="shared" si="1"/>
        <v>Q4 2000</v>
      </c>
      <c r="AD12" s="700">
        <f t="shared" si="12"/>
        <v>5.5897475524235851E-3</v>
      </c>
      <c r="AE12" s="110"/>
      <c r="AF12" s="110">
        <f>'Benchmark finished'!B14-G11</f>
        <v>-2.0143035107100738E-2</v>
      </c>
      <c r="AG12" s="110"/>
      <c r="AH12" s="453"/>
      <c r="AI12" s="110">
        <f t="shared" si="13"/>
        <v>-8.5057766077847319E-2</v>
      </c>
      <c r="AJ12" s="110"/>
      <c r="AK12" s="59">
        <f>'Benchmark finished'!D14</f>
        <v>0</v>
      </c>
      <c r="AL12" s="59"/>
      <c r="AN12" s="110">
        <f t="shared" si="14"/>
        <v>6.3096415168099274E-2</v>
      </c>
      <c r="AO12" s="110"/>
      <c r="AP12" s="110">
        <f>'Benchmark finished'!C14-C11</f>
        <v>-2.3702193318263447E-2</v>
      </c>
      <c r="AQ12" s="627"/>
      <c r="AS12" s="625">
        <v>2011</v>
      </c>
      <c r="AT12" s="496">
        <f>AE56</f>
        <v>-4.8568527240320236E-2</v>
      </c>
      <c r="AU12" s="496">
        <f>AG56</f>
        <v>-4.5081275520368891E-2</v>
      </c>
      <c r="AV12" s="496">
        <f>AJ56</f>
        <v>1.1474666488635599E-3</v>
      </c>
      <c r="AW12" s="496">
        <f>AL56</f>
        <v>-7.1111979485197652E-2</v>
      </c>
      <c r="AX12" s="496">
        <f>AO56</f>
        <v>-2.4746019891388915E-2</v>
      </c>
      <c r="AY12" s="645">
        <f>AQ56</f>
        <v>-6.0137186320722513E-2</v>
      </c>
      <c r="BA12" s="637"/>
    </row>
    <row r="13" spans="1:59">
      <c r="A13" s="456" t="s">
        <v>330</v>
      </c>
      <c r="B13" s="134">
        <f>'CPI+exchange rates'!I17</f>
        <v>78.2</v>
      </c>
      <c r="C13" s="113">
        <f t="shared" si="5"/>
        <v>1.558441558441559E-2</v>
      </c>
      <c r="D13" s="114">
        <f>'CPI+exchange rates'!C17</f>
        <v>98.4</v>
      </c>
      <c r="E13" s="113">
        <f t="shared" si="6"/>
        <v>1.7580144777662898E-2</v>
      </c>
      <c r="F13" s="114">
        <f>'CPI+exchange rates'!F17</f>
        <v>78.27</v>
      </c>
      <c r="G13" s="113">
        <f t="shared" si="7"/>
        <v>1.1632415664986295E-2</v>
      </c>
      <c r="H13" s="434" t="str">
        <f>Costs!AD13</f>
        <v>2007 </v>
      </c>
      <c r="I13" s="120">
        <f>B39</f>
        <v>87.59</v>
      </c>
      <c r="J13" s="23">
        <f t="shared" si="15"/>
        <v>1.8014876801487612E-2</v>
      </c>
      <c r="L13" s="336" t="str">
        <f t="shared" si="0"/>
        <v>Q2 2001</v>
      </c>
      <c r="M13" s="457">
        <f>Returns!C17</f>
        <v>-4.7676841306213413E-3</v>
      </c>
      <c r="N13" s="110">
        <f t="shared" si="2"/>
        <v>-1.6400099795607637E-2</v>
      </c>
      <c r="O13" s="110">
        <f>Returns!E17</f>
        <v>2.0011787962030736E-2</v>
      </c>
      <c r="P13" s="110">
        <f t="shared" si="8"/>
        <v>8.3793722970444406E-3</v>
      </c>
      <c r="Q13" s="135">
        <f>USD!CX17</f>
        <v>4.5589708583753774E-2</v>
      </c>
      <c r="R13" s="106">
        <f t="shared" si="3"/>
        <v>2.8009563806090876E-2</v>
      </c>
      <c r="S13" s="107">
        <f>Returns!V17</f>
        <v>7.7397064312870623E-3</v>
      </c>
      <c r="T13" s="107">
        <f t="shared" si="9"/>
        <v>-9.840438346375836E-3</v>
      </c>
      <c r="U13" s="135">
        <f>USD!AR17</f>
        <v>-1.8682681851353911E-2</v>
      </c>
      <c r="V13" s="110">
        <f t="shared" si="4"/>
        <v>-3.42670974357695E-2</v>
      </c>
      <c r="W13" s="110">
        <f>Returns!N17</f>
        <v>2.4728834678657701E-2</v>
      </c>
      <c r="X13" s="111">
        <f t="shared" si="10"/>
        <v>9.1444190942421115E-3</v>
      </c>
      <c r="Y13" s="451" t="str">
        <f>USD!BC14</f>
        <v>2007 </v>
      </c>
      <c r="Z13" s="121">
        <f>Returns!Q14</f>
        <v>0.14358951561793143</v>
      </c>
      <c r="AA13" s="121">
        <f t="shared" si="11"/>
        <v>0.12557463881644382</v>
      </c>
      <c r="AC13" s="625" t="str">
        <f t="shared" si="1"/>
        <v>Q1 2001</v>
      </c>
      <c r="AD13" s="700">
        <f t="shared" si="12"/>
        <v>-8.7553336718168562E-2</v>
      </c>
      <c r="AE13" s="110"/>
      <c r="AF13" s="110">
        <f>'Benchmark finished'!B15-G12</f>
        <v>-7.6226308224550107E-2</v>
      </c>
      <c r="AG13" s="110"/>
      <c r="AH13" s="453"/>
      <c r="AI13" s="110">
        <f t="shared" si="13"/>
        <v>-0.17263745966641875</v>
      </c>
      <c r="AJ13" s="110"/>
      <c r="AK13" s="59">
        <f>'Benchmark finished'!D15</f>
        <v>0</v>
      </c>
      <c r="AL13" s="59"/>
      <c r="AN13" s="110">
        <f t="shared" si="14"/>
        <v>-8.6289660489991649E-2</v>
      </c>
      <c r="AO13" s="110"/>
      <c r="AP13" s="110">
        <f>'Benchmark finished'!C15-C12</f>
        <v>-6.8727092455372424E-2</v>
      </c>
      <c r="AQ13" s="627"/>
      <c r="AS13" s="625">
        <v>2012</v>
      </c>
      <c r="AT13" s="537">
        <f>AE60</f>
        <v>0.12927085268702143</v>
      </c>
      <c r="AU13" s="537">
        <f>AG60</f>
        <v>0.10709773219319096</v>
      </c>
      <c r="AV13" s="537">
        <f>AJ60</f>
        <v>0.10939361583645457</v>
      </c>
      <c r="AW13" s="537">
        <f>AL60</f>
        <v>0.11817095722616</v>
      </c>
      <c r="AX13" s="537">
        <f>AO60</f>
        <v>0.1232515969466268</v>
      </c>
      <c r="AY13" s="538">
        <f>AQ60</f>
        <v>7.9288333948392742E-2</v>
      </c>
      <c r="BA13" s="637"/>
    </row>
    <row r="14" spans="1:59">
      <c r="A14" s="456" t="s">
        <v>329</v>
      </c>
      <c r="B14" s="134">
        <f>'CPI+exchange rates'!I18</f>
        <v>78.489999999999995</v>
      </c>
      <c r="C14" s="113">
        <f t="shared" si="5"/>
        <v>3.7084398976980903E-3</v>
      </c>
      <c r="D14" s="114">
        <f>'CPI+exchange rates'!C18</f>
        <v>98.5</v>
      </c>
      <c r="E14" s="113">
        <f t="shared" si="6"/>
        <v>1.0162601626015899E-3</v>
      </c>
      <c r="F14" s="114">
        <f>'CPI+exchange rates'!F18</f>
        <v>77.47</v>
      </c>
      <c r="G14" s="113">
        <f t="shared" si="7"/>
        <v>-1.0221029768749168E-2</v>
      </c>
      <c r="H14" s="434" t="str">
        <f>Costs!AD14</f>
        <v>2008 </v>
      </c>
      <c r="I14" s="120">
        <f>B43</f>
        <v>89.63</v>
      </c>
      <c r="J14" s="23">
        <f t="shared" si="15"/>
        <v>2.3290329946340727E-2</v>
      </c>
      <c r="L14" s="336" t="str">
        <f t="shared" si="0"/>
        <v>Q3 2001</v>
      </c>
      <c r="M14" s="457">
        <f>Returns!C18</f>
        <v>-1.4371566095631727E-2</v>
      </c>
      <c r="N14" s="110">
        <f t="shared" si="2"/>
        <v>-4.150536326882559E-3</v>
      </c>
      <c r="O14" s="110">
        <f>Returns!E18</f>
        <v>-6.3600728654100602E-2</v>
      </c>
      <c r="P14" s="110">
        <f t="shared" si="8"/>
        <v>-5.3379698885351434E-2</v>
      </c>
      <c r="Q14" s="135">
        <f>USD!CX18</f>
        <v>-0.17318577657020084</v>
      </c>
      <c r="R14" s="106">
        <f t="shared" si="3"/>
        <v>-0.17420203673280243</v>
      </c>
      <c r="S14" s="107">
        <f>Returns!V18</f>
        <v>-0.13935264315231038</v>
      </c>
      <c r="T14" s="107">
        <f t="shared" si="9"/>
        <v>-0.14036890331491197</v>
      </c>
      <c r="U14" s="135">
        <f>USD!AR18</f>
        <v>7.6748178116028409E-3</v>
      </c>
      <c r="V14" s="110">
        <f t="shared" si="4"/>
        <v>3.9663779139047506E-3</v>
      </c>
      <c r="W14" s="110">
        <f>Returns!N18</f>
        <v>-6.3306387857984994E-2</v>
      </c>
      <c r="X14" s="111">
        <f t="shared" si="10"/>
        <v>-6.7014827755683085E-2</v>
      </c>
      <c r="Y14" s="451" t="str">
        <f>USD!BC15</f>
        <v>2008 </v>
      </c>
      <c r="Z14" s="121">
        <f>Returns!Q15</f>
        <v>-0.25394825131911503</v>
      </c>
      <c r="AA14" s="121">
        <f t="shared" si="11"/>
        <v>-0.27723858126545575</v>
      </c>
      <c r="AC14" s="625" t="str">
        <f t="shared" si="1"/>
        <v>Q2 2001</v>
      </c>
      <c r="AD14" s="700">
        <f t="shared" si="12"/>
        <v>-1.6400099795607637E-2</v>
      </c>
      <c r="AE14" s="110"/>
      <c r="AF14" s="110">
        <f>'Benchmark finished'!B16-G13</f>
        <v>4.2256023530317238E-3</v>
      </c>
      <c r="AG14" s="110"/>
      <c r="AH14" s="453"/>
      <c r="AI14" s="110">
        <f t="shared" si="13"/>
        <v>2.8009563806090876E-2</v>
      </c>
      <c r="AJ14" s="110"/>
      <c r="AK14" s="59">
        <f>'Benchmark finished'!D16</f>
        <v>0</v>
      </c>
      <c r="AL14" s="59"/>
      <c r="AN14" s="110">
        <f t="shared" si="14"/>
        <v>-3.42670974357695E-2</v>
      </c>
      <c r="AO14" s="110"/>
      <c r="AP14" s="110">
        <f>'Benchmark finished'!C16-C13</f>
        <v>-1.2418584640951826E-3</v>
      </c>
      <c r="AQ14" s="627"/>
      <c r="AS14" s="625">
        <v>2013</v>
      </c>
      <c r="AT14" s="496">
        <f>AE64</f>
        <v>0.11574589076275532</v>
      </c>
      <c r="AU14" s="496">
        <f>AG64</f>
        <v>0.1290409655610063</v>
      </c>
      <c r="AV14" s="496">
        <f>AJ64</f>
        <v>5.1291876307776541E-2</v>
      </c>
      <c r="AW14" s="496">
        <f>AL64</f>
        <v>0.14247551890135934</v>
      </c>
      <c r="AX14" s="496">
        <f>AO64</f>
        <v>9.2802334175007051E-2</v>
      </c>
      <c r="AY14" s="645">
        <f>AQ64</f>
        <v>4.5470117377561348E-2</v>
      </c>
      <c r="BA14" s="637"/>
    </row>
    <row r="15" spans="1:59">
      <c r="A15" s="456" t="s">
        <v>328</v>
      </c>
      <c r="B15" s="134">
        <f>'CPI+exchange rates'!I19</f>
        <v>79</v>
      </c>
      <c r="C15" s="113">
        <f t="shared" si="5"/>
        <v>6.4976430118486306E-3</v>
      </c>
      <c r="D15" s="114">
        <f>'CPI+exchange rates'!C19</f>
        <v>97.600000000000009</v>
      </c>
      <c r="E15" s="113">
        <f t="shared" si="6"/>
        <v>-9.1370558375634126E-3</v>
      </c>
      <c r="F15" s="114">
        <f>'CPI+exchange rates'!F19</f>
        <v>77.77</v>
      </c>
      <c r="G15" s="113">
        <f t="shared" si="7"/>
        <v>3.8724667613270203E-3</v>
      </c>
      <c r="H15" s="434" t="str">
        <f>Costs!AD15</f>
        <v>2009 </v>
      </c>
      <c r="I15" s="120">
        <f>B47</f>
        <v>90.460000000000008</v>
      </c>
      <c r="J15" s="23">
        <f t="shared" si="15"/>
        <v>9.2602923128417558E-3</v>
      </c>
      <c r="L15" s="336" t="str">
        <f t="shared" si="0"/>
        <v>Q4 2001</v>
      </c>
      <c r="M15" s="457">
        <f>Returns!C19</f>
        <v>2.3057028013401482E-2</v>
      </c>
      <c r="N15" s="110">
        <f t="shared" si="2"/>
        <v>1.9184561252074461E-2</v>
      </c>
      <c r="O15" s="110">
        <f>Returns!E19</f>
        <v>3.4556846008906961E-2</v>
      </c>
      <c r="P15" s="110">
        <f t="shared" si="8"/>
        <v>3.068437924757994E-2</v>
      </c>
      <c r="Q15" s="135">
        <f>USD!CX19</f>
        <v>0.10015458760346996</v>
      </c>
      <c r="R15" s="106">
        <f t="shared" si="3"/>
        <v>0.10929164344103337</v>
      </c>
      <c r="S15" s="107">
        <f>Returns!V19</f>
        <v>0.11168054723177755</v>
      </c>
      <c r="T15" s="107">
        <f t="shared" si="9"/>
        <v>0.12081760306934096</v>
      </c>
      <c r="U15" s="135">
        <f>USD!AR19</f>
        <v>2.7060732268697318E-2</v>
      </c>
      <c r="V15" s="110">
        <f t="shared" si="4"/>
        <v>2.0563089256848688E-2</v>
      </c>
      <c r="W15" s="110">
        <f>Returns!N19</f>
        <v>5.04770839232093E-2</v>
      </c>
      <c r="X15" s="111">
        <f t="shared" si="10"/>
        <v>4.3979440911360669E-2</v>
      </c>
      <c r="Y15" s="451" t="str">
        <f>USD!BC16</f>
        <v>2009 </v>
      </c>
      <c r="Z15" s="121">
        <f>Returns!Q16</f>
        <v>0.22327686596376539</v>
      </c>
      <c r="AA15" s="121">
        <f t="shared" si="11"/>
        <v>0.21401657365092364</v>
      </c>
      <c r="AC15" s="625" t="str">
        <f t="shared" si="1"/>
        <v>Q3 2001</v>
      </c>
      <c r="AD15" s="700">
        <f t="shared" si="12"/>
        <v>-4.150536326882559E-3</v>
      </c>
      <c r="AE15" s="110"/>
      <c r="AF15" s="110">
        <f>'Benchmark finished'!B17-G14</f>
        <v>-4.9289161802132032E-2</v>
      </c>
      <c r="AG15" s="110"/>
      <c r="AH15" s="453"/>
      <c r="AI15" s="110">
        <f t="shared" si="13"/>
        <v>-0.17420203673280243</v>
      </c>
      <c r="AJ15" s="110"/>
      <c r="AK15" s="59">
        <f>'Benchmark finished'!D17</f>
        <v>0</v>
      </c>
      <c r="AL15" s="59"/>
      <c r="AN15" s="110">
        <f t="shared" si="14"/>
        <v>3.9663779139047506E-3</v>
      </c>
      <c r="AO15" s="110"/>
      <c r="AP15" s="110">
        <f>'Benchmark finished'!C17-C14</f>
        <v>-6.2048852552525395E-2</v>
      </c>
      <c r="AQ15" s="627"/>
      <c r="AS15" s="625">
        <v>2014</v>
      </c>
      <c r="AT15" s="537">
        <f>AE68</f>
        <v>-2.636540217896155E-2</v>
      </c>
      <c r="AU15" s="537">
        <f>AG68</f>
        <v>2.7602232459742471E-3</v>
      </c>
      <c r="AV15" s="537">
        <f>AJ68</f>
        <v>3.7919739785286399E-2</v>
      </c>
      <c r="AW15" s="537">
        <f>AL68</f>
        <v>-1.400986368949364E-3</v>
      </c>
      <c r="AX15" s="537">
        <f>AO68</f>
        <v>-3.3342439717245487E-3</v>
      </c>
      <c r="AY15" s="538">
        <f>AQ68</f>
        <v>1.1046516947943896E-2</v>
      </c>
      <c r="BA15" s="637"/>
    </row>
    <row r="16" spans="1:59">
      <c r="A16" s="456" t="s">
        <v>327</v>
      </c>
      <c r="B16" s="134">
        <f>'CPI+exchange rates'!I20</f>
        <v>79.900000000000006</v>
      </c>
      <c r="C16" s="113">
        <f t="shared" si="5"/>
        <v>1.13924050632912E-2</v>
      </c>
      <c r="D16" s="114">
        <f>'CPI+exchange rates'!C20</f>
        <v>98.2</v>
      </c>
      <c r="E16" s="113">
        <f t="shared" si="6"/>
        <v>6.1475409836064809E-3</v>
      </c>
      <c r="F16" s="114">
        <f>'CPI+exchange rates'!F20</f>
        <v>78.17</v>
      </c>
      <c r="G16" s="113">
        <f t="shared" si="7"/>
        <v>5.143371480005321E-3</v>
      </c>
      <c r="H16" s="434" t="str">
        <f>Costs!AD16</f>
        <v>2010 </v>
      </c>
      <c r="I16" s="120">
        <f>B51</f>
        <v>91.99</v>
      </c>
      <c r="J16" s="23">
        <f t="shared" si="15"/>
        <v>1.6913552951580701E-2</v>
      </c>
      <c r="L16" s="336" t="str">
        <f t="shared" si="0"/>
        <v>Q1 2002</v>
      </c>
      <c r="M16" s="457">
        <f>Returns!C20</f>
        <v>-5.245273836852693E-3</v>
      </c>
      <c r="N16" s="110">
        <f t="shared" si="2"/>
        <v>-1.0388645316858014E-2</v>
      </c>
      <c r="O16" s="110">
        <f>Returns!E20</f>
        <v>-2.0506024432779824E-2</v>
      </c>
      <c r="P16" s="110">
        <f t="shared" si="8"/>
        <v>-2.5649395912785145E-2</v>
      </c>
      <c r="Q16" s="135">
        <f>USD!CX20</f>
        <v>1.8955222109689585E-2</v>
      </c>
      <c r="R16" s="106">
        <f t="shared" si="3"/>
        <v>1.2807681126083104E-2</v>
      </c>
      <c r="S16" s="107">
        <f>Returns!V20</f>
        <v>1.8412630448738521E-2</v>
      </c>
      <c r="T16" s="107">
        <f t="shared" si="9"/>
        <v>1.226508946513204E-2</v>
      </c>
      <c r="U16" s="135">
        <f>USD!AR20</f>
        <v>-3.8578549556389508E-3</v>
      </c>
      <c r="V16" s="110">
        <f t="shared" si="4"/>
        <v>-1.5250260018930151E-2</v>
      </c>
      <c r="W16" s="110">
        <f>Returns!N20</f>
        <v>1.6693118652624302E-2</v>
      </c>
      <c r="X16" s="111">
        <f t="shared" si="10"/>
        <v>5.3007135893331017E-3</v>
      </c>
      <c r="Y16" s="451" t="str">
        <f>USD!BC17</f>
        <v>2010 </v>
      </c>
      <c r="Z16" s="121">
        <f>Returns!Q17</f>
        <v>3.7637742089441817E-2</v>
      </c>
      <c r="AA16" s="121">
        <f t="shared" si="11"/>
        <v>2.0724189137861115E-2</v>
      </c>
      <c r="AC16" s="625" t="str">
        <f t="shared" si="1"/>
        <v>Q4 2001</v>
      </c>
      <c r="AD16" s="700">
        <f t="shared" si="12"/>
        <v>1.9184561252074461E-2</v>
      </c>
      <c r="AE16" s="110"/>
      <c r="AF16" s="110">
        <f>'Benchmark finished'!B18-G15</f>
        <v>3.0076747178916161E-2</v>
      </c>
      <c r="AG16" s="110"/>
      <c r="AH16" s="453"/>
      <c r="AI16" s="110">
        <f t="shared" si="13"/>
        <v>0.10929164344103337</v>
      </c>
      <c r="AJ16" s="110"/>
      <c r="AK16" s="59">
        <f>'Benchmark finished'!D18</f>
        <v>0</v>
      </c>
      <c r="AL16" s="59"/>
      <c r="AN16" s="110">
        <f t="shared" si="14"/>
        <v>2.0563089256848688E-2</v>
      </c>
      <c r="AO16" s="110"/>
      <c r="AP16" s="110">
        <f>'Benchmark finished'!C18-C15</f>
        <v>2.6660297348943492E-2</v>
      </c>
      <c r="AQ16" s="627"/>
      <c r="AS16" s="625">
        <v>2015</v>
      </c>
      <c r="AT16" s="496">
        <f>AE72</f>
        <v>-5.1074504963926071E-2</v>
      </c>
      <c r="AU16" s="496">
        <f>AG72</f>
        <v>-3.5583727224099193E-2</v>
      </c>
      <c r="AV16" s="496">
        <f>AJ72</f>
        <v>-4.9814482354403E-2</v>
      </c>
      <c r="AW16" s="496">
        <f>AL72</f>
        <v>-3.2259641108260073E-2</v>
      </c>
      <c r="AX16" s="496">
        <f>AO72</f>
        <v>-8.3736949458873E-2</v>
      </c>
      <c r="AY16" s="645">
        <f>AQ72</f>
        <v>-4.4582229587120104E-2</v>
      </c>
      <c r="BA16" s="637"/>
    </row>
    <row r="17" spans="1:51" ht="15.75" thickBot="1">
      <c r="A17" s="456" t="s">
        <v>326</v>
      </c>
      <c r="B17" s="134">
        <f>'CPI+exchange rates'!I21</f>
        <v>80.820000000000007</v>
      </c>
      <c r="C17" s="113">
        <f t="shared" si="5"/>
        <v>1.1514392991239131E-2</v>
      </c>
      <c r="D17" s="114">
        <f>'CPI+exchange rates'!C21</f>
        <v>99.7</v>
      </c>
      <c r="E17" s="113">
        <f t="shared" si="6"/>
        <v>1.5274949083503131E-2</v>
      </c>
      <c r="F17" s="114">
        <f>'CPI+exchange rates'!F21</f>
        <v>78.63</v>
      </c>
      <c r="G17" s="113">
        <f t="shared" si="7"/>
        <v>5.8846104643723862E-3</v>
      </c>
      <c r="H17" s="434" t="str">
        <f>Costs!AD17</f>
        <v>2011 </v>
      </c>
      <c r="I17" s="120">
        <f>B55</f>
        <v>94.3</v>
      </c>
      <c r="J17" s="23">
        <f t="shared" si="15"/>
        <v>2.5111425154908273E-2</v>
      </c>
      <c r="L17" s="336" t="str">
        <f t="shared" si="0"/>
        <v>Q2 2002</v>
      </c>
      <c r="M17" s="457">
        <f>Returns!C21</f>
        <v>4.5141183052912703E-2</v>
      </c>
      <c r="N17" s="110">
        <f t="shared" si="2"/>
        <v>3.9256572588540317E-2</v>
      </c>
      <c r="O17" s="110">
        <f>Returns!E21</f>
        <v>-0.11194300304766092</v>
      </c>
      <c r="P17" s="110">
        <f t="shared" si="8"/>
        <v>-0.1178276135120333</v>
      </c>
      <c r="Q17" s="135">
        <f>USD!CX21</f>
        <v>-7.1275491553524195E-2</v>
      </c>
      <c r="R17" s="106">
        <f t="shared" si="3"/>
        <v>-8.6550440637027326E-2</v>
      </c>
      <c r="S17" s="107">
        <f>Returns!V21</f>
        <v>-0.11464391068306069</v>
      </c>
      <c r="T17" s="107">
        <f t="shared" si="9"/>
        <v>-0.12991885976656381</v>
      </c>
      <c r="U17" s="135">
        <f>USD!AR21</f>
        <v>6.5861583204426255E-2</v>
      </c>
      <c r="V17" s="110">
        <f t="shared" si="4"/>
        <v>5.4347190213187124E-2</v>
      </c>
      <c r="W17" s="110">
        <f>Returns!N21</f>
        <v>-5.8467129632802102E-2</v>
      </c>
      <c r="X17" s="111">
        <f t="shared" si="10"/>
        <v>-6.9981522624041226E-2</v>
      </c>
      <c r="Y17" s="451" t="str">
        <f>USD!BC18</f>
        <v>2011 </v>
      </c>
      <c r="Z17" s="121">
        <f>Returns!Q18</f>
        <v>1.4333896313787342E-3</v>
      </c>
      <c r="AA17" s="121">
        <f t="shared" si="11"/>
        <v>-2.3678035523529539E-2</v>
      </c>
      <c r="AC17" s="625" t="str">
        <f t="shared" si="1"/>
        <v>Q1 2002</v>
      </c>
      <c r="AD17" s="700">
        <f t="shared" si="12"/>
        <v>-1.0388645316858014E-2</v>
      </c>
      <c r="AE17" s="110"/>
      <c r="AF17" s="110">
        <f>'Benchmark finished'!B19-G16</f>
        <v>-5.6829574386011794E-3</v>
      </c>
      <c r="AG17" s="110"/>
      <c r="AH17" s="453"/>
      <c r="AI17" s="110">
        <f t="shared" si="13"/>
        <v>1.2807681126083104E-2</v>
      </c>
      <c r="AJ17" s="110"/>
      <c r="AK17" s="59">
        <f>'Benchmark finished'!D19</f>
        <v>0</v>
      </c>
      <c r="AL17" s="59"/>
      <c r="AN17" s="110">
        <f t="shared" si="14"/>
        <v>-1.5250260018930151E-2</v>
      </c>
      <c r="AO17" s="110"/>
      <c r="AP17" s="110">
        <f>'Benchmark finished'!C19-C16</f>
        <v>-9.8942945322380935E-3</v>
      </c>
      <c r="AQ17" s="627"/>
      <c r="AS17" s="631">
        <v>2016</v>
      </c>
      <c r="AT17" s="633">
        <f>AE76</f>
        <v>8.769037323952622E-3</v>
      </c>
      <c r="AU17" s="633">
        <f>AG76</f>
        <v>3.9416412079772423E-2</v>
      </c>
      <c r="AV17" s="633">
        <f>AJ76</f>
        <v>6.2485281605773491E-2</v>
      </c>
      <c r="AW17" s="633">
        <f>AL76</f>
        <v>6.6626418471894766E-2</v>
      </c>
      <c r="AX17" s="633">
        <f>AO76</f>
        <v>5.9024870889782255E-2</v>
      </c>
      <c r="AY17" s="688">
        <f>AQ76</f>
        <v>6.6537818141308547E-2</v>
      </c>
    </row>
    <row r="18" spans="1:51" ht="15.75" thickBot="1">
      <c r="A18" s="456" t="s">
        <v>325</v>
      </c>
      <c r="B18" s="134">
        <f>'CPI+exchange rates'!I22</f>
        <v>81.010000000000005</v>
      </c>
      <c r="C18" s="113">
        <f t="shared" si="5"/>
        <v>2.3509032417718956E-3</v>
      </c>
      <c r="D18" s="114">
        <f>'CPI+exchange rates'!C22</f>
        <v>100.80000000000001</v>
      </c>
      <c r="E18" s="113">
        <f t="shared" si="6"/>
        <v>1.1033099297893756E-2</v>
      </c>
      <c r="F18" s="114">
        <f>'CPI+exchange rates'!F22</f>
        <v>78.570000000000007</v>
      </c>
      <c r="G18" s="113">
        <f t="shared" si="7"/>
        <v>-7.6306753147636908E-4</v>
      </c>
      <c r="H18" s="434" t="str">
        <f>Costs!AD18</f>
        <v>2012 </v>
      </c>
      <c r="I18" s="120">
        <f>B59</f>
        <v>96.98</v>
      </c>
      <c r="J18" s="23">
        <f t="shared" si="15"/>
        <v>2.8419936373276888E-2</v>
      </c>
      <c r="L18" s="336" t="str">
        <f t="shared" si="0"/>
        <v>Q3 2002</v>
      </c>
      <c r="M18" s="457">
        <f>Returns!C22</f>
        <v>-5.1110678966358347E-2</v>
      </c>
      <c r="N18" s="110">
        <f t="shared" si="2"/>
        <v>-5.0347611434881978E-2</v>
      </c>
      <c r="O18" s="110">
        <f>Returns!E22</f>
        <v>-6.293338748236188E-2</v>
      </c>
      <c r="P18" s="110">
        <f t="shared" si="8"/>
        <v>-6.2170319950885511E-2</v>
      </c>
      <c r="Q18" s="135">
        <f>USD!CX22</f>
        <v>-0.19002639054591275</v>
      </c>
      <c r="R18" s="106">
        <f t="shared" si="3"/>
        <v>-0.2010594898438065</v>
      </c>
      <c r="S18" s="107">
        <f>Returns!V22</f>
        <v>-0.15525008921291783</v>
      </c>
      <c r="T18" s="107">
        <f t="shared" si="9"/>
        <v>-0.16628318851081159</v>
      </c>
      <c r="U18" s="135">
        <f>USD!AR22</f>
        <v>-5.0913851637325869E-2</v>
      </c>
      <c r="V18" s="110">
        <f t="shared" si="4"/>
        <v>-5.3264754879097764E-2</v>
      </c>
      <c r="W18" s="110">
        <f>Returns!N22</f>
        <v>-5.1537168802297903E-2</v>
      </c>
      <c r="X18" s="111">
        <f t="shared" si="10"/>
        <v>-5.3888072044069799E-2</v>
      </c>
      <c r="Y18" s="451" t="str">
        <f>USD!BC19</f>
        <v>2012 </v>
      </c>
      <c r="Z18" s="121">
        <f>Returns!Q19</f>
        <v>0.15096960282978111</v>
      </c>
      <c r="AA18" s="121">
        <f t="shared" si="11"/>
        <v>0.12254966645650422</v>
      </c>
      <c r="AC18" s="625" t="str">
        <f t="shared" si="1"/>
        <v>Q2 2002</v>
      </c>
      <c r="AD18" s="700">
        <f t="shared" si="12"/>
        <v>3.9256572588540317E-2</v>
      </c>
      <c r="AE18" s="110"/>
      <c r="AF18" s="110">
        <f>'Benchmark finished'!B20-G17</f>
        <v>-2.519138916451413E-2</v>
      </c>
      <c r="AG18" s="110"/>
      <c r="AH18" s="453"/>
      <c r="AI18" s="110">
        <f t="shared" si="13"/>
        <v>-8.6550440637027326E-2</v>
      </c>
      <c r="AJ18" s="110"/>
      <c r="AK18" s="59">
        <f>'Benchmark finished'!D20</f>
        <v>0</v>
      </c>
      <c r="AL18" s="59"/>
      <c r="AN18" s="110">
        <f t="shared" si="14"/>
        <v>5.4347190213187124E-2</v>
      </c>
      <c r="AO18" s="110"/>
      <c r="AP18" s="110">
        <f>'Benchmark finished'!C20-C17</f>
        <v>-2.6294677016345434E-2</v>
      </c>
      <c r="AQ18" s="627"/>
    </row>
    <row r="19" spans="1:51" ht="15" customHeight="1">
      <c r="A19" s="456" t="s">
        <v>324</v>
      </c>
      <c r="B19" s="134">
        <f>'CPI+exchange rates'!I23</f>
        <v>81.239999999999995</v>
      </c>
      <c r="C19" s="113">
        <f t="shared" si="5"/>
        <v>2.8391556597948675E-3</v>
      </c>
      <c r="D19" s="114">
        <f>'CPI+exchange rates'!C23</f>
        <v>101.30000000000001</v>
      </c>
      <c r="E19" s="113">
        <f t="shared" si="6"/>
        <v>4.9603174603174427E-3</v>
      </c>
      <c r="F19" s="114">
        <f>'CPI+exchange rates'!F23</f>
        <v>79.5</v>
      </c>
      <c r="G19" s="113">
        <f t="shared" si="7"/>
        <v>1.1836578846887935E-2</v>
      </c>
      <c r="H19" s="434" t="str">
        <f>Costs!AD19</f>
        <v>2013 </v>
      </c>
      <c r="I19" s="120">
        <f>B63</f>
        <v>98.490000000000009</v>
      </c>
      <c r="J19" s="23">
        <f t="shared" si="15"/>
        <v>1.5570220664054446E-2</v>
      </c>
      <c r="L19" s="336" t="str">
        <f t="shared" si="0"/>
        <v>Q4 2002</v>
      </c>
      <c r="M19" s="457">
        <f>Returns!C23</f>
        <v>6.1876489349170782E-2</v>
      </c>
      <c r="N19" s="110">
        <f t="shared" si="2"/>
        <v>5.0039910502282847E-2</v>
      </c>
      <c r="O19" s="110">
        <f>Returns!E23</f>
        <v>-7.3314698935088574E-3</v>
      </c>
      <c r="P19" s="110">
        <f t="shared" si="8"/>
        <v>-1.9168048740396793E-2</v>
      </c>
      <c r="Q19" s="135">
        <f>USD!CX23</f>
        <v>6.167922556828298E-2</v>
      </c>
      <c r="R19" s="106">
        <f t="shared" si="3"/>
        <v>5.6718908107965538E-2</v>
      </c>
      <c r="S19" s="107">
        <f>Returns!V23</f>
        <v>5.7395562068322699E-2</v>
      </c>
      <c r="T19" s="107">
        <f t="shared" si="9"/>
        <v>5.2435244608005256E-2</v>
      </c>
      <c r="U19" s="135">
        <f>USD!AR23</f>
        <v>8.5790234137231636E-2</v>
      </c>
      <c r="V19" s="110">
        <f t="shared" si="4"/>
        <v>8.2951078477436768E-2</v>
      </c>
      <c r="W19" s="110">
        <f>Returns!N23</f>
        <v>2.2519919541788801E-2</v>
      </c>
      <c r="X19" s="111">
        <f t="shared" si="10"/>
        <v>1.9680763881993933E-2</v>
      </c>
      <c r="Y19" s="451" t="str">
        <f>USD!BC20</f>
        <v>2013 </v>
      </c>
      <c r="Z19" s="121">
        <f>Returns!Q20</f>
        <v>0.11288722059316991</v>
      </c>
      <c r="AA19" s="121">
        <f t="shared" si="11"/>
        <v>9.7316999929115466E-2</v>
      </c>
      <c r="AC19" s="625" t="str">
        <f t="shared" si="1"/>
        <v>Q3 2002</v>
      </c>
      <c r="AD19" s="700">
        <f t="shared" si="12"/>
        <v>-5.0347611434881978E-2</v>
      </c>
      <c r="AE19" s="110"/>
      <c r="AF19" s="110">
        <f>'Benchmark finished'!B21-G18</f>
        <v>-6.3856612320355888E-2</v>
      </c>
      <c r="AG19" s="110"/>
      <c r="AH19" s="453"/>
      <c r="AI19" s="110">
        <f t="shared" si="13"/>
        <v>-0.2010594898438065</v>
      </c>
      <c r="AJ19" s="110"/>
      <c r="AK19" s="59">
        <f>'Benchmark finished'!D21</f>
        <v>0</v>
      </c>
      <c r="AL19" s="59"/>
      <c r="AN19" s="110">
        <f t="shared" si="14"/>
        <v>-5.3264754879097764E-2</v>
      </c>
      <c r="AO19" s="110"/>
      <c r="AP19" s="110">
        <f>'Benchmark finished'!C21-C18</f>
        <v>-4.9995263130646082E-2</v>
      </c>
      <c r="AQ19" s="627"/>
      <c r="AS19" s="646"/>
      <c r="AT19" s="959" t="s">
        <v>239</v>
      </c>
      <c r="AU19" s="959"/>
      <c r="AV19" s="959" t="s">
        <v>266</v>
      </c>
      <c r="AW19" s="959"/>
      <c r="AX19" s="959" t="s">
        <v>833</v>
      </c>
      <c r="AY19" s="960"/>
    </row>
    <row r="20" spans="1:51" ht="15.75" customHeight="1">
      <c r="A20" s="456" t="s">
        <v>323</v>
      </c>
      <c r="B20" s="134">
        <f>'CPI+exchange rates'!I24</f>
        <v>81.84</v>
      </c>
      <c r="C20" s="113">
        <f t="shared" si="5"/>
        <v>7.3855243722305008E-3</v>
      </c>
      <c r="D20" s="114">
        <f>'CPI+exchange rates'!C24</f>
        <v>102.60000000000001</v>
      </c>
      <c r="E20" s="113">
        <f t="shared" si="6"/>
        <v>1.2833168805528095E-2</v>
      </c>
      <c r="F20" s="114">
        <f>'CPI+exchange rates'!F24</f>
        <v>81.77</v>
      </c>
      <c r="G20" s="113">
        <f t="shared" si="7"/>
        <v>2.8553459119496916E-2</v>
      </c>
      <c r="H20" s="434" t="str">
        <f>Costs!AD20</f>
        <v>2014 </v>
      </c>
      <c r="I20" s="120">
        <f>B67</f>
        <v>99.38</v>
      </c>
      <c r="J20" s="23">
        <f t="shared" si="15"/>
        <v>9.0364504010558289E-3</v>
      </c>
      <c r="L20" s="336" t="str">
        <f t="shared" si="0"/>
        <v>Q1 2003</v>
      </c>
      <c r="M20" s="457">
        <f>Returns!C24</f>
        <v>-5.2966055573544502E-4</v>
      </c>
      <c r="N20" s="110">
        <f t="shared" si="2"/>
        <v>-2.9083119675232361E-2</v>
      </c>
      <c r="O20" s="110">
        <f>Returns!E24</f>
        <v>4.6920582615721074E-2</v>
      </c>
      <c r="P20" s="110">
        <f t="shared" si="8"/>
        <v>1.8367123496224158E-2</v>
      </c>
      <c r="Q20" s="135">
        <f>USD!CX24</f>
        <v>5.0637176272201323E-3</v>
      </c>
      <c r="R20" s="106">
        <f t="shared" si="3"/>
        <v>-7.7694511783079623E-3</v>
      </c>
      <c r="S20" s="107">
        <f>Returns!V24</f>
        <v>-6.4186304947613793E-2</v>
      </c>
      <c r="T20" s="107">
        <f t="shared" si="9"/>
        <v>-7.7019473753141887E-2</v>
      </c>
      <c r="U20" s="135">
        <f>USD!AR24</f>
        <v>1.9973941470632584E-2</v>
      </c>
      <c r="V20" s="110">
        <f t="shared" si="4"/>
        <v>1.2588417098402083E-2</v>
      </c>
      <c r="W20" s="110">
        <f>Returns!N24</f>
        <v>-1.9097453219927899E-2</v>
      </c>
      <c r="X20" s="111">
        <f t="shared" si="10"/>
        <v>-2.64829775921584E-2</v>
      </c>
      <c r="Y20" s="451" t="str">
        <f>USD!BC21</f>
        <v>2014 </v>
      </c>
      <c r="Z20" s="121">
        <f>Returns!Q21</f>
        <v>1.2030714726396496E-3</v>
      </c>
      <c r="AA20" s="121">
        <f t="shared" si="11"/>
        <v>-7.8333789284161792E-3</v>
      </c>
      <c r="AC20" s="625" t="str">
        <f t="shared" si="1"/>
        <v>Q4 2002</v>
      </c>
      <c r="AD20" s="700">
        <f t="shared" si="12"/>
        <v>5.0039910502282847E-2</v>
      </c>
      <c r="AE20" s="110"/>
      <c r="AF20" s="110">
        <f>'Benchmark finished'!B22-G19</f>
        <v>3.7389173815390642E-2</v>
      </c>
      <c r="AG20" s="110"/>
      <c r="AH20" s="453"/>
      <c r="AI20" s="110">
        <f t="shared" si="13"/>
        <v>5.6718908107965538E-2</v>
      </c>
      <c r="AJ20" s="110"/>
      <c r="AK20" s="59">
        <f>'Benchmark finished'!D22</f>
        <v>0</v>
      </c>
      <c r="AL20" s="59"/>
      <c r="AN20" s="110">
        <f t="shared" si="14"/>
        <v>8.2951078477436768E-2</v>
      </c>
      <c r="AO20" s="110"/>
      <c r="AP20" s="110">
        <f>'Benchmark finished'!C22-C19</f>
        <v>4.1018958836914067E-2</v>
      </c>
      <c r="AQ20" s="627"/>
      <c r="AS20" s="647"/>
      <c r="AT20" s="929"/>
      <c r="AU20" s="929"/>
      <c r="AV20" s="929"/>
      <c r="AW20" s="929"/>
      <c r="AX20" s="929"/>
      <c r="AY20" s="961"/>
    </row>
    <row r="21" spans="1:51">
      <c r="A21" s="456" t="s">
        <v>322</v>
      </c>
      <c r="B21" s="134">
        <f>'CPI+exchange rates'!I25</f>
        <v>82.44</v>
      </c>
      <c r="C21" s="113">
        <f t="shared" si="5"/>
        <v>7.3313782991202281E-3</v>
      </c>
      <c r="D21" s="114">
        <f>'CPI+exchange rates'!C25</f>
        <v>102.5</v>
      </c>
      <c r="E21" s="113">
        <f t="shared" si="6"/>
        <v>-9.746588693957392E-4</v>
      </c>
      <c r="F21" s="114">
        <f>'CPI+exchange rates'!F25</f>
        <v>80.400000000000006</v>
      </c>
      <c r="G21" s="113">
        <f t="shared" si="7"/>
        <v>-1.6754310871957778E-2</v>
      </c>
      <c r="H21" s="434">
        <f>Costs!AD21</f>
        <v>2015</v>
      </c>
      <c r="I21" s="120">
        <f>B71</f>
        <v>100</v>
      </c>
      <c r="J21" s="23">
        <f t="shared" si="15"/>
        <v>6.2386798148521549E-3</v>
      </c>
      <c r="L21" s="336" t="str">
        <f t="shared" si="0"/>
        <v>Q2 2003</v>
      </c>
      <c r="M21" s="457">
        <f>Returns!C25</f>
        <v>0.10705794985463957</v>
      </c>
      <c r="N21" s="110">
        <f t="shared" si="2"/>
        <v>0.12381226072659735</v>
      </c>
      <c r="O21" s="110">
        <f>Returns!E25</f>
        <v>0.10121502959068573</v>
      </c>
      <c r="P21" s="110">
        <f t="shared" si="8"/>
        <v>0.11796934046264351</v>
      </c>
      <c r="Q21" s="135">
        <f>USD!CX25</f>
        <v>0.18159377191792281</v>
      </c>
      <c r="R21" s="106">
        <f t="shared" si="3"/>
        <v>0.18256843078731855</v>
      </c>
      <c r="S21" s="107">
        <f>Returns!V25</f>
        <v>9.1465065157535969E-2</v>
      </c>
      <c r="T21" s="107">
        <f t="shared" si="9"/>
        <v>9.2439724026931708E-2</v>
      </c>
      <c r="U21" s="135">
        <f>USD!AR25</f>
        <v>0.12216248352844428</v>
      </c>
      <c r="V21" s="110">
        <f t="shared" si="4"/>
        <v>0.11483110522932405</v>
      </c>
      <c r="W21" s="110">
        <f>Returns!N25</f>
        <v>6.6316525676841195E-2</v>
      </c>
      <c r="X21" s="111">
        <f t="shared" si="10"/>
        <v>5.8985147377720967E-2</v>
      </c>
      <c r="Y21" s="451">
        <f>USD!BC22</f>
        <v>2015</v>
      </c>
      <c r="Z21" s="121">
        <f>Returns!Q22</f>
        <v>-7.6315985326085078E-2</v>
      </c>
      <c r="AA21" s="121">
        <f t="shared" si="11"/>
        <v>-8.2554665140937233E-2</v>
      </c>
      <c r="AC21" s="625" t="str">
        <f t="shared" si="1"/>
        <v>Q1 2003</v>
      </c>
      <c r="AD21" s="700">
        <f t="shared" si="12"/>
        <v>-2.9083119675232361E-2</v>
      </c>
      <c r="AE21" s="110"/>
      <c r="AF21" s="110">
        <f>'Benchmark finished'!B23-G20</f>
        <v>-4.3799591705116769E-2</v>
      </c>
      <c r="AG21" s="110"/>
      <c r="AH21" s="453"/>
      <c r="AI21" s="110">
        <f t="shared" si="13"/>
        <v>-7.7694511783079623E-3</v>
      </c>
      <c r="AJ21" s="110"/>
      <c r="AK21" s="59">
        <f>'Benchmark finished'!D23</f>
        <v>0</v>
      </c>
      <c r="AL21" s="59"/>
      <c r="AN21" s="110">
        <f t="shared" si="14"/>
        <v>1.2588417098402083E-2</v>
      </c>
      <c r="AO21" s="110"/>
      <c r="AP21" s="110">
        <f>'Benchmark finished'!C23-C20</f>
        <v>-3.0311496733536312E-2</v>
      </c>
      <c r="AQ21" s="627"/>
      <c r="AS21" s="625"/>
      <c r="AT21" s="914" t="s">
        <v>787</v>
      </c>
      <c r="AU21" s="914"/>
      <c r="AV21" s="914"/>
      <c r="AW21" s="914"/>
      <c r="AX21" s="914"/>
      <c r="AY21" s="958"/>
    </row>
    <row r="22" spans="1:51">
      <c r="A22" s="456" t="s">
        <v>321</v>
      </c>
      <c r="B22" s="134">
        <f>'CPI+exchange rates'!I26</f>
        <v>82.68</v>
      </c>
      <c r="C22" s="113">
        <f t="shared" si="5"/>
        <v>2.9112081513829047E-3</v>
      </c>
      <c r="D22" s="114">
        <f>'CPI+exchange rates'!C26</f>
        <v>102.9</v>
      </c>
      <c r="E22" s="113">
        <f t="shared" si="6"/>
        <v>3.9024390243902474E-3</v>
      </c>
      <c r="F22" s="114">
        <f>'CPI+exchange rates'!F26</f>
        <v>80.070000000000007</v>
      </c>
      <c r="G22" s="113">
        <f t="shared" si="7"/>
        <v>-4.104477611940327E-3</v>
      </c>
      <c r="H22" s="434">
        <f>Costs!AD22</f>
        <v>2016</v>
      </c>
      <c r="I22" s="120">
        <f>B72</f>
        <v>99.44</v>
      </c>
      <c r="J22" s="23">
        <f t="shared" si="15"/>
        <v>-5.6000000000000494E-3</v>
      </c>
      <c r="L22" s="336" t="str">
        <f t="shared" si="0"/>
        <v>Q3 2003</v>
      </c>
      <c r="M22" s="457">
        <f>Returns!C26</f>
        <v>3.0902312267568233E-2</v>
      </c>
      <c r="N22" s="110">
        <f t="shared" si="2"/>
        <v>3.500678987950856E-2</v>
      </c>
      <c r="O22" s="110">
        <f>Returns!E26</f>
        <v>7.6947280739130264E-3</v>
      </c>
      <c r="P22" s="110">
        <f t="shared" si="8"/>
        <v>1.1799205685853353E-2</v>
      </c>
      <c r="Q22" s="135">
        <f>USD!CX26</f>
        <v>6.3240014772481867E-2</v>
      </c>
      <c r="R22" s="106">
        <f t="shared" si="3"/>
        <v>5.933757574809162E-2</v>
      </c>
      <c r="S22" s="107">
        <f>Returns!V26</f>
        <v>5.5962640614333495E-2</v>
      </c>
      <c r="T22" s="107">
        <f t="shared" si="9"/>
        <v>5.2060201589943247E-2</v>
      </c>
      <c r="U22" s="135">
        <f>USD!AR26</f>
        <v>3.2716804078982031E-2</v>
      </c>
      <c r="V22" s="110">
        <f t="shared" si="4"/>
        <v>2.9805595927599127E-2</v>
      </c>
      <c r="W22" s="110">
        <f>Returns!N26</f>
        <v>1.8350570878345001E-2</v>
      </c>
      <c r="X22" s="111">
        <f t="shared" si="10"/>
        <v>1.5439362726962096E-2</v>
      </c>
      <c r="Y22" s="451">
        <f>USD!BC23</f>
        <v>2016</v>
      </c>
      <c r="Z22" s="121">
        <f>Returns!Q23</f>
        <v>5.2595179534525194E-2</v>
      </c>
      <c r="AA22" s="121">
        <f>Z22-J22</f>
        <v>5.8195179534525243E-2</v>
      </c>
      <c r="AC22" s="625" t="str">
        <f t="shared" si="1"/>
        <v>Q2 2003</v>
      </c>
      <c r="AD22" s="700">
        <f t="shared" si="12"/>
        <v>0.12381226072659735</v>
      </c>
      <c r="AE22" s="110"/>
      <c r="AF22" s="110">
        <f>'Benchmark finished'!B24-G21</f>
        <v>8.323010919128554E-2</v>
      </c>
      <c r="AG22" s="110"/>
      <c r="AH22" s="453"/>
      <c r="AI22" s="110">
        <f t="shared" si="13"/>
        <v>0.18256843078731855</v>
      </c>
      <c r="AJ22" s="110"/>
      <c r="AK22" s="59">
        <f>'Benchmark finished'!D24</f>
        <v>0</v>
      </c>
      <c r="AL22" s="59"/>
      <c r="AN22" s="110">
        <f t="shared" si="14"/>
        <v>0.11483110522932405</v>
      </c>
      <c r="AO22" s="110"/>
      <c r="AP22" s="110">
        <f>'Benchmark finished'!C24-C21</f>
        <v>8.3200559516005856E-2</v>
      </c>
      <c r="AQ22" s="627"/>
      <c r="AS22" s="638" t="s">
        <v>226</v>
      </c>
      <c r="AT22" s="310" t="s">
        <v>130</v>
      </c>
      <c r="AU22" s="310" t="s">
        <v>83</v>
      </c>
      <c r="AV22" s="310" t="s">
        <v>130</v>
      </c>
      <c r="AW22" s="310" t="s">
        <v>83</v>
      </c>
      <c r="AX22" s="310" t="s">
        <v>130</v>
      </c>
      <c r="AY22" s="639" t="s">
        <v>83</v>
      </c>
    </row>
    <row r="23" spans="1:51">
      <c r="A23" s="456" t="s">
        <v>320</v>
      </c>
      <c r="B23" s="134">
        <f>'CPI+exchange rates'!I27</f>
        <v>82.76</v>
      </c>
      <c r="C23" s="113">
        <f t="shared" si="5"/>
        <v>9.6758587324630163E-4</v>
      </c>
      <c r="D23" s="114">
        <f>'CPI+exchange rates'!C27</f>
        <v>103</v>
      </c>
      <c r="E23" s="113">
        <f t="shared" si="6"/>
        <v>9.7181729834794339E-4</v>
      </c>
      <c r="F23" s="114">
        <f>'CPI+exchange rates'!F27</f>
        <v>80.47</v>
      </c>
      <c r="G23" s="113">
        <f t="shared" si="7"/>
        <v>4.9956288247781089E-3</v>
      </c>
      <c r="H23" s="23"/>
      <c r="I23" s="106"/>
      <c r="J23" s="106"/>
      <c r="L23" s="336" t="str">
        <f t="shared" si="0"/>
        <v>Q4 2003</v>
      </c>
      <c r="M23" s="457">
        <f>Returns!C27</f>
        <v>9.5111174528623721E-2</v>
      </c>
      <c r="N23" s="110">
        <f t="shared" si="2"/>
        <v>9.0115545703845612E-2</v>
      </c>
      <c r="O23" s="110">
        <f>Returns!E27</f>
        <v>3.254802674414714E-2</v>
      </c>
      <c r="P23" s="110">
        <f t="shared" si="8"/>
        <v>2.7552397919369032E-2</v>
      </c>
      <c r="Q23" s="135">
        <f>USD!CX27</f>
        <v>0.14551596282400214</v>
      </c>
      <c r="R23" s="106">
        <f t="shared" si="3"/>
        <v>0.1445441455256542</v>
      </c>
      <c r="S23" s="107">
        <f>Returns!V27</f>
        <v>9.6960245254968325E-2</v>
      </c>
      <c r="T23" s="107">
        <f t="shared" si="9"/>
        <v>9.5988427956620381E-2</v>
      </c>
      <c r="U23" s="135">
        <f>USD!AR27</f>
        <v>0.12916762849970786</v>
      </c>
      <c r="V23" s="110">
        <f t="shared" si="4"/>
        <v>0.12820004262646156</v>
      </c>
      <c r="W23" s="110">
        <f>Returns!N27</f>
        <v>4.25109846642742E-2</v>
      </c>
      <c r="X23" s="111">
        <f t="shared" si="10"/>
        <v>4.1543398791027898E-2</v>
      </c>
      <c r="Y23" s="59"/>
      <c r="Z23" s="117"/>
      <c r="AA23" s="117"/>
      <c r="AC23" s="625" t="str">
        <f t="shared" si="1"/>
        <v>Q3 2003</v>
      </c>
      <c r="AD23" s="700">
        <f t="shared" si="12"/>
        <v>3.500678987950856E-2</v>
      </c>
      <c r="AE23" s="110"/>
      <c r="AF23" s="110">
        <f>'Benchmark finished'!B25-G22</f>
        <v>5.574239544698726E-2</v>
      </c>
      <c r="AG23" s="110"/>
      <c r="AH23" s="453"/>
      <c r="AI23" s="110">
        <f t="shared" si="13"/>
        <v>5.933757574809162E-2</v>
      </c>
      <c r="AJ23" s="110"/>
      <c r="AK23" s="59">
        <f>'Benchmark finished'!D25</f>
        <v>0</v>
      </c>
      <c r="AL23" s="59"/>
      <c r="AN23" s="110">
        <f t="shared" si="14"/>
        <v>2.9805595927599127E-2</v>
      </c>
      <c r="AO23" s="110"/>
      <c r="AP23" s="110">
        <f>'Benchmark finished'!C25-C22</f>
        <v>5.1964685034178115E-2</v>
      </c>
      <c r="AQ23" s="627"/>
      <c r="AS23" s="625" t="str">
        <f>AS4</f>
        <v>2006-2016</v>
      </c>
      <c r="AT23" s="496">
        <f>AVERAGE(AD33:AD76)</f>
        <v>7.5358180015019042E-3</v>
      </c>
      <c r="AU23" s="496">
        <f>AVERAGE(AF33:AF76)</f>
        <v>5.9484932139901884E-3</v>
      </c>
      <c r="AV23" s="496">
        <f>AVERAGE(AI33:AI76)</f>
        <v>1.1782940807151367E-2</v>
      </c>
      <c r="AW23" s="496">
        <f>AVERAGE(AK33:AK76)</f>
        <v>9.0428289321031891E-3</v>
      </c>
      <c r="AX23" s="496">
        <f>AVERAGE(AN33:AN76)</f>
        <v>1.1663857503763281E-2</v>
      </c>
      <c r="AY23" s="645">
        <f>AVERAGE(AP33:AP76)</f>
        <v>6.6017992742327279E-3</v>
      </c>
    </row>
    <row r="24" spans="1:51" ht="15" customHeight="1">
      <c r="A24" s="456" t="s">
        <v>319</v>
      </c>
      <c r="B24" s="134">
        <f>'CPI+exchange rates'!I28</f>
        <v>82.84</v>
      </c>
      <c r="C24" s="113">
        <f t="shared" si="5"/>
        <v>9.6665055582412229E-4</v>
      </c>
      <c r="D24" s="114">
        <f>'CPI+exchange rates'!C28</f>
        <v>103.60000000000001</v>
      </c>
      <c r="E24" s="113">
        <f t="shared" si="6"/>
        <v>5.8252427184466438E-3</v>
      </c>
      <c r="F24" s="114">
        <f>'CPI+exchange rates'!F28</f>
        <v>80.600000000000009</v>
      </c>
      <c r="G24" s="113">
        <f t="shared" si="7"/>
        <v>1.615508885298933E-3</v>
      </c>
      <c r="H24" s="23"/>
      <c r="I24" s="214"/>
      <c r="J24" s="214"/>
      <c r="L24" s="336" t="str">
        <f t="shared" si="0"/>
        <v>Q1 2004</v>
      </c>
      <c r="M24" s="457">
        <f>Returns!C28</f>
        <v>2.4189732235217587E-2</v>
      </c>
      <c r="N24" s="110">
        <f t="shared" si="2"/>
        <v>2.2574223349918654E-2</v>
      </c>
      <c r="O24" s="110">
        <f>Returns!E28</f>
        <v>5.6980799600252041E-2</v>
      </c>
      <c r="P24" s="110">
        <f t="shared" si="8"/>
        <v>5.5365290714953108E-2</v>
      </c>
      <c r="Q24" s="135">
        <f>USD!CX28</f>
        <v>2.637835759038154E-2</v>
      </c>
      <c r="R24" s="106">
        <f t="shared" si="3"/>
        <v>2.0553114871934897E-2</v>
      </c>
      <c r="S24" s="107">
        <f>Returns!V28</f>
        <v>4.3852007323009499E-2</v>
      </c>
      <c r="T24" s="107">
        <f t="shared" si="9"/>
        <v>3.8026764604562856E-2</v>
      </c>
      <c r="U24" s="135">
        <f>USD!AR28</f>
        <v>1.5702229912712973E-2</v>
      </c>
      <c r="V24" s="110">
        <f t="shared" si="4"/>
        <v>1.473557935688885E-2</v>
      </c>
      <c r="W24" s="110">
        <f>Returns!N28</f>
        <v>4.2523243235378497E-2</v>
      </c>
      <c r="X24" s="111">
        <f t="shared" si="10"/>
        <v>4.1556592679554374E-2</v>
      </c>
      <c r="Y24" s="59"/>
      <c r="Z24" s="117"/>
      <c r="AA24" s="117"/>
      <c r="AB24" s="59"/>
      <c r="AC24" s="625" t="str">
        <f t="shared" si="1"/>
        <v>Q4 2003</v>
      </c>
      <c r="AD24" s="700">
        <f t="shared" si="12"/>
        <v>9.0115545703845612E-2</v>
      </c>
      <c r="AE24" s="110"/>
      <c r="AF24" s="110">
        <f>'Benchmark finished'!B26-G23</f>
        <v>6.6864319148705192E-2</v>
      </c>
      <c r="AG24" s="110"/>
      <c r="AH24" s="453"/>
      <c r="AI24" s="110">
        <f t="shared" si="13"/>
        <v>0.1445441455256542</v>
      </c>
      <c r="AJ24" s="110"/>
      <c r="AK24" s="59">
        <f>'Benchmark finished'!D26</f>
        <v>0</v>
      </c>
      <c r="AL24" s="59"/>
      <c r="AN24" s="110">
        <f t="shared" si="14"/>
        <v>0.12820004262646156</v>
      </c>
      <c r="AO24" s="110"/>
      <c r="AP24" s="110">
        <f>'Benchmark finished'!C26-C23</f>
        <v>8.804454649228198E-2</v>
      </c>
      <c r="AQ24" s="627"/>
      <c r="AS24" s="625" t="str">
        <f t="shared" ref="AS24:AS36" si="16">AS5</f>
        <v>2006-2010</v>
      </c>
      <c r="AT24" s="110">
        <f>AVERAGE(AD33:AD52)</f>
        <v>9.8111096394744857E-3</v>
      </c>
      <c r="AU24" s="110">
        <f>AVERAGE(AF33:AF52)</f>
        <v>3.0169009433711879E-3</v>
      </c>
      <c r="AV24" s="110">
        <f>AVERAGE(AI33:AI52)</f>
        <v>1.5074830139013057E-2</v>
      </c>
      <c r="AW24" s="110">
        <f>AVERAGE(AK33:AK52)</f>
        <v>8.5902037536845811E-3</v>
      </c>
      <c r="AX24" s="110">
        <f>AVERAGE(AN33:AN52)</f>
        <v>1.7149559905536477E-2</v>
      </c>
      <c r="AY24" s="627">
        <f>AVERAGE(AP33:AP52)</f>
        <v>9.2619651961716003E-3</v>
      </c>
    </row>
    <row r="25" spans="1:51">
      <c r="A25" s="456" t="s">
        <v>318</v>
      </c>
      <c r="B25" s="134">
        <f>'CPI+exchange rates'!I29</f>
        <v>83.62</v>
      </c>
      <c r="C25" s="113">
        <f t="shared" si="5"/>
        <v>9.4157411878319497E-3</v>
      </c>
      <c r="D25" s="114">
        <f>'CPI+exchange rates'!C29</f>
        <v>104.7</v>
      </c>
      <c r="E25" s="113">
        <f t="shared" si="6"/>
        <v>1.0617760617760652E-2</v>
      </c>
      <c r="F25" s="114">
        <f>'CPI+exchange rates'!F29</f>
        <v>81.070000000000007</v>
      </c>
      <c r="G25" s="113">
        <f t="shared" si="7"/>
        <v>5.8312655086849574E-3</v>
      </c>
      <c r="H25" s="23"/>
      <c r="I25" s="214"/>
      <c r="J25" s="214"/>
      <c r="L25" s="336" t="str">
        <f t="shared" si="0"/>
        <v>Q2 2004</v>
      </c>
      <c r="M25" s="457">
        <f>Returns!C29</f>
        <v>-1.2056496529350924E-2</v>
      </c>
      <c r="N25" s="110">
        <f t="shared" si="2"/>
        <v>-1.7887762038035881E-2</v>
      </c>
      <c r="O25" s="110">
        <f>Returns!E29</f>
        <v>-2.6026982570416246E-3</v>
      </c>
      <c r="P25" s="110">
        <f t="shared" si="8"/>
        <v>-8.433963765726582E-3</v>
      </c>
      <c r="Q25" s="135">
        <f>USD!CX29</f>
        <v>-1.2189037888511112E-2</v>
      </c>
      <c r="R25" s="106">
        <f t="shared" si="3"/>
        <v>-2.2806798506271764E-2</v>
      </c>
      <c r="S25" s="107">
        <f>Returns!V29</f>
        <v>7.7287787338624321E-3</v>
      </c>
      <c r="T25" s="107">
        <f t="shared" si="9"/>
        <v>-2.8889818838982199E-3</v>
      </c>
      <c r="U25" s="135">
        <f>USD!AR29</f>
        <v>-1.2903710414989944E-2</v>
      </c>
      <c r="V25" s="110">
        <f t="shared" si="4"/>
        <v>-2.2319451602821894E-2</v>
      </c>
      <c r="W25" s="110">
        <f>Returns!N29</f>
        <v>-2.9652538386926801E-3</v>
      </c>
      <c r="X25" s="111">
        <f t="shared" si="10"/>
        <v>-1.238099502652463E-2</v>
      </c>
      <c r="Y25" s="59"/>
      <c r="Z25" s="117"/>
      <c r="AA25" s="117"/>
      <c r="AB25" s="59"/>
      <c r="AC25" s="625" t="str">
        <f t="shared" si="1"/>
        <v>Q1 2004</v>
      </c>
      <c r="AD25" s="700">
        <f t="shared" si="12"/>
        <v>2.2574223349918654E-2</v>
      </c>
      <c r="AE25" s="110"/>
      <c r="AF25" s="110">
        <f>'Benchmark finished'!B27-G24</f>
        <v>2.1371964481830541E-2</v>
      </c>
      <c r="AG25" s="110"/>
      <c r="AH25" s="453"/>
      <c r="AI25" s="110">
        <f t="shared" si="13"/>
        <v>2.0553114871934897E-2</v>
      </c>
      <c r="AJ25" s="110"/>
      <c r="AK25" s="59">
        <f>'Benchmark finished'!D27</f>
        <v>0</v>
      </c>
      <c r="AL25" s="59"/>
      <c r="AN25" s="110">
        <f t="shared" si="14"/>
        <v>1.473557935688885E-2</v>
      </c>
      <c r="AO25" s="110"/>
      <c r="AP25" s="110">
        <f>'Benchmark finished'!C27-C24</f>
        <v>2.4448625323978904E-2</v>
      </c>
      <c r="AQ25" s="627"/>
      <c r="AS25" s="625" t="str">
        <f t="shared" si="16"/>
        <v>2011-2016</v>
      </c>
      <c r="AT25" s="496">
        <f>AVERAGE(AD53:AD76)</f>
        <v>5.6397416365247532E-3</v>
      </c>
      <c r="AU25" s="496">
        <f>AVERAGE(AF53:AF76)</f>
        <v>8.3914867728393568E-3</v>
      </c>
      <c r="AV25" s="496">
        <f>AVERAGE(AI53:AI76)</f>
        <v>9.0396996972666264E-3</v>
      </c>
      <c r="AW25" s="496">
        <f>AVERAGE(AK53:AK76)</f>
        <v>9.4200165807853641E-3</v>
      </c>
      <c r="AX25" s="496">
        <f>AVERAGE(AN53:AN76)</f>
        <v>7.0924388356189512E-3</v>
      </c>
      <c r="AY25" s="645">
        <f>AVERAGE(AP53:AP76)</f>
        <v>4.3849943392836642E-3</v>
      </c>
    </row>
    <row r="26" spans="1:51">
      <c r="A26" s="456" t="s">
        <v>317</v>
      </c>
      <c r="B26" s="134">
        <f>'CPI+exchange rates'!I30</f>
        <v>83.62</v>
      </c>
      <c r="C26" s="113">
        <f t="shared" si="5"/>
        <v>0</v>
      </c>
      <c r="D26" s="114">
        <f>'CPI+exchange rates'!C30</f>
        <v>104.9</v>
      </c>
      <c r="E26" s="113">
        <f t="shared" si="6"/>
        <v>1.9102196752627254E-3</v>
      </c>
      <c r="F26" s="114">
        <f>'CPI+exchange rates'!F30</f>
        <v>81.03</v>
      </c>
      <c r="G26" s="113">
        <f t="shared" si="7"/>
        <v>-4.9340076477122352E-4</v>
      </c>
      <c r="H26" s="23"/>
      <c r="I26" s="214"/>
      <c r="J26" s="214"/>
      <c r="L26" s="336" t="str">
        <f t="shared" si="0"/>
        <v>Q3 2004</v>
      </c>
      <c r="M26" s="457">
        <f>Returns!C30</f>
        <v>2.298277123658643E-2</v>
      </c>
      <c r="N26" s="110">
        <f t="shared" si="2"/>
        <v>2.3476172001357654E-2</v>
      </c>
      <c r="O26" s="110">
        <f>Returns!E30</f>
        <v>-6.5341521201640607E-3</v>
      </c>
      <c r="P26" s="110">
        <f t="shared" si="8"/>
        <v>-6.0407513553928371E-3</v>
      </c>
      <c r="Q26" s="135">
        <f>USD!CX30</f>
        <v>6.3910152325288516E-2</v>
      </c>
      <c r="R26" s="106">
        <f t="shared" si="3"/>
        <v>6.1999932650025791E-2</v>
      </c>
      <c r="S26" s="107">
        <f>Returns!V30</f>
        <v>4.2375485924065264E-3</v>
      </c>
      <c r="T26" s="107">
        <f t="shared" si="9"/>
        <v>2.327328917143801E-3</v>
      </c>
      <c r="U26" s="135">
        <f>USD!AR30</f>
        <v>4.2345965740901992E-2</v>
      </c>
      <c r="V26" s="110">
        <f t="shared" si="4"/>
        <v>4.2345965740901992E-2</v>
      </c>
      <c r="W26" s="110">
        <f>Returns!N30</f>
        <v>2.1071140395562699E-2</v>
      </c>
      <c r="X26" s="111">
        <f t="shared" si="10"/>
        <v>2.1071140395562699E-2</v>
      </c>
      <c r="Y26" s="59"/>
      <c r="Z26" s="117"/>
      <c r="AA26" s="117"/>
      <c r="AB26" s="59"/>
      <c r="AC26" s="625" t="str">
        <f t="shared" si="1"/>
        <v>Q2 2004</v>
      </c>
      <c r="AD26" s="700">
        <f t="shared" si="12"/>
        <v>-1.7887762038035881E-2</v>
      </c>
      <c r="AE26" s="110"/>
      <c r="AF26" s="110">
        <f>'Benchmark finished'!B28-G25</f>
        <v>-1.2576228435272098E-3</v>
      </c>
      <c r="AG26" s="110"/>
      <c r="AH26" s="453"/>
      <c r="AI26" s="110">
        <f t="shared" si="13"/>
        <v>-2.2806798506271764E-2</v>
      </c>
      <c r="AJ26" s="110"/>
      <c r="AK26" s="59">
        <f>'Benchmark finished'!D28</f>
        <v>0</v>
      </c>
      <c r="AL26" s="59"/>
      <c r="AN26" s="110">
        <f t="shared" si="14"/>
        <v>-2.2319451602821894E-2</v>
      </c>
      <c r="AO26" s="110"/>
      <c r="AP26" s="110">
        <f>'Benchmark finished'!C28-C25</f>
        <v>-3.5687825232400463E-3</v>
      </c>
      <c r="AQ26" s="627"/>
      <c r="AS26" s="625">
        <f t="shared" si="16"/>
        <v>2006</v>
      </c>
      <c r="AT26" s="110">
        <f>AVERAGE(AD33:AD36)</f>
        <v>2.9921349970465416E-2</v>
      </c>
      <c r="AU26" s="110">
        <f>AVERAGE(AF33:AF36)</f>
        <v>9.9791840433626228E-3</v>
      </c>
      <c r="AV26" s="110">
        <f>AVERAGE(AI33:AI36)</f>
        <v>3.2723963194663724E-2</v>
      </c>
      <c r="AW26" s="110">
        <f>AVERAGE(AK33:AK36)</f>
        <v>2.6152478262169078E-2</v>
      </c>
      <c r="AX26" s="110">
        <f>AVERAGE(AN33:AN36)</f>
        <v>5.0172987362319038E-2</v>
      </c>
      <c r="AY26" s="627">
        <f>AVERAGE(AP33:AP36)</f>
        <v>1.341187363674207E-2</v>
      </c>
    </row>
    <row r="27" spans="1:51">
      <c r="A27" s="456" t="s">
        <v>316</v>
      </c>
      <c r="B27" s="134">
        <f>'CPI+exchange rates'!I31</f>
        <v>83.820000000000007</v>
      </c>
      <c r="C27" s="113">
        <f t="shared" si="5"/>
        <v>2.3917723032766958E-3</v>
      </c>
      <c r="D27" s="114">
        <f>'CPI+exchange rates'!C31</f>
        <v>105.4</v>
      </c>
      <c r="E27" s="113">
        <f t="shared" si="6"/>
        <v>4.7664442326025291E-3</v>
      </c>
      <c r="F27" s="114">
        <f>'CPI+exchange rates'!F31</f>
        <v>81.47</v>
      </c>
      <c r="G27" s="113">
        <f t="shared" si="7"/>
        <v>5.4300876218684735E-3</v>
      </c>
      <c r="H27" s="23"/>
      <c r="I27" s="214"/>
      <c r="J27" s="214"/>
      <c r="L27" s="336" t="str">
        <f t="shared" si="0"/>
        <v>Q4 2004</v>
      </c>
      <c r="M27" s="457">
        <f>Returns!C31</f>
        <v>0.1029058136070462</v>
      </c>
      <c r="N27" s="110">
        <f t="shared" si="2"/>
        <v>9.747572598517773E-2</v>
      </c>
      <c r="O27" s="110">
        <f>Returns!E31</f>
        <v>-7.6551078847511E-3</v>
      </c>
      <c r="P27" s="110">
        <f t="shared" si="8"/>
        <v>-1.3085195506619574E-2</v>
      </c>
      <c r="Q27" s="135">
        <f>USD!CX31</f>
        <v>0.12879379248009437</v>
      </c>
      <c r="R27" s="106">
        <f t="shared" si="3"/>
        <v>0.12402734824749184</v>
      </c>
      <c r="S27" s="107">
        <f>Returns!V31</f>
        <v>6.8677083054817983E-2</v>
      </c>
      <c r="T27" s="107">
        <f t="shared" si="9"/>
        <v>6.3910638822215454E-2</v>
      </c>
      <c r="U27" s="135">
        <f>USD!AR31</f>
        <v>0.14695938474474612</v>
      </c>
      <c r="V27" s="110">
        <f t="shared" si="4"/>
        <v>0.14456761244146943</v>
      </c>
      <c r="W27" s="110">
        <f>Returns!N31</f>
        <v>4.8021952792462901E-2</v>
      </c>
      <c r="X27" s="111">
        <f t="shared" si="10"/>
        <v>4.5630180489186205E-2</v>
      </c>
      <c r="Y27" s="59"/>
      <c r="Z27" s="117"/>
      <c r="AA27" s="117"/>
      <c r="AB27" s="59"/>
      <c r="AC27" s="625" t="str">
        <f t="shared" si="1"/>
        <v>Q3 2004</v>
      </c>
      <c r="AD27" s="700">
        <f t="shared" si="12"/>
        <v>2.3476172001357654E-2</v>
      </c>
      <c r="AE27" s="110"/>
      <c r="AF27" s="110">
        <f>'Benchmark finished'!B29-G26</f>
        <v>2.6176244369805601E-3</v>
      </c>
      <c r="AG27" s="110"/>
      <c r="AH27" s="453"/>
      <c r="AI27" s="110">
        <f t="shared" si="13"/>
        <v>6.1999932650025791E-2</v>
      </c>
      <c r="AJ27" s="110"/>
      <c r="AK27" s="59">
        <f>'Benchmark finished'!D29</f>
        <v>0</v>
      </c>
      <c r="AL27" s="59"/>
      <c r="AN27" s="110">
        <f t="shared" si="14"/>
        <v>4.2345965740901992E-2</v>
      </c>
      <c r="AO27" s="110"/>
      <c r="AP27" s="110">
        <f>'Benchmark finished'!C29-C26</f>
        <v>1.1230075492878377E-3</v>
      </c>
      <c r="AQ27" s="627"/>
      <c r="AS27" s="625">
        <f t="shared" si="16"/>
        <v>2007</v>
      </c>
      <c r="AT27" s="496">
        <f>AVERAGE(AD37:AD40)</f>
        <v>2.0212444035112326E-2</v>
      </c>
      <c r="AU27" s="496">
        <f>AVERAGE(AF37:AF40)</f>
        <v>7.5261824970475726E-3</v>
      </c>
      <c r="AV27" s="496">
        <f>AVERAGE(AI37:AI40)</f>
        <v>4.4062363325814258E-2</v>
      </c>
      <c r="AW27" s="496">
        <f>AVERAGE(AK37:AK40)</f>
        <v>1.0935696887867465E-2</v>
      </c>
      <c r="AX27" s="496">
        <f>AVERAGE(AN37:AN40)</f>
        <v>3.1406102044539475E-2</v>
      </c>
      <c r="AY27" s="645">
        <f>AVERAGE(AP37:AP40)</f>
        <v>8.7589747105898987E-3</v>
      </c>
    </row>
    <row r="28" spans="1:51">
      <c r="A28" s="456" t="s">
        <v>315</v>
      </c>
      <c r="B28" s="134">
        <f>'CPI+exchange rates'!I32</f>
        <v>84.19</v>
      </c>
      <c r="C28" s="113">
        <f t="shared" si="5"/>
        <v>4.4142209496538243E-3</v>
      </c>
      <c r="D28" s="114">
        <f>'CPI+exchange rates'!C32</f>
        <v>105.80000000000001</v>
      </c>
      <c r="E28" s="113">
        <f t="shared" si="6"/>
        <v>3.7950664136623402E-3</v>
      </c>
      <c r="F28" s="114">
        <f>'CPI+exchange rates'!F32</f>
        <v>81.400000000000006</v>
      </c>
      <c r="G28" s="113">
        <f t="shared" si="7"/>
        <v>-8.5921197986982278E-4</v>
      </c>
      <c r="H28" s="23"/>
      <c r="I28" s="214"/>
      <c r="J28" s="214"/>
      <c r="L28" s="336" t="str">
        <f t="shared" si="0"/>
        <v>Q1 2005</v>
      </c>
      <c r="M28" s="457">
        <f>Returns!C32</f>
        <v>-1.4334479444104931E-2</v>
      </c>
      <c r="N28" s="110">
        <f t="shared" si="2"/>
        <v>-1.3475267464235108E-2</v>
      </c>
      <c r="O28" s="110">
        <f>Returns!E32</f>
        <v>2.7603540376466063E-2</v>
      </c>
      <c r="P28" s="110">
        <f t="shared" si="8"/>
        <v>2.8462752356335885E-2</v>
      </c>
      <c r="Q28" s="135">
        <f>USD!CX32</f>
        <v>1.7758504367298755E-2</v>
      </c>
      <c r="R28" s="106">
        <f t="shared" si="3"/>
        <v>1.3963437953636415E-2</v>
      </c>
      <c r="S28" s="107">
        <f>Returns!V32</f>
        <v>2.7696971588512767E-2</v>
      </c>
      <c r="T28" s="107">
        <f t="shared" si="9"/>
        <v>2.3901905174850427E-2</v>
      </c>
      <c r="U28" s="135">
        <f>USD!AR32</f>
        <v>-2.9009643098668603E-2</v>
      </c>
      <c r="V28" s="110">
        <f t="shared" si="4"/>
        <v>-3.3423864048322427E-2</v>
      </c>
      <c r="W28" s="110">
        <f>Returns!N32</f>
        <v>1.55183882471747E-2</v>
      </c>
      <c r="X28" s="111">
        <f t="shared" si="10"/>
        <v>1.1104167297520876E-2</v>
      </c>
      <c r="Y28" s="59"/>
      <c r="Z28" s="117"/>
      <c r="AA28" s="117"/>
      <c r="AB28" s="59"/>
      <c r="AC28" s="625" t="str">
        <f t="shared" si="1"/>
        <v>Q4 2004</v>
      </c>
      <c r="AD28" s="700">
        <f t="shared" si="12"/>
        <v>9.747572598517773E-2</v>
      </c>
      <c r="AE28" s="110"/>
      <c r="AF28" s="110">
        <f>'Benchmark finished'!B30-G27</f>
        <v>5.4537871619569446E-2</v>
      </c>
      <c r="AG28" s="110"/>
      <c r="AH28" s="453"/>
      <c r="AI28" s="110">
        <f t="shared" si="13"/>
        <v>0.12402734824749184</v>
      </c>
      <c r="AJ28" s="110"/>
      <c r="AK28" s="59">
        <f>'Benchmark finished'!D30</f>
        <v>0</v>
      </c>
      <c r="AL28" s="59"/>
      <c r="AN28" s="110">
        <f t="shared" si="14"/>
        <v>0.14456761244146943</v>
      </c>
      <c r="AO28" s="110"/>
      <c r="AP28" s="110">
        <f>'Benchmark finished'!C30-C27</f>
        <v>7.4408371653700456E-2</v>
      </c>
      <c r="AQ28" s="627"/>
      <c r="AS28" s="625">
        <f t="shared" si="16"/>
        <v>2008</v>
      </c>
      <c r="AT28" s="110">
        <f>AVERAGE(AD41:AD44)</f>
        <v>-8.6326079678515577E-2</v>
      </c>
      <c r="AU28" s="110">
        <f>AVERAGE(AF41:AF44)</f>
        <v>-7.5548626491481807E-2</v>
      </c>
      <c r="AV28" s="110">
        <f>AVERAGE(AI41:AI44)</f>
        <v>-9.3418647164965174E-2</v>
      </c>
      <c r="AW28" s="110">
        <f>AVERAGE(AK41:AK44)</f>
        <v>-7.845869965097188E-2</v>
      </c>
      <c r="AX28" s="110">
        <f>AVERAGE(AN41:AN44)</f>
        <v>-6.9427607747868436E-2</v>
      </c>
      <c r="AY28" s="627">
        <f>AVERAGE(AP41:AP44)</f>
        <v>-5.1840283866515485E-2</v>
      </c>
    </row>
    <row r="29" spans="1:51">
      <c r="A29" s="456" t="s">
        <v>314</v>
      </c>
      <c r="B29" s="134">
        <f>'CPI+exchange rates'!I33</f>
        <v>84.9</v>
      </c>
      <c r="C29" s="113">
        <f t="shared" si="5"/>
        <v>8.4333056182446242E-3</v>
      </c>
      <c r="D29" s="114">
        <f>'CPI+exchange rates'!C33</f>
        <v>106.7</v>
      </c>
      <c r="E29" s="113">
        <f t="shared" si="6"/>
        <v>8.5066162570888171E-3</v>
      </c>
      <c r="F29" s="114">
        <f>'CPI+exchange rates'!F33</f>
        <v>82.3</v>
      </c>
      <c r="G29" s="113">
        <f t="shared" si="7"/>
        <v>1.1056511056510843E-2</v>
      </c>
      <c r="H29" s="23"/>
      <c r="I29" s="214"/>
      <c r="J29" s="214"/>
      <c r="L29" s="336" t="str">
        <f t="shared" si="0"/>
        <v>Q2 2005</v>
      </c>
      <c r="M29" s="457">
        <f>Returns!C33</f>
        <v>-9.180332122891155E-4</v>
      </c>
      <c r="N29" s="110">
        <f t="shared" si="2"/>
        <v>-1.1974544268799958E-2</v>
      </c>
      <c r="O29" s="110">
        <f>Returns!E33</f>
        <v>3.4428937423143458E-2</v>
      </c>
      <c r="P29" s="110">
        <f t="shared" si="8"/>
        <v>2.3372426366632615E-2</v>
      </c>
      <c r="Q29" s="135">
        <f>USD!CX33</f>
        <v>2.4132479262439333E-2</v>
      </c>
      <c r="R29" s="106">
        <f t="shared" si="3"/>
        <v>1.5625863005350515E-2</v>
      </c>
      <c r="S29" s="107">
        <f>Returns!V33</f>
        <v>3.6787585734294116E-2</v>
      </c>
      <c r="T29" s="107">
        <f t="shared" si="9"/>
        <v>2.8280969477205299E-2</v>
      </c>
      <c r="U29" s="135">
        <f>USD!AR33</f>
        <v>-2.8456134895318508E-2</v>
      </c>
      <c r="V29" s="110">
        <f t="shared" si="4"/>
        <v>-3.6889440513563132E-2</v>
      </c>
      <c r="W29" s="110">
        <f>Returns!N33</f>
        <v>4.2966616164086202E-2</v>
      </c>
      <c r="X29" s="111">
        <f t="shared" si="10"/>
        <v>3.4533310545841578E-2</v>
      </c>
      <c r="Y29" s="59"/>
      <c r="Z29" s="117"/>
      <c r="AA29" s="117"/>
      <c r="AB29" s="59"/>
      <c r="AC29" s="625" t="str">
        <f t="shared" si="1"/>
        <v>Q1 2005</v>
      </c>
      <c r="AD29" s="700">
        <f t="shared" si="12"/>
        <v>-1.3475267464235108E-2</v>
      </c>
      <c r="AE29" s="110"/>
      <c r="AF29" s="110">
        <f>'Benchmark finished'!B31-G28</f>
        <v>-1.1285527359601635E-2</v>
      </c>
      <c r="AG29" s="110"/>
      <c r="AH29" s="453"/>
      <c r="AI29" s="110">
        <f t="shared" si="13"/>
        <v>1.3963437953636415E-2</v>
      </c>
      <c r="AJ29" s="110"/>
      <c r="AK29" s="59">
        <f>'Benchmark finished'!D31</f>
        <v>0</v>
      </c>
      <c r="AL29" s="59"/>
      <c r="AN29" s="110">
        <f t="shared" si="14"/>
        <v>-3.3423864048322427E-2</v>
      </c>
      <c r="AO29" s="110"/>
      <c r="AP29" s="110">
        <f>'Benchmark finished'!C31-C28</f>
        <v>-9.9166463820936721E-3</v>
      </c>
      <c r="AQ29" s="627"/>
      <c r="AS29" s="625">
        <f t="shared" si="16"/>
        <v>2009</v>
      </c>
      <c r="AT29" s="496">
        <f>AVERAGE(AD45:AD48)</f>
        <v>6.7002508709820552E-2</v>
      </c>
      <c r="AU29" s="496">
        <f>AVERAGE(AF45:AF48)</f>
        <v>5.0446460219882285E-2</v>
      </c>
      <c r="AV29" s="496">
        <f>AVERAGE(AI45:AI48)</f>
        <v>6.1379353323244984E-2</v>
      </c>
      <c r="AW29" s="496">
        <f>AVERAGE(AK45:AK48)</f>
        <v>5.9689187519747298E-2</v>
      </c>
      <c r="AX29" s="496">
        <f>AVERAGE(AN45:AN48)</f>
        <v>5.7948705549840107E-2</v>
      </c>
      <c r="AY29" s="645">
        <f>AVERAGE(AP45:AP48)</f>
        <v>5.0248498507916413E-2</v>
      </c>
    </row>
    <row r="30" spans="1:51">
      <c r="A30" s="456" t="s">
        <v>313</v>
      </c>
      <c r="B30" s="134">
        <f>'CPI+exchange rates'!I34</f>
        <v>85.09</v>
      </c>
      <c r="C30" s="113">
        <f t="shared" si="5"/>
        <v>2.2379269729093654E-3</v>
      </c>
      <c r="D30" s="114">
        <f>'CPI+exchange rates'!C34</f>
        <v>107.7</v>
      </c>
      <c r="E30" s="113">
        <f t="shared" si="6"/>
        <v>9.3720712277414187E-3</v>
      </c>
      <c r="F30" s="114">
        <f>'CPI+exchange rates'!F34</f>
        <v>82.47</v>
      </c>
      <c r="G30" s="113">
        <f t="shared" si="7"/>
        <v>2.0656136087484622E-3</v>
      </c>
      <c r="H30" s="23"/>
      <c r="I30" s="214"/>
      <c r="J30" s="214"/>
      <c r="L30" s="336" t="str">
        <f t="shared" si="0"/>
        <v>Q3 2005</v>
      </c>
      <c r="M30" s="457">
        <f>Returns!C34</f>
        <v>2.8312557165798058E-2</v>
      </c>
      <c r="N30" s="110">
        <f t="shared" si="2"/>
        <v>2.6246943557049596E-2</v>
      </c>
      <c r="O30" s="110">
        <f>Returns!E34</f>
        <v>2.6189179344246583E-2</v>
      </c>
      <c r="P30" s="110">
        <f t="shared" si="8"/>
        <v>2.412356573549812E-2</v>
      </c>
      <c r="Q30" s="135">
        <f>USD!CX34</f>
        <v>0.11455705560983542</v>
      </c>
      <c r="R30" s="106">
        <f t="shared" si="3"/>
        <v>0.105184984382094</v>
      </c>
      <c r="S30" s="107">
        <f>Returns!V34</f>
        <v>5.6135629278882444E-2</v>
      </c>
      <c r="T30" s="107">
        <f t="shared" si="9"/>
        <v>4.6763558051141026E-2</v>
      </c>
      <c r="U30" s="135">
        <f>USD!AR34</f>
        <v>4.1427996423099245E-2</v>
      </c>
      <c r="V30" s="110">
        <f t="shared" si="4"/>
        <v>3.9190069450189879E-2</v>
      </c>
      <c r="W30" s="110">
        <f>Returns!N34</f>
        <v>4.5746250579257401E-2</v>
      </c>
      <c r="X30" s="111">
        <f t="shared" si="10"/>
        <v>4.3508323606348036E-2</v>
      </c>
      <c r="Y30" s="59"/>
      <c r="Z30" s="117"/>
      <c r="AA30" s="117"/>
      <c r="AB30" s="59"/>
      <c r="AC30" s="625" t="str">
        <f t="shared" si="1"/>
        <v>Q2 2005</v>
      </c>
      <c r="AD30" s="700">
        <f t="shared" si="12"/>
        <v>-1.1974544268799958E-2</v>
      </c>
      <c r="AE30" s="110"/>
      <c r="AF30" s="110">
        <f>'Benchmark finished'!B32-G29</f>
        <v>-6.1072876848997093E-3</v>
      </c>
      <c r="AG30" s="110"/>
      <c r="AH30" s="453"/>
      <c r="AI30" s="110">
        <f t="shared" si="13"/>
        <v>1.5625863005350515E-2</v>
      </c>
      <c r="AJ30" s="110"/>
      <c r="AK30" s="59">
        <f>'Benchmark finished'!D32</f>
        <v>0</v>
      </c>
      <c r="AL30" s="59"/>
      <c r="AN30" s="110">
        <f t="shared" si="14"/>
        <v>-3.6889440513563132E-2</v>
      </c>
      <c r="AO30" s="110"/>
      <c r="AP30" s="110">
        <f>'Benchmark finished'!C32-C29</f>
        <v>-5.062425268949771E-3</v>
      </c>
      <c r="AQ30" s="627"/>
      <c r="AS30" s="625">
        <f t="shared" si="16"/>
        <v>2010</v>
      </c>
      <c r="AT30" s="110">
        <f>AVERAGE(AD49:AD52)</f>
        <v>1.8245325160489712E-2</v>
      </c>
      <c r="AU30" s="110">
        <f>AVERAGE(AF49:AF52)</f>
        <v>2.2681304448045267E-2</v>
      </c>
      <c r="AV30" s="110">
        <f>AVERAGE(AI49:AI52)</f>
        <v>3.0627118016307492E-2</v>
      </c>
      <c r="AW30" s="110">
        <f>AVERAGE(AK49:AK52)</f>
        <v>2.4632355749610944E-2</v>
      </c>
      <c r="AX30" s="110">
        <f>AVERAGE(AN49:AN52)</f>
        <v>1.56476123188522E-2</v>
      </c>
      <c r="AY30" s="627">
        <f>AVERAGE(AP49:AP52)</f>
        <v>2.5730762992125112E-2</v>
      </c>
    </row>
    <row r="31" spans="1:51">
      <c r="A31" s="456" t="s">
        <v>312</v>
      </c>
      <c r="B31" s="134">
        <f>'CPI+exchange rates'!I35</f>
        <v>85.36</v>
      </c>
      <c r="C31" s="113">
        <f t="shared" si="5"/>
        <v>3.1731108238335359E-3</v>
      </c>
      <c r="D31" s="114">
        <f>'CPI+exchange rates'!C35</f>
        <v>107.7</v>
      </c>
      <c r="E31" s="113">
        <f t="shared" si="6"/>
        <v>0</v>
      </c>
      <c r="F31" s="114">
        <f>'CPI+exchange rates'!F35</f>
        <v>82.97</v>
      </c>
      <c r="G31" s="113">
        <f t="shared" si="7"/>
        <v>6.0628107190494607E-3</v>
      </c>
      <c r="H31" s="23"/>
      <c r="I31" s="214"/>
      <c r="J31" s="214"/>
      <c r="L31" s="336" t="str">
        <f t="shared" si="0"/>
        <v>Q4 2005</v>
      </c>
      <c r="M31" s="457">
        <f>Returns!C35</f>
        <v>9.4819269561665642E-3</v>
      </c>
      <c r="N31" s="110">
        <f t="shared" si="2"/>
        <v>3.4191162371171036E-3</v>
      </c>
      <c r="O31" s="110">
        <f>Returns!E35</f>
        <v>4.7691629431807936E-2</v>
      </c>
      <c r="P31" s="110">
        <f t="shared" si="8"/>
        <v>4.1628818712758475E-2</v>
      </c>
      <c r="Q31" s="135">
        <f>USD!CX35</f>
        <v>2.0268018383834407E-2</v>
      </c>
      <c r="R31" s="106">
        <f t="shared" si="3"/>
        <v>2.0268018383834407E-2</v>
      </c>
      <c r="S31" s="107">
        <f>Returns!V35</f>
        <v>2.6905122932169522E-2</v>
      </c>
      <c r="T31" s="107">
        <f t="shared" si="9"/>
        <v>2.6905122932169522E-2</v>
      </c>
      <c r="U31" s="135">
        <f>USD!AR35</f>
        <v>-3.6929613653673421E-3</v>
      </c>
      <c r="V31" s="110">
        <f t="shared" si="4"/>
        <v>-6.866072189200878E-3</v>
      </c>
      <c r="W31" s="110">
        <f>Returns!N35</f>
        <v>1.8352620746716598E-2</v>
      </c>
      <c r="X31" s="111">
        <f t="shared" si="10"/>
        <v>1.5179509922883062E-2</v>
      </c>
      <c r="Y31" s="59"/>
      <c r="Z31" s="117"/>
      <c r="AA31" s="117"/>
      <c r="AB31" s="59"/>
      <c r="AC31" s="625" t="str">
        <f t="shared" si="1"/>
        <v>Q3 2005</v>
      </c>
      <c r="AD31" s="700">
        <f t="shared" si="12"/>
        <v>2.6246943557049596E-2</v>
      </c>
      <c r="AE31" s="110"/>
      <c r="AF31" s="110">
        <f>'Benchmark finished'!B33-G30</f>
        <v>2.2367118845606215E-2</v>
      </c>
      <c r="AG31" s="110"/>
      <c r="AH31" s="453"/>
      <c r="AI31" s="110">
        <f t="shared" si="13"/>
        <v>0.105184984382094</v>
      </c>
      <c r="AJ31" s="110"/>
      <c r="AK31" s="59">
        <f>'Benchmark finished'!D33</f>
        <v>0</v>
      </c>
      <c r="AL31" s="59"/>
      <c r="AN31" s="110">
        <f t="shared" si="14"/>
        <v>3.9190069450189879E-2</v>
      </c>
      <c r="AO31" s="110"/>
      <c r="AP31" s="110">
        <f>'Benchmark finished'!C33-C30</f>
        <v>2.5544535094769887E-2</v>
      </c>
      <c r="AQ31" s="627"/>
      <c r="AS31" s="625">
        <f t="shared" si="16"/>
        <v>2011</v>
      </c>
      <c r="AT31" s="496">
        <f>AVERAGE(AD53:AD56)</f>
        <v>-1.0181620045113832E-2</v>
      </c>
      <c r="AU31" s="496">
        <f>AVERAGE(AF53:AF56)</f>
        <v>-9.465333381348591E-3</v>
      </c>
      <c r="AV31" s="496">
        <f>AVERAGE(AI53:AI56)</f>
        <v>1.6873125497210428E-3</v>
      </c>
      <c r="AW31" s="496">
        <f>AVERAGE(AK53:AK56)</f>
        <v>-1.5693685597682465E-2</v>
      </c>
      <c r="AX31" s="496">
        <f>AVERAGE(AN53:AN56)</f>
        <v>-4.260645155654913E-3</v>
      </c>
      <c r="AY31" s="645">
        <f>AVERAGE(AP53:AP56)</f>
        <v>-1.3464446268223863E-2</v>
      </c>
    </row>
    <row r="32" spans="1:51">
      <c r="A32" s="456" t="s">
        <v>311</v>
      </c>
      <c r="B32" s="134">
        <f>'CPI+exchange rates'!I36</f>
        <v>85.12</v>
      </c>
      <c r="C32" s="113">
        <f t="shared" si="5"/>
        <v>-2.811621368322359E-3</v>
      </c>
      <c r="D32" s="114">
        <f>'CPI+exchange rates'!C36</f>
        <v>108.30000000000001</v>
      </c>
      <c r="E32" s="113">
        <f t="shared" si="6"/>
        <v>5.5710306406686616E-3</v>
      </c>
      <c r="F32" s="114">
        <f>'CPI+exchange rates'!F36</f>
        <v>83.23</v>
      </c>
      <c r="G32" s="113">
        <f t="shared" si="7"/>
        <v>3.1336627696758601E-3</v>
      </c>
      <c r="H32" s="23"/>
      <c r="I32" s="214"/>
      <c r="J32" s="214"/>
      <c r="L32" s="336" t="str">
        <f t="shared" si="0"/>
        <v>Q1 2006</v>
      </c>
      <c r="M32" s="457">
        <f>Returns!C36</f>
        <v>3.4367718014040927E-2</v>
      </c>
      <c r="N32" s="110">
        <f t="shared" si="2"/>
        <v>3.1234055244365067E-2</v>
      </c>
      <c r="O32" s="110">
        <f>Returns!E36</f>
        <v>2.5327935268155688E-3</v>
      </c>
      <c r="P32" s="110">
        <f t="shared" si="8"/>
        <v>-6.0086924286029131E-4</v>
      </c>
      <c r="Q32" s="135">
        <f>USD!CX36</f>
        <v>4.8599452797525089E-2</v>
      </c>
      <c r="R32" s="106">
        <f t="shared" si="3"/>
        <v>4.3028422156856427E-2</v>
      </c>
      <c r="S32" s="107">
        <f>Returns!V36</f>
        <v>4.7208082552405814E-2</v>
      </c>
      <c r="T32" s="107">
        <f t="shared" si="9"/>
        <v>4.1637051911737152E-2</v>
      </c>
      <c r="U32" s="135">
        <f>USD!AR36</f>
        <v>5.6267903316775225E-2</v>
      </c>
      <c r="V32" s="110">
        <f t="shared" si="4"/>
        <v>5.9079524685097584E-2</v>
      </c>
      <c r="W32" s="110">
        <f>Returns!N36</f>
        <v>2.9559101110307101E-2</v>
      </c>
      <c r="X32" s="111">
        <f t="shared" si="10"/>
        <v>3.237072247862946E-2</v>
      </c>
      <c r="Y32" s="59"/>
      <c r="Z32" s="117"/>
      <c r="AA32" s="117"/>
      <c r="AB32" s="59"/>
      <c r="AC32" s="625" t="str">
        <f t="shared" si="1"/>
        <v>Q4 2005</v>
      </c>
      <c r="AD32" s="701">
        <f t="shared" si="12"/>
        <v>3.4191162371171036E-3</v>
      </c>
      <c r="AE32" s="215"/>
      <c r="AF32" s="215">
        <f>'Benchmark finished'!B34-G31</f>
        <v>1.2927554388968976E-2</v>
      </c>
      <c r="AG32" s="215"/>
      <c r="AH32" s="500"/>
      <c r="AI32" s="215">
        <f t="shared" si="13"/>
        <v>2.0268018383834407E-2</v>
      </c>
      <c r="AJ32" s="215"/>
      <c r="AK32" s="65">
        <f>'Benchmark finished'!D34</f>
        <v>0</v>
      </c>
      <c r="AL32" s="65"/>
      <c r="AM32" s="454"/>
      <c r="AN32" s="215">
        <f t="shared" si="14"/>
        <v>-6.866072189200878E-3</v>
      </c>
      <c r="AO32" s="215"/>
      <c r="AP32" s="215">
        <f>'Benchmark finished'!C34-C31</f>
        <v>1.3057401692627913E-2</v>
      </c>
      <c r="AQ32" s="628">
        <f>((AP29+1)*(AP30+1)*(AP31+1)*(AP32+1))-1</f>
        <v>2.3425349948092755E-2</v>
      </c>
      <c r="AS32" s="625">
        <f t="shared" si="16"/>
        <v>2012</v>
      </c>
      <c r="AT32" s="110">
        <f>AVERAGE(AD57:AD60)</f>
        <v>3.2040805664717981E-2</v>
      </c>
      <c r="AU32" s="110">
        <f>AVERAGE(AF57:AF60)</f>
        <v>2.6432800924862769E-2</v>
      </c>
      <c r="AV32" s="110">
        <f>AVERAGE(AI57:AI60)</f>
        <v>2.6813898461874291E-2</v>
      </c>
      <c r="AW32" s="110">
        <f>AVERAGE(AK57:AK60)</f>
        <v>2.9133516382885739E-2</v>
      </c>
      <c r="AX32" s="110">
        <f>AVERAGE(AN57:AN60)</f>
        <v>3.088204601896527E-2</v>
      </c>
      <c r="AY32" s="627">
        <f>AVERAGE(AP57:AP60)</f>
        <v>1.9709378989009652E-2</v>
      </c>
    </row>
    <row r="33" spans="1:52">
      <c r="A33" s="456" t="s">
        <v>310</v>
      </c>
      <c r="B33" s="134">
        <f>'CPI+exchange rates'!I37</f>
        <v>86.02</v>
      </c>
      <c r="C33" s="113">
        <f t="shared" si="5"/>
        <v>1.0573308270676485E-2</v>
      </c>
      <c r="D33" s="114">
        <f>'CPI+exchange rates'!C37</f>
        <v>109.5</v>
      </c>
      <c r="E33" s="113">
        <f t="shared" si="6"/>
        <v>1.1080332409972193E-2</v>
      </c>
      <c r="F33" s="114">
        <f>'CPI+exchange rates'!F37</f>
        <v>84.27</v>
      </c>
      <c r="G33" s="113">
        <f t="shared" si="7"/>
        <v>1.2495494413072183E-2</v>
      </c>
      <c r="H33" s="23"/>
      <c r="I33" s="214"/>
      <c r="J33" s="214"/>
      <c r="L33" s="336" t="str">
        <f t="shared" si="0"/>
        <v>Q2 2006</v>
      </c>
      <c r="M33" s="457">
        <f>Returns!C37</f>
        <v>1.9907051977573698E-2</v>
      </c>
      <c r="N33" s="110">
        <f t="shared" si="2"/>
        <v>7.4115575645015142E-3</v>
      </c>
      <c r="O33" s="110">
        <f>Returns!E37</f>
        <v>-3.2969880214289371E-2</v>
      </c>
      <c r="P33" s="110">
        <f t="shared" si="8"/>
        <v>-4.5465374627361554E-2</v>
      </c>
      <c r="Q33" s="135">
        <f>USD!CX37</f>
        <v>1.9213886449635842E-2</v>
      </c>
      <c r="R33" s="106">
        <f t="shared" si="3"/>
        <v>8.1335540396636485E-3</v>
      </c>
      <c r="S33" s="107">
        <f>Returns!V37</f>
        <v>-2.840068307848452E-2</v>
      </c>
      <c r="T33" s="107">
        <f t="shared" si="9"/>
        <v>-3.9481015488456714E-2</v>
      </c>
      <c r="U33" s="135">
        <f>USD!AR37</f>
        <v>4.1085220938983591E-2</v>
      </c>
      <c r="V33" s="110">
        <f t="shared" si="4"/>
        <v>3.0511912668307106E-2</v>
      </c>
      <c r="W33" s="110">
        <f>Returns!N37</f>
        <v>-1.46879215364841E-2</v>
      </c>
      <c r="X33" s="111">
        <f t="shared" si="10"/>
        <v>-2.5261229807160585E-2</v>
      </c>
      <c r="Y33" s="59"/>
      <c r="Z33" s="117"/>
      <c r="AA33" s="117"/>
      <c r="AB33" s="59"/>
      <c r="AC33" s="625" t="str">
        <f t="shared" si="1"/>
        <v>Q1 2006</v>
      </c>
      <c r="AD33" s="700">
        <f>N32</f>
        <v>3.1234055244365067E-2</v>
      </c>
      <c r="AE33" s="110"/>
      <c r="AF33" s="110">
        <f>'Benchmark finished'!B35-G32</f>
        <v>1.8970545506225015E-2</v>
      </c>
      <c r="AG33" s="110"/>
      <c r="AH33" s="453"/>
      <c r="AI33" s="110">
        <f t="shared" si="13"/>
        <v>4.3028422156856427E-2</v>
      </c>
      <c r="AJ33" s="110"/>
      <c r="AK33" s="110">
        <f>'Benchmark finished'!D35-E32</f>
        <v>3.8160807807670262E-2</v>
      </c>
      <c r="AL33" s="110"/>
      <c r="AM33" s="453"/>
      <c r="AN33" s="110">
        <f t="shared" si="14"/>
        <v>5.9079524685097584E-2</v>
      </c>
      <c r="AO33" s="110"/>
      <c r="AP33" s="110">
        <f>'Benchmark finished'!C35-C32</f>
        <v>2.744278961741542E-2</v>
      </c>
      <c r="AQ33" s="627"/>
      <c r="AS33" s="625">
        <f t="shared" si="16"/>
        <v>2013</v>
      </c>
      <c r="AT33" s="496">
        <f>AVERAGE(AD61:AD64)</f>
        <v>2.8268085153295264E-2</v>
      </c>
      <c r="AU33" s="496">
        <f>AVERAGE(AF61:AF64)</f>
        <v>3.1245827459992416E-2</v>
      </c>
      <c r="AV33" s="496">
        <f>AVERAGE(AI61:AI64)</f>
        <v>1.2958321825523395E-2</v>
      </c>
      <c r="AW33" s="496">
        <f>AVERAGE(AK61:AK64)</f>
        <v>3.4342916710111547E-2</v>
      </c>
      <c r="AX33" s="496">
        <f>AVERAGE(AN61:AN64)</f>
        <v>2.2903752507762942E-2</v>
      </c>
      <c r="AY33" s="645">
        <f>AVERAGE(AP61:AP64)</f>
        <v>1.1607779049515172E-2</v>
      </c>
    </row>
    <row r="34" spans="1:52">
      <c r="A34" s="456" t="s">
        <v>309</v>
      </c>
      <c r="B34" s="134">
        <f>'CPI+exchange rates'!I38</f>
        <v>86.09</v>
      </c>
      <c r="C34" s="113">
        <f t="shared" si="5"/>
        <v>8.1376424087431509E-4</v>
      </c>
      <c r="D34" s="114">
        <f>'CPI+exchange rates'!C38</f>
        <v>109.5</v>
      </c>
      <c r="E34" s="113">
        <f t="shared" si="6"/>
        <v>0</v>
      </c>
      <c r="F34" s="114">
        <f>'CPI+exchange rates'!F38</f>
        <v>84.3</v>
      </c>
      <c r="G34" s="113">
        <f t="shared" si="7"/>
        <v>3.5599857600576712E-4</v>
      </c>
      <c r="H34" s="23"/>
      <c r="I34" s="214"/>
      <c r="J34" s="214"/>
      <c r="L34" s="336" t="str">
        <f t="shared" si="0"/>
        <v>Q3 2006</v>
      </c>
      <c r="M34" s="457">
        <f>Returns!C38</f>
        <v>3.3788384235323488E-2</v>
      </c>
      <c r="N34" s="110">
        <f t="shared" si="2"/>
        <v>3.343238565931772E-2</v>
      </c>
      <c r="O34" s="110">
        <f>Returns!E38</f>
        <v>8.2972495563846671E-2</v>
      </c>
      <c r="P34" s="110">
        <f t="shared" si="8"/>
        <v>8.2616496987840904E-2</v>
      </c>
      <c r="Q34" s="135">
        <f>USD!CX38</f>
        <v>3.5713599517874117E-2</v>
      </c>
      <c r="R34" s="106">
        <f t="shared" si="3"/>
        <v>3.5713599517874117E-2</v>
      </c>
      <c r="S34" s="107">
        <f>Returns!V38</f>
        <v>3.9019761983739146E-2</v>
      </c>
      <c r="T34" s="107">
        <f t="shared" si="9"/>
        <v>3.9019761983739146E-2</v>
      </c>
      <c r="U34" s="135">
        <f>USD!AR38</f>
        <v>2.753899370522106E-2</v>
      </c>
      <c r="V34" s="110">
        <f t="shared" si="4"/>
        <v>2.6725229464346745E-2</v>
      </c>
      <c r="W34" s="110">
        <f>Returns!N38</f>
        <v>3.7191941295608301E-2</v>
      </c>
      <c r="X34" s="111">
        <f t="shared" si="10"/>
        <v>3.6378177054733986E-2</v>
      </c>
      <c r="Y34" s="59"/>
      <c r="Z34" s="117"/>
      <c r="AA34" s="117"/>
      <c r="AB34" s="59"/>
      <c r="AC34" s="625" t="str">
        <f t="shared" si="1"/>
        <v>Q2 2006</v>
      </c>
      <c r="AD34" s="700">
        <f t="shared" si="12"/>
        <v>7.4115575645015142E-3</v>
      </c>
      <c r="AE34" s="110"/>
      <c r="AF34" s="110">
        <f>'Benchmark finished'!B36-G33</f>
        <v>-1.7951827571794043E-2</v>
      </c>
      <c r="AG34" s="110"/>
      <c r="AH34" s="453"/>
      <c r="AI34" s="110">
        <f t="shared" si="13"/>
        <v>8.1335540396636485E-3</v>
      </c>
      <c r="AJ34" s="110"/>
      <c r="AK34" s="110">
        <f>'Benchmark finished'!D36-E33</f>
        <v>-1.7384373792895213E-2</v>
      </c>
      <c r="AL34" s="110"/>
      <c r="AM34" s="453"/>
      <c r="AN34" s="110">
        <f t="shared" si="14"/>
        <v>3.0511912668307106E-2</v>
      </c>
      <c r="AO34" s="110"/>
      <c r="AP34" s="110">
        <f>'Benchmark finished'!C36-C33</f>
        <v>-1.5220630948858499E-2</v>
      </c>
      <c r="AQ34" s="627"/>
      <c r="AS34" s="625">
        <f t="shared" si="16"/>
        <v>2014</v>
      </c>
      <c r="AT34" s="110">
        <f>AVERAGE(AD65:AD68)</f>
        <v>-6.2031675127547925E-3</v>
      </c>
      <c r="AU34" s="110">
        <f>AVERAGE(AF65:AF68)</f>
        <v>9.0848958392398442E-4</v>
      </c>
      <c r="AV34" s="110">
        <f>AVERAGE(AI65:AI68)</f>
        <v>9.5670323444159711E-3</v>
      </c>
      <c r="AW34" s="110">
        <f>AVERAGE(AK65:AK68)</f>
        <v>-2.028269909737832E-4</v>
      </c>
      <c r="AX34" s="110">
        <f>AVERAGE(AN65:AN68)</f>
        <v>-1.7666426493584408E-4</v>
      </c>
      <c r="AY34" s="627">
        <f>AVERAGE(AP65:AP68)</f>
        <v>3.0312129100770915E-3</v>
      </c>
    </row>
    <row r="35" spans="1:52">
      <c r="A35" s="456" t="s">
        <v>308</v>
      </c>
      <c r="B35" s="134">
        <f>'CPI+exchange rates'!I39</f>
        <v>86.04</v>
      </c>
      <c r="C35" s="113">
        <f t="shared" si="5"/>
        <v>-5.8078754791490717E-4</v>
      </c>
      <c r="D35" s="114">
        <f>'CPI+exchange rates'!C39</f>
        <v>109.2</v>
      </c>
      <c r="E35" s="113">
        <f t="shared" si="6"/>
        <v>-2.739726027397249E-3</v>
      </c>
      <c r="F35" s="114">
        <f>'CPI+exchange rates'!F39</f>
        <v>85</v>
      </c>
      <c r="G35" s="113">
        <f t="shared" si="7"/>
        <v>8.3036773428233346E-3</v>
      </c>
      <c r="H35" s="23"/>
      <c r="I35" s="214"/>
      <c r="J35" s="214"/>
      <c r="L35" s="336" t="str">
        <f t="shared" si="0"/>
        <v>Q4 2006</v>
      </c>
      <c r="M35" s="457">
        <f>Returns!C39</f>
        <v>5.5911078756500698E-2</v>
      </c>
      <c r="N35" s="110">
        <f t="shared" si="2"/>
        <v>4.7607401413677364E-2</v>
      </c>
      <c r="O35" s="110">
        <f>Returns!E39</f>
        <v>8.5634211401959259E-3</v>
      </c>
      <c r="P35" s="110">
        <f t="shared" si="8"/>
        <v>2.5974379737259135E-4</v>
      </c>
      <c r="Q35" s="135">
        <f>USD!CX39</f>
        <v>4.1280551036863455E-2</v>
      </c>
      <c r="R35" s="106">
        <f t="shared" si="3"/>
        <v>4.4020277064260704E-2</v>
      </c>
      <c r="S35" s="107">
        <f>Returns!V39</f>
        <v>8.6127528563257533E-2</v>
      </c>
      <c r="T35" s="107">
        <f t="shared" si="9"/>
        <v>8.8867254590654782E-2</v>
      </c>
      <c r="U35" s="135">
        <f>USD!AR39</f>
        <v>8.379449508360981E-2</v>
      </c>
      <c r="V35" s="110">
        <f t="shared" si="4"/>
        <v>8.4375282631524717E-2</v>
      </c>
      <c r="W35" s="110">
        <f>Returns!N39</f>
        <v>4.11372360298429E-2</v>
      </c>
      <c r="X35" s="111">
        <f t="shared" si="10"/>
        <v>4.1718023577757807E-2</v>
      </c>
      <c r="Y35" s="59"/>
      <c r="Z35" s="117"/>
      <c r="AA35" s="117"/>
      <c r="AB35" s="59"/>
      <c r="AC35" s="625" t="str">
        <f t="shared" ref="AC35:AC66" si="17">L34</f>
        <v>Q3 2006</v>
      </c>
      <c r="AD35" s="700">
        <f t="shared" si="12"/>
        <v>3.343238565931772E-2</v>
      </c>
      <c r="AE35" s="110"/>
      <c r="AF35" s="110">
        <f>'Benchmark finished'!B37-G34</f>
        <v>1.7515434368523715E-2</v>
      </c>
      <c r="AG35" s="110"/>
      <c r="AH35" s="453"/>
      <c r="AI35" s="110">
        <f t="shared" si="13"/>
        <v>3.5713599517874117E-2</v>
      </c>
      <c r="AJ35" s="110"/>
      <c r="AK35" s="110">
        <f>'Benchmark finished'!D37-E34</f>
        <v>2.7666078534860413E-2</v>
      </c>
      <c r="AL35" s="110"/>
      <c r="AM35" s="453"/>
      <c r="AN35" s="110">
        <f t="shared" si="14"/>
        <v>2.6725229464346745E-2</v>
      </c>
      <c r="AO35" s="110"/>
      <c r="AP35" s="110">
        <f>'Benchmark finished'!C37-C34</f>
        <v>1.2813497963334653E-2</v>
      </c>
      <c r="AQ35" s="627"/>
      <c r="AS35" s="625">
        <f t="shared" si="16"/>
        <v>2015</v>
      </c>
      <c r="AT35" s="496">
        <f>AVERAGE(AD69:AD72)</f>
        <v>-1.248708388519737E-2</v>
      </c>
      <c r="AU35" s="496">
        <f>AVERAGE(AF69:AF72)</f>
        <v>-8.5159041640215944E-3</v>
      </c>
      <c r="AV35" s="496">
        <f>AVERAGE(AI69:AI72)</f>
        <v>-1.2328019925451794E-2</v>
      </c>
      <c r="AW35" s="496">
        <f>AVERAGE(AK69:AK72)</f>
        <v>-7.4217053121806206E-3</v>
      </c>
      <c r="AX35" s="496">
        <f>AVERAGE(AN69:AN72)</f>
        <v>-2.1550073814869314E-2</v>
      </c>
      <c r="AY35" s="645">
        <f>AVERAGE(AP69:AP72)</f>
        <v>-1.0887435426115342E-2</v>
      </c>
    </row>
    <row r="36" spans="1:52" ht="15.75" thickBot="1">
      <c r="A36" s="456" t="s">
        <v>307</v>
      </c>
      <c r="B36" s="134">
        <f>'CPI+exchange rates'!I40</f>
        <v>86.460000000000008</v>
      </c>
      <c r="C36" s="113">
        <f t="shared" ref="C36:C67" si="18">(B36/B35)-1</f>
        <v>4.8814504881451448E-3</v>
      </c>
      <c r="D36" s="114">
        <f>'CPI+exchange rates'!C40</f>
        <v>110.2</v>
      </c>
      <c r="E36" s="113">
        <f t="shared" si="6"/>
        <v>9.157509157509125E-3</v>
      </c>
      <c r="F36" s="114">
        <f>'CPI+exchange rates'!F40</f>
        <v>84.070000000000007</v>
      </c>
      <c r="G36" s="113">
        <f t="shared" si="7"/>
        <v>-1.0941176470588121E-2</v>
      </c>
      <c r="H36" s="23"/>
      <c r="I36" s="214"/>
      <c r="J36" s="214"/>
      <c r="L36" s="336" t="str">
        <f t="shared" si="0"/>
        <v>Q1 2007</v>
      </c>
      <c r="M36" s="457">
        <f>Returns!C40</f>
        <v>1.9291200062115932E-2</v>
      </c>
      <c r="N36" s="110">
        <f t="shared" ref="N36:N67" si="19">M36-G36</f>
        <v>3.0232376532704053E-2</v>
      </c>
      <c r="O36" s="110">
        <f>Returns!E40</f>
        <v>-7.2186525024104916E-4</v>
      </c>
      <c r="P36" s="110">
        <f t="shared" si="8"/>
        <v>1.0219311220347072E-2</v>
      </c>
      <c r="Q36" s="135">
        <f>USD!CX40</f>
        <v>3.2935751825010851E-2</v>
      </c>
      <c r="R36" s="106">
        <f t="shared" ref="R36:R67" si="20">Q36-E36</f>
        <v>2.3778242667501726E-2</v>
      </c>
      <c r="S36" s="107">
        <f>Returns!V40</f>
        <v>2.4015064099788246E-2</v>
      </c>
      <c r="T36" s="107">
        <f t="shared" si="9"/>
        <v>1.4857554942279121E-2</v>
      </c>
      <c r="U36" s="135">
        <f>USD!AR40</f>
        <v>2.6919689565400473E-2</v>
      </c>
      <c r="V36" s="110">
        <f t="shared" ref="V36:V67" si="21">U36-C36</f>
        <v>2.2038239077255328E-2</v>
      </c>
      <c r="W36" s="110">
        <f>Returns!N40</f>
        <v>1.7276799782970899E-2</v>
      </c>
      <c r="X36" s="111">
        <f t="shared" si="10"/>
        <v>1.2395349294825754E-2</v>
      </c>
      <c r="Y36" s="59"/>
      <c r="Z36" s="117"/>
      <c r="AA36" s="117"/>
      <c r="AB36" s="59"/>
      <c r="AC36" s="625" t="str">
        <f t="shared" si="17"/>
        <v>Q4 2006</v>
      </c>
      <c r="AD36" s="700">
        <f t="shared" si="12"/>
        <v>4.7607401413677364E-2</v>
      </c>
      <c r="AE36" s="110">
        <f>((AD36+1)*(AD35+1)*(AD34+1)*(AD33+1))-1</f>
        <v>0.12472099219042065</v>
      </c>
      <c r="AF36" s="110">
        <f>'Benchmark finished'!B38-G35</f>
        <v>2.1382583870495804E-2</v>
      </c>
      <c r="AG36" s="110">
        <f>((AF36+1)*(AF35+1)*(AF34+1)*(AF33+1))-1</f>
        <v>3.9977338601549173E-2</v>
      </c>
      <c r="AH36" s="453"/>
      <c r="AI36" s="110">
        <f t="shared" si="13"/>
        <v>4.4020277064260704E-2</v>
      </c>
      <c r="AJ36" s="110">
        <f>((AI33+1)*(AI34+1)*(AI35+1)*(AI36+1))-1</f>
        <v>0.13700617989874542</v>
      </c>
      <c r="AK36" s="110">
        <f>'Benchmark finished'!D38-E35</f>
        <v>5.6167400499040843E-2</v>
      </c>
      <c r="AL36" s="110">
        <f>((AK33+1)*(AK34+1)*(AK35+1)*(AK36+1))-1</f>
        <v>0.10721784276242041</v>
      </c>
      <c r="AM36" s="453"/>
      <c r="AN36" s="110">
        <f t="shared" si="14"/>
        <v>8.4375282631524717E-2</v>
      </c>
      <c r="AO36" s="110">
        <f>((AN33+1)*(AN34+1)*(AN35+1)*(AN36+1))-1</f>
        <v>0.21510954408381644</v>
      </c>
      <c r="AP36" s="110">
        <f>'Benchmark finished'!C38-C35</f>
        <v>2.8611837915076706E-2</v>
      </c>
      <c r="AQ36" s="627">
        <f>((AP33+1)*(AP34+1)*(AP35+1)*(AP36+1))-1</f>
        <v>5.4089747233080132E-2</v>
      </c>
      <c r="AS36" s="631">
        <f t="shared" si="16"/>
        <v>2016</v>
      </c>
      <c r="AT36" s="633">
        <f>AVERAGE(AD73:AD76)</f>
        <v>2.4014304442012691E-3</v>
      </c>
      <c r="AU36" s="633">
        <f>AVERAGE(AF73:AF76)</f>
        <v>9.743040213627166E-3</v>
      </c>
      <c r="AV36" s="633">
        <f>AVERAGE(AI73:AI76)</f>
        <v>1.5539652927516856E-2</v>
      </c>
      <c r="AW36" s="633">
        <f>AVERAGE(AK73:AK76)</f>
        <v>1.6361884292551757E-2</v>
      </c>
      <c r="AX36" s="633">
        <f>AVERAGE(AN73:AN76)</f>
        <v>1.4756217722445564E-2</v>
      </c>
      <c r="AY36" s="688">
        <f>AVERAGE(AP73:AP76)</f>
        <v>1.6313476781439282E-2</v>
      </c>
      <c r="AZ36" s="21"/>
    </row>
    <row r="37" spans="1:52">
      <c r="A37" s="456" t="s">
        <v>306</v>
      </c>
      <c r="B37" s="134">
        <f>'CPI+exchange rates'!I41</f>
        <v>87.56</v>
      </c>
      <c r="C37" s="113">
        <f t="shared" si="18"/>
        <v>1.2722646310432406E-2</v>
      </c>
      <c r="D37" s="114">
        <f>'CPI+exchange rates'!C41</f>
        <v>111.9</v>
      </c>
      <c r="E37" s="113">
        <f t="shared" si="6"/>
        <v>1.5426497277676976E-2</v>
      </c>
      <c r="F37" s="114">
        <f>'CPI+exchange rates'!F41</f>
        <v>84.53</v>
      </c>
      <c r="G37" s="113">
        <f t="shared" si="7"/>
        <v>5.4716307838704736E-3</v>
      </c>
      <c r="H37" s="23"/>
      <c r="I37" s="214"/>
      <c r="J37" s="214"/>
      <c r="L37" s="336" t="str">
        <f t="shared" si="0"/>
        <v>Q2 2007</v>
      </c>
      <c r="M37" s="457">
        <f>Returns!C41</f>
        <v>3.0912484490987158E-2</v>
      </c>
      <c r="N37" s="110">
        <f t="shared" si="19"/>
        <v>2.5440853707116684E-2</v>
      </c>
      <c r="O37" s="110">
        <f>Returns!E41</f>
        <v>-2.4852225924639096E-3</v>
      </c>
      <c r="P37" s="110">
        <f t="shared" si="8"/>
        <v>-7.9568533763343836E-3</v>
      </c>
      <c r="Q37" s="135">
        <f>USD!CX41</f>
        <v>9.1719356240153926E-2</v>
      </c>
      <c r="R37" s="106">
        <f t="shared" si="20"/>
        <v>7.629285896247695E-2</v>
      </c>
      <c r="S37" s="107">
        <f>Returns!V41</f>
        <v>6.6453995583268454E-3</v>
      </c>
      <c r="T37" s="107">
        <f t="shared" si="9"/>
        <v>-8.7810977193501297E-3</v>
      </c>
      <c r="U37" s="135">
        <f>USD!AR41</f>
        <v>2.8359722410894017E-2</v>
      </c>
      <c r="V37" s="110">
        <f t="shared" si="21"/>
        <v>1.5637076100461611E-2</v>
      </c>
      <c r="W37" s="110">
        <f>Returns!N41</f>
        <v>1.3587908499660401E-2</v>
      </c>
      <c r="X37" s="111">
        <f t="shared" si="10"/>
        <v>8.6526218922799471E-4</v>
      </c>
      <c r="Y37" s="59"/>
      <c r="Z37" s="117"/>
      <c r="AA37" s="117"/>
      <c r="AB37" s="59"/>
      <c r="AC37" s="625" t="str">
        <f t="shared" si="17"/>
        <v>Q1 2007</v>
      </c>
      <c r="AD37" s="700">
        <f t="shared" ref="AD37:AD68" si="22">N36</f>
        <v>3.0232376532704053E-2</v>
      </c>
      <c r="AE37" s="110"/>
      <c r="AF37" s="110">
        <f>'Benchmark finished'!B39-G36</f>
        <v>2.4867720008669381E-2</v>
      </c>
      <c r="AG37" s="110"/>
      <c r="AH37" s="453"/>
      <c r="AI37" s="110">
        <f t="shared" ref="AI37:AI68" si="23">R36</f>
        <v>2.3778242667501726E-2</v>
      </c>
      <c r="AJ37" s="110"/>
      <c r="AK37" s="110">
        <f>'Benchmark finished'!D39-E36</f>
        <v>1.116062409187292E-2</v>
      </c>
      <c r="AL37" s="110"/>
      <c r="AM37" s="453"/>
      <c r="AN37" s="110">
        <f t="shared" si="14"/>
        <v>2.2038239077255328E-2</v>
      </c>
      <c r="AO37" s="110"/>
      <c r="AP37" s="110">
        <f>'Benchmark finished'!C39-C36</f>
        <v>8.1615252734912411E-3</v>
      </c>
      <c r="AQ37" s="627"/>
      <c r="AS37" s="59"/>
      <c r="AT37" s="59"/>
      <c r="AU37" s="59"/>
      <c r="AV37" s="59"/>
      <c r="AW37" s="59"/>
      <c r="AX37" s="59"/>
      <c r="AY37" s="59"/>
    </row>
    <row r="38" spans="1:52">
      <c r="A38" s="456" t="s">
        <v>305</v>
      </c>
      <c r="B38" s="134">
        <f>'CPI+exchange rates'!I42</f>
        <v>87.2</v>
      </c>
      <c r="C38" s="113">
        <f t="shared" si="18"/>
        <v>-4.1114664230241793E-3</v>
      </c>
      <c r="D38" s="114">
        <f>'CPI+exchange rates'!C42</f>
        <v>111.9</v>
      </c>
      <c r="E38" s="113">
        <f t="shared" si="6"/>
        <v>0</v>
      </c>
      <c r="F38" s="114">
        <f>'CPI+exchange rates'!F42</f>
        <v>84.43</v>
      </c>
      <c r="G38" s="113">
        <f t="shared" si="7"/>
        <v>-1.1830119484206314E-3</v>
      </c>
      <c r="H38" s="23"/>
      <c r="I38" s="214"/>
      <c r="J38" s="214"/>
      <c r="L38" s="336" t="str">
        <f t="shared" si="0"/>
        <v>Q3 2007</v>
      </c>
      <c r="M38" s="457">
        <f>Returns!C42</f>
        <v>4.127613941639674E-2</v>
      </c>
      <c r="N38" s="110">
        <f t="shared" si="19"/>
        <v>4.2459151364817371E-2</v>
      </c>
      <c r="O38" s="110">
        <f>Returns!E42</f>
        <v>-4.4069595105173706E-2</v>
      </c>
      <c r="P38" s="110">
        <f t="shared" si="8"/>
        <v>-4.2886583156753075E-2</v>
      </c>
      <c r="Q38" s="135">
        <f>USD!CX42</f>
        <v>6.9658483848700214E-2</v>
      </c>
      <c r="R38" s="106">
        <f t="shared" si="20"/>
        <v>6.9658483848700214E-2</v>
      </c>
      <c r="S38" s="107">
        <f>Returns!V42</f>
        <v>-7.8060126866919715E-4</v>
      </c>
      <c r="T38" s="107">
        <f t="shared" si="9"/>
        <v>-7.8060126866919715E-4</v>
      </c>
      <c r="U38" s="135">
        <f>USD!AR42</f>
        <v>7.0931206132829105E-2</v>
      </c>
      <c r="V38" s="110">
        <f t="shared" si="21"/>
        <v>7.5042672555853285E-2</v>
      </c>
      <c r="W38" s="110">
        <f>Returns!N42</f>
        <v>1.7014308856727198E-2</v>
      </c>
      <c r="X38" s="111">
        <f t="shared" si="10"/>
        <v>2.1125775279751378E-2</v>
      </c>
      <c r="Y38" s="59"/>
      <c r="Z38" s="117"/>
      <c r="AA38" s="117"/>
      <c r="AB38" s="59"/>
      <c r="AC38" s="625" t="str">
        <f t="shared" si="17"/>
        <v>Q2 2007</v>
      </c>
      <c r="AD38" s="700">
        <f t="shared" si="22"/>
        <v>2.5440853707116684E-2</v>
      </c>
      <c r="AE38" s="110"/>
      <c r="AF38" s="110">
        <f>'Benchmark finished'!B40-G37</f>
        <v>1.8918006935050191E-2</v>
      </c>
      <c r="AG38" s="110"/>
      <c r="AH38" s="453"/>
      <c r="AI38" s="110">
        <f t="shared" si="23"/>
        <v>7.629285896247695E-2</v>
      </c>
      <c r="AJ38" s="110"/>
      <c r="AK38" s="110">
        <f>'Benchmark finished'!D40-E37</f>
        <v>2.7206664015569107E-2</v>
      </c>
      <c r="AL38" s="110"/>
      <c r="AM38" s="453"/>
      <c r="AN38" s="110">
        <f t="shared" si="14"/>
        <v>1.5637076100461611E-2</v>
      </c>
      <c r="AO38" s="110"/>
      <c r="AP38" s="110">
        <f>'Benchmark finished'!C40-C37</f>
        <v>1.3873977960322068E-2</v>
      </c>
      <c r="AQ38" s="627"/>
    </row>
    <row r="39" spans="1:52">
      <c r="A39" s="456" t="s">
        <v>304</v>
      </c>
      <c r="B39" s="134">
        <f>'CPI+exchange rates'!I43</f>
        <v>87.59</v>
      </c>
      <c r="C39" s="113">
        <f t="shared" si="18"/>
        <v>4.4724770642201594E-3</v>
      </c>
      <c r="D39" s="114">
        <f>'CPI+exchange rates'!C43</f>
        <v>111.80000000000001</v>
      </c>
      <c r="E39" s="113">
        <f t="shared" si="6"/>
        <v>-8.9365504915095428E-4</v>
      </c>
      <c r="F39" s="114">
        <f>'CPI+exchange rates'!F43</f>
        <v>86.17</v>
      </c>
      <c r="G39" s="113">
        <f t="shared" si="7"/>
        <v>2.0608788345374718E-2</v>
      </c>
      <c r="H39" s="23"/>
      <c r="I39" s="214"/>
      <c r="J39" s="214"/>
      <c r="L39" s="336" t="str">
        <f t="shared" si="0"/>
        <v>Q4 2007</v>
      </c>
      <c r="M39" s="457">
        <f>Returns!C43</f>
        <v>3.3261828811859129E-3</v>
      </c>
      <c r="N39" s="110">
        <f t="shared" si="19"/>
        <v>-1.7282605464188805E-2</v>
      </c>
      <c r="O39" s="110">
        <f>Returns!E43</f>
        <v>4.7324771298644808E-3</v>
      </c>
      <c r="P39" s="110">
        <f t="shared" si="8"/>
        <v>-1.5876311215510239E-2</v>
      </c>
      <c r="Q39" s="135">
        <f>USD!CX43</f>
        <v>5.6262127754271862E-3</v>
      </c>
      <c r="R39" s="106">
        <f t="shared" si="20"/>
        <v>6.5198678245781405E-3</v>
      </c>
      <c r="S39" s="107">
        <f>Returns!V43</f>
        <v>-1.2047995383838476E-3</v>
      </c>
      <c r="T39" s="107">
        <f t="shared" si="9"/>
        <v>-3.1114448923289331E-4</v>
      </c>
      <c r="U39" s="135">
        <f>USD!AR43</f>
        <v>1.7378897508807833E-2</v>
      </c>
      <c r="V39" s="110">
        <f t="shared" si="21"/>
        <v>1.2906420444587674E-2</v>
      </c>
      <c r="W39" s="110">
        <f>Returns!N43</f>
        <v>-1.0386437945226101E-2</v>
      </c>
      <c r="X39" s="111">
        <f t="shared" si="10"/>
        <v>-1.485891500944626E-2</v>
      </c>
      <c r="Y39" s="59"/>
      <c r="Z39" s="117"/>
      <c r="AA39" s="117"/>
      <c r="AB39" s="59"/>
      <c r="AC39" s="625" t="str">
        <f t="shared" si="17"/>
        <v>Q3 2007</v>
      </c>
      <c r="AD39" s="700">
        <f t="shared" si="22"/>
        <v>4.2459151364817371E-2</v>
      </c>
      <c r="AE39" s="110"/>
      <c r="AF39" s="110">
        <f>'Benchmark finished'!B41-G38</f>
        <v>2.2696728488530056E-2</v>
      </c>
      <c r="AG39" s="110"/>
      <c r="AH39" s="453"/>
      <c r="AI39" s="110">
        <f t="shared" si="23"/>
        <v>6.9658483848700214E-2</v>
      </c>
      <c r="AJ39" s="110"/>
      <c r="AK39" s="110">
        <f>'Benchmark finished'!D41-E38</f>
        <v>2.1414859585118545E-2</v>
      </c>
      <c r="AL39" s="110"/>
      <c r="AM39" s="453"/>
      <c r="AN39" s="110">
        <f t="shared" si="14"/>
        <v>7.5042672555853285E-2</v>
      </c>
      <c r="AO39" s="110"/>
      <c r="AP39" s="110">
        <f>'Benchmark finished'!C41-C38</f>
        <v>2.5376511357718099E-2</v>
      </c>
      <c r="AQ39" s="627"/>
    </row>
    <row r="40" spans="1:52">
      <c r="A40" s="456" t="s">
        <v>303</v>
      </c>
      <c r="B40" s="134">
        <f>'CPI+exchange rates'!I44</f>
        <v>88.31</v>
      </c>
      <c r="C40" s="113">
        <f t="shared" si="18"/>
        <v>8.2201164516497727E-3</v>
      </c>
      <c r="D40" s="114">
        <f>'CPI+exchange rates'!C44</f>
        <v>112.2</v>
      </c>
      <c r="E40" s="113">
        <f t="shared" si="6"/>
        <v>3.5778175313059268E-3</v>
      </c>
      <c r="F40" s="114">
        <f>'CPI+exchange rates'!F44</f>
        <v>87.03</v>
      </c>
      <c r="G40" s="113">
        <f t="shared" si="7"/>
        <v>9.9802715562260502E-3</v>
      </c>
      <c r="H40" s="23"/>
      <c r="I40" s="214"/>
      <c r="J40" s="214"/>
      <c r="L40" s="336" t="str">
        <f t="shared" si="0"/>
        <v>Q1 2008</v>
      </c>
      <c r="M40" s="457">
        <f>Returns!C44</f>
        <v>-2.0625818795430351E-2</v>
      </c>
      <c r="N40" s="110">
        <f t="shared" si="19"/>
        <v>-3.0606090351656401E-2</v>
      </c>
      <c r="O40" s="110">
        <f>Returns!E44</f>
        <v>-8.3412111690687241E-2</v>
      </c>
      <c r="P40" s="110">
        <f t="shared" si="8"/>
        <v>-9.3392383246913291E-2</v>
      </c>
      <c r="Q40" s="135">
        <f>USD!CX44</f>
        <v>-4.5829365225037222E-2</v>
      </c>
      <c r="R40" s="106">
        <f t="shared" si="20"/>
        <v>-4.9407182756343149E-2</v>
      </c>
      <c r="S40" s="107">
        <f>Returns!V44</f>
        <v>-8.0279853986011136E-3</v>
      </c>
      <c r="T40" s="107">
        <f t="shared" si="9"/>
        <v>-1.160580292990704E-2</v>
      </c>
      <c r="U40" s="135">
        <f>USD!AR44</f>
        <v>3.4903468280908623E-2</v>
      </c>
      <c r="V40" s="110">
        <f t="shared" si="21"/>
        <v>2.668335182925885E-2</v>
      </c>
      <c r="W40" s="110">
        <f>Returns!N44</f>
        <v>-4.5103711398185503E-2</v>
      </c>
      <c r="X40" s="111">
        <f t="shared" si="10"/>
        <v>-5.3323827849835276E-2</v>
      </c>
      <c r="Y40" s="59"/>
      <c r="Z40" s="117"/>
      <c r="AA40" s="117"/>
      <c r="AB40" s="59"/>
      <c r="AC40" s="625" t="str">
        <f t="shared" si="17"/>
        <v>Q4 2007</v>
      </c>
      <c r="AD40" s="700">
        <f t="shared" si="22"/>
        <v>-1.7282605464188805E-2</v>
      </c>
      <c r="AE40" s="110">
        <f>((AD40+1)*(AD39+1)*(AD38+1)*(AD37+1))-1</f>
        <v>8.2264715030836433E-2</v>
      </c>
      <c r="AF40" s="110">
        <f>'Benchmark finished'!B42-G39</f>
        <v>-3.6377725444059331E-2</v>
      </c>
      <c r="AG40" s="110">
        <f>((AF37+1)*(AF38+1)*(AF39+1)*(AF40+1))-1</f>
        <v>2.9107513392086615E-2</v>
      </c>
      <c r="AH40" s="453"/>
      <c r="AI40" s="110">
        <f t="shared" si="23"/>
        <v>6.5198678245781405E-3</v>
      </c>
      <c r="AJ40" s="110">
        <f>((AI37+1)*(AI38+1)*(AI39+1)*(AI40+1))-1</f>
        <v>0.18632544762183811</v>
      </c>
      <c r="AK40" s="110">
        <f>'Benchmark finished'!D42-E39</f>
        <v>-1.6039360141090708E-2</v>
      </c>
      <c r="AL40" s="110">
        <f>((AK37+1)*(AK38+1)*(AK39+1)*(AK40+1))-1</f>
        <v>4.3897543110143822E-2</v>
      </c>
      <c r="AM40" s="453"/>
      <c r="AN40" s="110">
        <f t="shared" si="14"/>
        <v>1.2906420444587674E-2</v>
      </c>
      <c r="AO40" s="110">
        <f>((AN37+1)*(AN38+1)*(AN39+1)*(AN40+1))-1</f>
        <v>0.1303181958653099</v>
      </c>
      <c r="AP40" s="110">
        <f>'Benchmark finished'!C42-C39</f>
        <v>-1.2376115749171813E-2</v>
      </c>
      <c r="AQ40" s="627">
        <f>((AP37+1)*(AP38+1)*(AP39+1)*(AP40+1))-1</f>
        <v>3.5116055262645274E-2</v>
      </c>
    </row>
    <row r="41" spans="1:52">
      <c r="A41" s="456" t="s">
        <v>302</v>
      </c>
      <c r="B41" s="134">
        <f>'CPI+exchange rates'!I45</f>
        <v>89.58</v>
      </c>
      <c r="C41" s="113">
        <f t="shared" si="18"/>
        <v>1.4381157286830426E-2</v>
      </c>
      <c r="D41" s="114">
        <f>'CPI+exchange rates'!C45</f>
        <v>114.5</v>
      </c>
      <c r="E41" s="113">
        <f t="shared" si="6"/>
        <v>2.049910873440286E-2</v>
      </c>
      <c r="F41" s="114">
        <f>'CPI+exchange rates'!F45</f>
        <v>87.27</v>
      </c>
      <c r="G41" s="113">
        <f t="shared" si="7"/>
        <v>2.7576697690450125E-3</v>
      </c>
      <c r="H41" s="23"/>
      <c r="I41" s="214"/>
      <c r="J41" s="214"/>
      <c r="L41" s="336" t="str">
        <f t="shared" si="0"/>
        <v>Q2 2008</v>
      </c>
      <c r="M41" s="457">
        <f>Returns!C45</f>
        <v>-2.5879253267910962E-2</v>
      </c>
      <c r="N41" s="110">
        <f t="shared" si="19"/>
        <v>-2.8636923036955975E-2</v>
      </c>
      <c r="O41" s="110">
        <f>Returns!E45</f>
        <v>-2.3636480062466731E-2</v>
      </c>
      <c r="P41" s="110">
        <f t="shared" si="8"/>
        <v>-2.6394149831511744E-2</v>
      </c>
      <c r="Q41" s="135">
        <f>USD!CX45</f>
        <v>2.128369450351375E-2</v>
      </c>
      <c r="R41" s="106">
        <f t="shared" si="20"/>
        <v>7.845857691108904E-4</v>
      </c>
      <c r="S41" s="107">
        <f>Returns!V45</f>
        <v>9.8371154023094744E-3</v>
      </c>
      <c r="T41" s="107">
        <f t="shared" si="9"/>
        <v>-1.0661993332093386E-2</v>
      </c>
      <c r="U41" s="135">
        <f>USD!AR45</f>
        <v>-1.1790751166300684E-2</v>
      </c>
      <c r="V41" s="110">
        <f t="shared" si="21"/>
        <v>-2.617190845313111E-2</v>
      </c>
      <c r="W41" s="110">
        <f>Returns!N45</f>
        <v>-6.1458007436288901E-3</v>
      </c>
      <c r="X41" s="111">
        <f t="shared" si="10"/>
        <v>-2.0526958030459317E-2</v>
      </c>
      <c r="Y41" s="59"/>
      <c r="Z41" s="117"/>
      <c r="AA41" s="117"/>
      <c r="AB41" s="59"/>
      <c r="AC41" s="625" t="str">
        <f t="shared" si="17"/>
        <v>Q1 2008</v>
      </c>
      <c r="AD41" s="700">
        <f t="shared" si="22"/>
        <v>-3.0606090351656401E-2</v>
      </c>
      <c r="AE41" s="110"/>
      <c r="AF41" s="110">
        <f>'Benchmark finished'!B43-G40</f>
        <v>-5.6534924126777707E-2</v>
      </c>
      <c r="AG41" s="110"/>
      <c r="AH41" s="453"/>
      <c r="AI41" s="110">
        <f t="shared" si="23"/>
        <v>-4.9407182756343149E-2</v>
      </c>
      <c r="AJ41" s="110"/>
      <c r="AK41" s="110">
        <f>'Benchmark finished'!D43-E40</f>
        <v>-5.549535781607022E-2</v>
      </c>
      <c r="AL41" s="110"/>
      <c r="AM41" s="453"/>
      <c r="AN41" s="110">
        <f t="shared" si="14"/>
        <v>2.668335182925885E-2</v>
      </c>
      <c r="AO41" s="110"/>
      <c r="AP41" s="110">
        <f>'Benchmark finished'!C43-C40</f>
        <v>-3.5515091533372178E-2</v>
      </c>
      <c r="AQ41" s="627"/>
    </row>
    <row r="42" spans="1:52">
      <c r="A42" s="456" t="s">
        <v>301</v>
      </c>
      <c r="B42" s="134">
        <f>'CPI+exchange rates'!I46</f>
        <v>89.960000000000008</v>
      </c>
      <c r="C42" s="113">
        <f t="shared" si="18"/>
        <v>4.2420183076581353E-3</v>
      </c>
      <c r="D42" s="114">
        <f>'CPI+exchange rates'!C46</f>
        <v>115.7</v>
      </c>
      <c r="E42" s="113">
        <f t="shared" si="6"/>
        <v>1.0480349344978102E-2</v>
      </c>
      <c r="F42" s="114">
        <f>'CPI+exchange rates'!F46</f>
        <v>88.4</v>
      </c>
      <c r="G42" s="113">
        <f t="shared" si="7"/>
        <v>1.2948321301707422E-2</v>
      </c>
      <c r="H42" s="23"/>
      <c r="I42" s="23"/>
      <c r="J42" s="23"/>
      <c r="L42" s="336" t="str">
        <f t="shared" si="0"/>
        <v>Q3 2008</v>
      </c>
      <c r="M42" s="457">
        <f>Returns!C46</f>
        <v>-0.13864006617802127</v>
      </c>
      <c r="N42" s="110">
        <f t="shared" si="19"/>
        <v>-0.15158838747972869</v>
      </c>
      <c r="O42" s="110">
        <f>Returns!E46</f>
        <v>-1.6328093223965968E-4</v>
      </c>
      <c r="P42" s="110">
        <f t="shared" si="8"/>
        <v>-1.3111602233947082E-2</v>
      </c>
      <c r="Q42" s="135">
        <f>USD!CX46</f>
        <v>-0.13033058029439193</v>
      </c>
      <c r="R42" s="106">
        <f t="shared" si="20"/>
        <v>-0.14081092963937003</v>
      </c>
      <c r="S42" s="107">
        <f>Returns!V46</f>
        <v>-8.8627936493023959E-2</v>
      </c>
      <c r="T42" s="107">
        <f t="shared" si="9"/>
        <v>-9.9108285838002061E-2</v>
      </c>
      <c r="U42" s="135">
        <f>USD!AR46</f>
        <v>-0.15230418229798581</v>
      </c>
      <c r="V42" s="110">
        <f t="shared" si="21"/>
        <v>-0.15654620060564395</v>
      </c>
      <c r="W42" s="110">
        <f>Returns!N46</f>
        <v>-4.9167472716617498E-2</v>
      </c>
      <c r="X42" s="111">
        <f t="shared" si="10"/>
        <v>-5.3409491024275633E-2</v>
      </c>
      <c r="Y42" s="59"/>
      <c r="Z42" s="117"/>
      <c r="AA42" s="117"/>
      <c r="AB42" s="59"/>
      <c r="AC42" s="625" t="str">
        <f t="shared" si="17"/>
        <v>Q2 2008</v>
      </c>
      <c r="AD42" s="700">
        <f t="shared" si="22"/>
        <v>-2.8636923036955975E-2</v>
      </c>
      <c r="AE42" s="110"/>
      <c r="AF42" s="110">
        <f>'Benchmark finished'!B44-G41</f>
        <v>-1.3784508412271686E-2</v>
      </c>
      <c r="AG42" s="110"/>
      <c r="AH42" s="453"/>
      <c r="AI42" s="110">
        <f t="shared" si="23"/>
        <v>7.845857691108904E-4</v>
      </c>
      <c r="AJ42" s="110"/>
      <c r="AK42" s="110">
        <f>'Benchmark finished'!D44-E41</f>
        <v>-3.2011517264565088E-2</v>
      </c>
      <c r="AL42" s="110"/>
      <c r="AM42" s="453"/>
      <c r="AN42" s="110">
        <f t="shared" si="14"/>
        <v>-2.617190845313111E-2</v>
      </c>
      <c r="AO42" s="110"/>
      <c r="AP42" s="110">
        <f>'Benchmark finished'!C44-C41</f>
        <v>-1.1445119310917564E-2</v>
      </c>
      <c r="AQ42" s="627"/>
    </row>
    <row r="43" spans="1:52">
      <c r="A43" s="456" t="s">
        <v>300</v>
      </c>
      <c r="B43" s="134">
        <f>'CPI+exchange rates'!I47</f>
        <v>89.63</v>
      </c>
      <c r="C43" s="113">
        <f t="shared" si="18"/>
        <v>-3.6682970208983257E-3</v>
      </c>
      <c r="D43" s="114">
        <f>'CPI+exchange rates'!C47</f>
        <v>114</v>
      </c>
      <c r="E43" s="113">
        <f t="shared" si="6"/>
        <v>-1.4693171996542853E-2</v>
      </c>
      <c r="F43" s="114">
        <f>'CPI+exchange rates'!F47</f>
        <v>89.23</v>
      </c>
      <c r="G43" s="113">
        <f t="shared" si="7"/>
        <v>9.3891402714931793E-3</v>
      </c>
      <c r="H43" s="23"/>
      <c r="I43" s="23"/>
      <c r="J43" s="23"/>
      <c r="L43" s="336" t="str">
        <f t="shared" si="0"/>
        <v>Q4 2008</v>
      </c>
      <c r="M43" s="457">
        <f>Returns!C47</f>
        <v>-0.12508377757422806</v>
      </c>
      <c r="N43" s="110">
        <f t="shared" si="19"/>
        <v>-0.13447291784572124</v>
      </c>
      <c r="O43" s="110">
        <f>Returns!E47</f>
        <v>3.6187419624764836E-2</v>
      </c>
      <c r="P43" s="110">
        <f t="shared" si="8"/>
        <v>2.6798279353271656E-2</v>
      </c>
      <c r="Q43" s="135">
        <f>USD!CX47</f>
        <v>-0.19893423402980126</v>
      </c>
      <c r="R43" s="106">
        <f t="shared" si="20"/>
        <v>-0.18424106203325841</v>
      </c>
      <c r="S43" s="107">
        <f>Returns!V47</f>
        <v>-6.9868615415528398E-2</v>
      </c>
      <c r="T43" s="107">
        <f t="shared" si="9"/>
        <v>-5.5175443418985545E-2</v>
      </c>
      <c r="U43" s="135">
        <f>USD!AR47</f>
        <v>-0.12534397078285586</v>
      </c>
      <c r="V43" s="110">
        <f t="shared" si="21"/>
        <v>-0.12167567376195754</v>
      </c>
      <c r="W43" s="110">
        <f>Returns!N47</f>
        <v>-0.116156606192563</v>
      </c>
      <c r="X43" s="111">
        <f t="shared" si="10"/>
        <v>-0.11248830917166468</v>
      </c>
      <c r="Y43" s="59"/>
      <c r="Z43" s="117"/>
      <c r="AA43" s="117"/>
      <c r="AB43" s="59"/>
      <c r="AC43" s="625" t="str">
        <f t="shared" si="17"/>
        <v>Q3 2008</v>
      </c>
      <c r="AD43" s="700">
        <f t="shared" si="22"/>
        <v>-0.15158838747972869</v>
      </c>
      <c r="AE43" s="110"/>
      <c r="AF43" s="110">
        <f>'Benchmark finished'!B45-G42</f>
        <v>-0.11813698343753748</v>
      </c>
      <c r="AG43" s="110"/>
      <c r="AH43" s="453"/>
      <c r="AI43" s="110">
        <f t="shared" si="23"/>
        <v>-0.14081092963937003</v>
      </c>
      <c r="AJ43" s="110"/>
      <c r="AK43" s="110">
        <f>'Benchmark finished'!D45-E42</f>
        <v>-0.12171806665879399</v>
      </c>
      <c r="AL43" s="110"/>
      <c r="AM43" s="453"/>
      <c r="AN43" s="110">
        <f t="shared" si="14"/>
        <v>-0.15654620060564395</v>
      </c>
      <c r="AO43" s="110"/>
      <c r="AP43" s="110">
        <f>'Benchmark finished'!C45-C42</f>
        <v>-0.10295752720418193</v>
      </c>
      <c r="AQ43" s="627"/>
    </row>
    <row r="44" spans="1:52">
      <c r="A44" s="456" t="s">
        <v>299</v>
      </c>
      <c r="B44" s="134">
        <f>'CPI+exchange rates'!I48</f>
        <v>90.04</v>
      </c>
      <c r="C44" s="113">
        <f t="shared" si="18"/>
        <v>4.5743612629700614E-3</v>
      </c>
      <c r="D44" s="114">
        <f>'CPI+exchange rates'!C48</f>
        <v>113.60000000000001</v>
      </c>
      <c r="E44" s="113">
        <f t="shared" si="6"/>
        <v>-3.5087719298244613E-3</v>
      </c>
      <c r="F44" s="114">
        <f>'CPI+exchange rates'!F48</f>
        <v>89.17</v>
      </c>
      <c r="G44" s="113">
        <f t="shared" si="7"/>
        <v>-6.7241958982411365E-4</v>
      </c>
      <c r="H44" s="23"/>
      <c r="I44" s="23"/>
      <c r="J44" s="23"/>
      <c r="L44" s="336" t="str">
        <f t="shared" si="0"/>
        <v>Q1 2009</v>
      </c>
      <c r="M44" s="457">
        <f>Returns!C48</f>
        <v>-8.0771874950076206E-2</v>
      </c>
      <c r="N44" s="110">
        <f t="shared" si="19"/>
        <v>-8.0099455360252092E-2</v>
      </c>
      <c r="O44" s="110">
        <f>Returns!E48</f>
        <v>-0.11359160492572361</v>
      </c>
      <c r="P44" s="110">
        <f t="shared" si="8"/>
        <v>-0.11291918533589949</v>
      </c>
      <c r="Q44" s="135">
        <f>USD!CX48</f>
        <v>-7.6552374253544109E-2</v>
      </c>
      <c r="R44" s="106">
        <f t="shared" si="20"/>
        <v>-7.3043602323719647E-2</v>
      </c>
      <c r="S44" s="107">
        <f>Returns!V48</f>
        <v>-5.886137680607248E-2</v>
      </c>
      <c r="T44" s="107">
        <f t="shared" si="9"/>
        <v>-5.5352604876248018E-2</v>
      </c>
      <c r="U44" s="135">
        <f>USD!AR48</f>
        <v>-8.5144740843196898E-2</v>
      </c>
      <c r="V44" s="110">
        <f t="shared" si="21"/>
        <v>-8.9719102106166959E-2</v>
      </c>
      <c r="W44" s="110">
        <f>Returns!N48</f>
        <v>-4.2183108675103401E-2</v>
      </c>
      <c r="X44" s="111">
        <f t="shared" si="10"/>
        <v>-4.6757469938073462E-2</v>
      </c>
      <c r="Y44" s="59"/>
      <c r="Z44" s="117"/>
      <c r="AA44" s="117"/>
      <c r="AB44" s="59"/>
      <c r="AC44" s="625" t="str">
        <f t="shared" si="17"/>
        <v>Q4 2008</v>
      </c>
      <c r="AD44" s="700">
        <f t="shared" si="22"/>
        <v>-0.13447291784572124</v>
      </c>
      <c r="AE44" s="110">
        <f>((AD44+1)*(AD43+1)*(AD42+1)*(AD41+1))-1</f>
        <v>-0.30853668528529943</v>
      </c>
      <c r="AF44" s="110">
        <f>'Benchmark finished'!B46-G43</f>
        <v>-0.11373808998934036</v>
      </c>
      <c r="AG44" s="110">
        <f>((AF41+1)*(AF42+1)*(AF43+1)*(AF44+1))-1</f>
        <v>-0.27278829112760439</v>
      </c>
      <c r="AH44" s="453"/>
      <c r="AI44" s="110">
        <f t="shared" si="23"/>
        <v>-0.18424106203325841</v>
      </c>
      <c r="AJ44" s="110">
        <f>((AI41+1)*(AI42+1)*(AI43+1)*(AI44+1))-1</f>
        <v>-0.33321515449314076</v>
      </c>
      <c r="AK44" s="110">
        <f>'Benchmark finished'!D46-E43</f>
        <v>-0.10460985686445826</v>
      </c>
      <c r="AL44" s="110">
        <f>((AK41+1)*(AK42+1)*(AK43+1)*(AK44+1))-1</f>
        <v>-0.2810138157963894</v>
      </c>
      <c r="AM44" s="453"/>
      <c r="AN44" s="110">
        <f t="shared" si="14"/>
        <v>-0.12167567376195754</v>
      </c>
      <c r="AO44" s="110">
        <f>((AN41+1)*(AN42+1)*(AN43+1)*(AN44+1))-1</f>
        <v>-0.25931247836077909</v>
      </c>
      <c r="AP44" s="110">
        <f>'Benchmark finished'!C46-C43</f>
        <v>-5.7443397417590289E-2</v>
      </c>
      <c r="AQ44" s="627">
        <f>((AP41+1)*(AP42+1)*(AP43+1)*(AP44+1))-1</f>
        <v>-0.19384849800458137</v>
      </c>
    </row>
    <row r="45" spans="1:52">
      <c r="A45" s="456" t="s">
        <v>298</v>
      </c>
      <c r="B45" s="134">
        <f>'CPI+exchange rates'!I49</f>
        <v>91.02</v>
      </c>
      <c r="C45" s="113">
        <f t="shared" si="18"/>
        <v>1.0884051532652039E-2</v>
      </c>
      <c r="D45" s="114">
        <f>'CPI+exchange rates'!C49</f>
        <v>114.60000000000001</v>
      </c>
      <c r="E45" s="113">
        <f t="shared" si="6"/>
        <v>8.8028169014084945E-3</v>
      </c>
      <c r="F45" s="114">
        <f>'CPI+exchange rates'!F49</f>
        <v>90</v>
      </c>
      <c r="G45" s="113">
        <f t="shared" si="7"/>
        <v>9.3080632499720206E-3</v>
      </c>
      <c r="H45" s="23"/>
      <c r="I45" s="23"/>
      <c r="J45" s="23"/>
      <c r="L45" s="336" t="str">
        <f t="shared" si="0"/>
        <v>Q2 2009</v>
      </c>
      <c r="M45" s="457">
        <f>Returns!C49</f>
        <v>0.17631546523322417</v>
      </c>
      <c r="N45" s="110">
        <f t="shared" si="19"/>
        <v>0.16700740198325215</v>
      </c>
      <c r="O45" s="110">
        <f>Returns!E49</f>
        <v>0.12134199845187547</v>
      </c>
      <c r="P45" s="110">
        <f t="shared" si="8"/>
        <v>0.11203393520190345</v>
      </c>
      <c r="Q45" s="135">
        <f>USD!CX49</f>
        <v>0.15852803708430363</v>
      </c>
      <c r="R45" s="106">
        <f t="shared" si="20"/>
        <v>0.14972522018289514</v>
      </c>
      <c r="S45" s="107">
        <f>Returns!V49</f>
        <v>6.9392787718361118E-2</v>
      </c>
      <c r="T45" s="107">
        <f t="shared" si="9"/>
        <v>6.0589970816952624E-2</v>
      </c>
      <c r="U45" s="135">
        <f>USD!AR49</f>
        <v>0.15234845920514273</v>
      </c>
      <c r="V45" s="110">
        <f t="shared" si="21"/>
        <v>0.14146440767249069</v>
      </c>
      <c r="W45" s="110">
        <f>Returns!N49</f>
        <v>9.0773147940176005E-2</v>
      </c>
      <c r="X45" s="111">
        <f t="shared" si="10"/>
        <v>7.9889096407523966E-2</v>
      </c>
      <c r="Y45" s="59"/>
      <c r="Z45" s="117"/>
      <c r="AA45" s="117"/>
      <c r="AB45" s="59"/>
      <c r="AC45" s="625" t="str">
        <f t="shared" si="17"/>
        <v>Q1 2009</v>
      </c>
      <c r="AD45" s="700">
        <f t="shared" si="22"/>
        <v>-8.0099455360252092E-2</v>
      </c>
      <c r="AE45" s="110"/>
      <c r="AF45" s="110">
        <f>'Benchmark finished'!B47-G44</f>
        <v>-5.7494732105121855E-2</v>
      </c>
      <c r="AG45" s="110"/>
      <c r="AH45" s="453"/>
      <c r="AI45" s="110">
        <f t="shared" si="23"/>
        <v>-7.3043602323719647E-2</v>
      </c>
      <c r="AJ45" s="110"/>
      <c r="AK45" s="110">
        <f>'Benchmark finished'!D47-E44</f>
        <v>-5.5566553748713284E-2</v>
      </c>
      <c r="AL45" s="110"/>
      <c r="AM45" s="453"/>
      <c r="AN45" s="110">
        <f t="shared" si="14"/>
        <v>-8.9719102106166959E-2</v>
      </c>
      <c r="AO45" s="110"/>
      <c r="AP45" s="110">
        <f>'Benchmark finished'!C47-C44</f>
        <v>-5.5911347609788178E-2</v>
      </c>
      <c r="AQ45" s="627"/>
    </row>
    <row r="46" spans="1:52">
      <c r="A46" s="456" t="s">
        <v>297</v>
      </c>
      <c r="B46" s="134">
        <f>'CPI+exchange rates'!I50</f>
        <v>90.22</v>
      </c>
      <c r="C46" s="113">
        <f t="shared" si="18"/>
        <v>-8.7892770819599786E-3</v>
      </c>
      <c r="D46" s="114">
        <f>'CPI+exchange rates'!C50</f>
        <v>114.7</v>
      </c>
      <c r="E46" s="113">
        <f t="shared" si="6"/>
        <v>8.7260034904002026E-4</v>
      </c>
      <c r="F46" s="114">
        <f>'CPI+exchange rates'!F50</f>
        <v>90</v>
      </c>
      <c r="G46" s="113">
        <f t="shared" si="7"/>
        <v>0</v>
      </c>
      <c r="H46" s="23"/>
      <c r="I46" s="23"/>
      <c r="J46" s="23"/>
      <c r="L46" s="336" t="str">
        <f t="shared" si="0"/>
        <v>Q3 2009</v>
      </c>
      <c r="M46" s="457">
        <f>Returns!C50</f>
        <v>0.16083524328588461</v>
      </c>
      <c r="N46" s="110">
        <f t="shared" si="19"/>
        <v>0.16083524328588461</v>
      </c>
      <c r="O46" s="110">
        <f>Returns!E50</f>
        <v>4.6447915749537792E-2</v>
      </c>
      <c r="P46" s="110">
        <f t="shared" si="8"/>
        <v>4.6447915749537792E-2</v>
      </c>
      <c r="Q46" s="135">
        <f>USD!CX50</f>
        <v>0.1301428138880798</v>
      </c>
      <c r="R46" s="106">
        <f t="shared" si="20"/>
        <v>0.12927021353903978</v>
      </c>
      <c r="S46" s="107">
        <f>Returns!V50</f>
        <v>4.4458847157253331E-2</v>
      </c>
      <c r="T46" s="107">
        <f t="shared" si="9"/>
        <v>4.3586246808213311E-2</v>
      </c>
      <c r="U46" s="135">
        <f>USD!AR50</f>
        <v>0.1537196747136429</v>
      </c>
      <c r="V46" s="110">
        <f t="shared" si="21"/>
        <v>0.16250895179560287</v>
      </c>
      <c r="W46" s="110">
        <f>Returns!N50</f>
        <v>0.10711201238290401</v>
      </c>
      <c r="X46" s="111">
        <f t="shared" si="10"/>
        <v>0.11590128946486399</v>
      </c>
      <c r="Y46" s="59"/>
      <c r="Z46" s="117"/>
      <c r="AA46" s="117"/>
      <c r="AB46" s="59"/>
      <c r="AC46" s="625" t="str">
        <f t="shared" si="17"/>
        <v>Q2 2009</v>
      </c>
      <c r="AD46" s="700">
        <f t="shared" si="22"/>
        <v>0.16700740198325215</v>
      </c>
      <c r="AE46" s="110"/>
      <c r="AF46" s="110">
        <f>'Benchmark finished'!B48-G45</f>
        <v>0.12580090802427307</v>
      </c>
      <c r="AG46" s="110"/>
      <c r="AH46" s="453"/>
      <c r="AI46" s="110">
        <f t="shared" si="23"/>
        <v>0.14972522018289514</v>
      </c>
      <c r="AJ46" s="110"/>
      <c r="AK46" s="110">
        <f>'Benchmark finished'!D48-E45</f>
        <v>0.14359281266038185</v>
      </c>
      <c r="AL46" s="110"/>
      <c r="AM46" s="453"/>
      <c r="AN46" s="110">
        <f t="shared" si="14"/>
        <v>0.14146440767249069</v>
      </c>
      <c r="AO46" s="110"/>
      <c r="AP46" s="110">
        <f>'Benchmark finished'!C48-C45</f>
        <v>0.12090599312915093</v>
      </c>
      <c r="AQ46" s="627"/>
    </row>
    <row r="47" spans="1:52">
      <c r="A47" s="456" t="s">
        <v>296</v>
      </c>
      <c r="B47" s="134">
        <f>'CPI+exchange rates'!I51</f>
        <v>90.460000000000008</v>
      </c>
      <c r="C47" s="113">
        <f t="shared" si="18"/>
        <v>2.6601640434493756E-3</v>
      </c>
      <c r="D47" s="114">
        <f>'CPI+exchange rates'!C51</f>
        <v>114.9</v>
      </c>
      <c r="E47" s="113">
        <f t="shared" si="6"/>
        <v>1.7436791630340842E-3</v>
      </c>
      <c r="F47" s="114">
        <f>'CPI+exchange rates'!F51</f>
        <v>90.5</v>
      </c>
      <c r="G47" s="113">
        <f t="shared" si="7"/>
        <v>5.5555555555555358E-3</v>
      </c>
      <c r="H47" s="23"/>
      <c r="I47" s="23"/>
      <c r="J47" s="23"/>
      <c r="L47" s="336" t="str">
        <f t="shared" si="0"/>
        <v>Q4 2009</v>
      </c>
      <c r="M47" s="457">
        <f>Returns!C51</f>
        <v>2.5822400485953079E-2</v>
      </c>
      <c r="N47" s="110">
        <f t="shared" si="19"/>
        <v>2.0266844930397543E-2</v>
      </c>
      <c r="O47" s="110">
        <f>Returns!E51</f>
        <v>2.1314107013986429E-2</v>
      </c>
      <c r="P47" s="110">
        <f t="shared" si="8"/>
        <v>1.5758551458430893E-2</v>
      </c>
      <c r="Q47" s="135">
        <f>USD!CX51</f>
        <v>4.1309261057798752E-2</v>
      </c>
      <c r="R47" s="106">
        <f t="shared" si="20"/>
        <v>3.9565581894764668E-2</v>
      </c>
      <c r="S47" s="107">
        <f>Returns!V51</f>
        <v>1.7102919808015753E-2</v>
      </c>
      <c r="T47" s="107">
        <f t="shared" si="9"/>
        <v>1.5359240644981668E-2</v>
      </c>
      <c r="U47" s="135">
        <f>USD!AR51</f>
        <v>2.0200728880883201E-2</v>
      </c>
      <c r="V47" s="110">
        <f t="shared" si="21"/>
        <v>1.7540564837433825E-2</v>
      </c>
      <c r="W47" s="110">
        <f>Returns!N51</f>
        <v>3.9364489786038397E-2</v>
      </c>
      <c r="X47" s="111">
        <f t="shared" si="10"/>
        <v>3.6704325742589021E-2</v>
      </c>
      <c r="Y47" s="59"/>
      <c r="Z47" s="117"/>
      <c r="AA47" s="117"/>
      <c r="AB47" s="59"/>
      <c r="AC47" s="625" t="str">
        <f t="shared" si="17"/>
        <v>Q3 2009</v>
      </c>
      <c r="AD47" s="700">
        <f t="shared" si="22"/>
        <v>0.16083524328588461</v>
      </c>
      <c r="AE47" s="110"/>
      <c r="AF47" s="110">
        <f>'Benchmark finished'!B49-G46</f>
        <v>0.12424275746730432</v>
      </c>
      <c r="AG47" s="110"/>
      <c r="AH47" s="453"/>
      <c r="AI47" s="110">
        <f t="shared" si="23"/>
        <v>0.12927021353903978</v>
      </c>
      <c r="AJ47" s="110"/>
      <c r="AK47" s="110">
        <f>'Benchmark finished'!D49-E46</f>
        <v>0.13229343856850431</v>
      </c>
      <c r="AL47" s="110"/>
      <c r="AM47" s="453"/>
      <c r="AN47" s="110">
        <f t="shared" si="14"/>
        <v>0.16250895179560287</v>
      </c>
      <c r="AO47" s="110"/>
      <c r="AP47" s="110">
        <f>'Benchmark finished'!C49-C46</f>
        <v>0.12442568961998288</v>
      </c>
      <c r="AQ47" s="627"/>
    </row>
    <row r="48" spans="1:52">
      <c r="A48" s="456" t="s">
        <v>295</v>
      </c>
      <c r="B48" s="134">
        <f>'CPI+exchange rates'!I52</f>
        <v>90.84</v>
      </c>
      <c r="C48" s="113">
        <f t="shared" si="18"/>
        <v>4.2007517134645678E-3</v>
      </c>
      <c r="D48" s="114">
        <f>'CPI+exchange rates'!C52</f>
        <v>115.4</v>
      </c>
      <c r="E48" s="113">
        <f t="shared" si="6"/>
        <v>4.3516100957354809E-3</v>
      </c>
      <c r="F48" s="114">
        <f>'CPI+exchange rates'!F52</f>
        <v>91.8</v>
      </c>
      <c r="G48" s="113">
        <f t="shared" si="7"/>
        <v>1.436464088397793E-2</v>
      </c>
      <c r="H48" s="23"/>
      <c r="I48" s="23"/>
      <c r="J48" s="23"/>
      <c r="L48" s="336" t="str">
        <f t="shared" si="0"/>
        <v>Q1 2010</v>
      </c>
      <c r="M48" s="457">
        <f>Returns!C52</f>
        <v>1.0513750365447327E-2</v>
      </c>
      <c r="N48" s="110">
        <f t="shared" si="19"/>
        <v>-3.850890518530603E-3</v>
      </c>
      <c r="O48" s="110">
        <f>Returns!E52</f>
        <v>3.8309525696611516E-2</v>
      </c>
      <c r="P48" s="110">
        <f t="shared" si="8"/>
        <v>2.3944884812633585E-2</v>
      </c>
      <c r="Q48" s="135">
        <f>USD!CX52</f>
        <v>4.1321314126054887E-2</v>
      </c>
      <c r="R48" s="106">
        <f t="shared" si="20"/>
        <v>3.6969704030319406E-2</v>
      </c>
      <c r="S48" s="107">
        <f>Returns!V52</f>
        <v>7.7479269772394018E-3</v>
      </c>
      <c r="T48" s="107">
        <f t="shared" si="9"/>
        <v>3.396316881503921E-3</v>
      </c>
      <c r="U48" s="135">
        <f>USD!AR52</f>
        <v>-9.1342007127742653E-3</v>
      </c>
      <c r="V48" s="110">
        <f t="shared" si="21"/>
        <v>-1.3334952426238833E-2</v>
      </c>
      <c r="W48" s="110">
        <f>Returns!N52</f>
        <v>5.0657292640639E-2</v>
      </c>
      <c r="X48" s="111">
        <f t="shared" si="10"/>
        <v>4.6456540927174432E-2</v>
      </c>
      <c r="Y48" s="59"/>
      <c r="Z48" s="117"/>
      <c r="AA48" s="117"/>
      <c r="AB48" s="59"/>
      <c r="AC48" s="625" t="str">
        <f t="shared" si="17"/>
        <v>Q4 2009</v>
      </c>
      <c r="AD48" s="700">
        <f t="shared" si="22"/>
        <v>2.0266844930397543E-2</v>
      </c>
      <c r="AE48" s="110">
        <f>((AD48+1)*(AD47+1)*(AD46+1)*(AD45+1))-1</f>
        <v>0.27144870974630009</v>
      </c>
      <c r="AF48" s="110">
        <f>'Benchmark finished'!B50-G47</f>
        <v>9.2369074930735897E-3</v>
      </c>
      <c r="AG48" s="110">
        <f>((AF45+1)*(AF46+1)*(AF47+1)*(AF48+1))-1</f>
        <v>0.20392270089520648</v>
      </c>
      <c r="AH48" s="453"/>
      <c r="AI48" s="110">
        <f t="shared" si="23"/>
        <v>3.9565581894764668E-2</v>
      </c>
      <c r="AJ48" s="110">
        <f>((AI45+1)*(AI46+1)*(AI47+1)*(AI48+1))-1</f>
        <v>0.25113199300514832</v>
      </c>
      <c r="AK48" s="110">
        <f>'Benchmark finished'!D50-E47</f>
        <v>1.8437052598816304E-2</v>
      </c>
      <c r="AL48" s="110">
        <f>((AK45+1)*(AK46+1)*(AK47+1)*(AK48+1))-1</f>
        <v>0.24547770590272355</v>
      </c>
      <c r="AM48" s="453"/>
      <c r="AN48" s="110">
        <f t="shared" si="14"/>
        <v>1.7540564837433825E-2</v>
      </c>
      <c r="AO48" s="110">
        <f>((AN45+1)*(AN46+1)*(AN47+1)*(AN48+1))-1</f>
        <v>0.22909610065215924</v>
      </c>
      <c r="AP48" s="110">
        <f>'Benchmark finished'!C50-C47</f>
        <v>1.1573658892320021E-2</v>
      </c>
      <c r="AQ48" s="627">
        <f>((AP45+1)*(AP46+1)*(AP47+1)*(AP48+1))-1</f>
        <v>0.20367777043656865</v>
      </c>
    </row>
    <row r="49" spans="1:43">
      <c r="A49" s="456" t="s">
        <v>294</v>
      </c>
      <c r="B49" s="134">
        <f>'CPI+exchange rates'!I53</f>
        <v>91.91</v>
      </c>
      <c r="C49" s="113">
        <f t="shared" si="18"/>
        <v>1.1778952003522525E-2</v>
      </c>
      <c r="D49" s="114">
        <f>'CPI+exchange rates'!C53</f>
        <v>116.2</v>
      </c>
      <c r="E49" s="113">
        <f t="shared" si="6"/>
        <v>6.9324090121316573E-3</v>
      </c>
      <c r="F49" s="114">
        <f>'CPI+exchange rates'!F53</f>
        <v>92.33</v>
      </c>
      <c r="G49" s="113">
        <f t="shared" si="7"/>
        <v>5.7734204793027377E-3</v>
      </c>
      <c r="H49" s="23"/>
      <c r="I49" s="23"/>
      <c r="J49" s="23"/>
      <c r="L49" s="336" t="str">
        <f t="shared" si="0"/>
        <v>Q2 2010</v>
      </c>
      <c r="M49" s="457">
        <f>Returns!C53</f>
        <v>-8.961467897503006E-2</v>
      </c>
      <c r="N49" s="110">
        <f t="shared" si="19"/>
        <v>-9.5388099454332798E-2</v>
      </c>
      <c r="O49" s="110">
        <f>Returns!E53</f>
        <v>-2.5822901387312657E-3</v>
      </c>
      <c r="P49" s="110">
        <f t="shared" si="8"/>
        <v>-8.355710618034003E-3</v>
      </c>
      <c r="Q49" s="135">
        <f>USD!CX53</f>
        <v>-5.8498736957299013E-2</v>
      </c>
      <c r="R49" s="106">
        <f t="shared" si="20"/>
        <v>-6.5431145969430671E-2</v>
      </c>
      <c r="S49" s="107">
        <f>Returns!V53</f>
        <v>-1.3861990860651154E-2</v>
      </c>
      <c r="T49" s="107">
        <f t="shared" si="9"/>
        <v>-2.0794399872782809E-2</v>
      </c>
      <c r="U49" s="135">
        <f>USD!AR53</f>
        <v>-9.9550101258882751E-2</v>
      </c>
      <c r="V49" s="110">
        <f t="shared" si="21"/>
        <v>-0.11132905326240528</v>
      </c>
      <c r="W49" s="110">
        <f>Returns!N53</f>
        <v>-5.3082168545352396E-3</v>
      </c>
      <c r="X49" s="111">
        <f t="shared" si="10"/>
        <v>-1.7087168858057764E-2</v>
      </c>
      <c r="Y49" s="59"/>
      <c r="Z49" s="117"/>
      <c r="AA49" s="117"/>
      <c r="AB49" s="59"/>
      <c r="AC49" s="625" t="str">
        <f t="shared" si="17"/>
        <v>Q1 2010</v>
      </c>
      <c r="AD49" s="700">
        <f t="shared" si="22"/>
        <v>-3.850890518530603E-3</v>
      </c>
      <c r="AE49" s="110"/>
      <c r="AF49" s="110">
        <f>'Benchmark finished'!B51-G48</f>
        <v>1.2543764913123534E-2</v>
      </c>
      <c r="AG49" s="110"/>
      <c r="AH49" s="453"/>
      <c r="AI49" s="110">
        <f t="shared" si="23"/>
        <v>3.6969704030319406E-2</v>
      </c>
      <c r="AJ49" s="110"/>
      <c r="AK49" s="110">
        <f>'Benchmark finished'!D51-E48</f>
        <v>2.3317544460154469E-2</v>
      </c>
      <c r="AL49" s="110"/>
      <c r="AM49" s="453"/>
      <c r="AN49" s="110">
        <f t="shared" si="14"/>
        <v>-1.3334952426238833E-2</v>
      </c>
      <c r="AO49" s="110"/>
      <c r="AP49" s="110">
        <f>'Benchmark finished'!C51-C48</f>
        <v>1.8619132194621284E-2</v>
      </c>
      <c r="AQ49" s="627"/>
    </row>
    <row r="50" spans="1:43">
      <c r="A50" s="456" t="s">
        <v>293</v>
      </c>
      <c r="B50" s="134">
        <f>'CPI+exchange rates'!I54</f>
        <v>91.62</v>
      </c>
      <c r="C50" s="113">
        <f t="shared" si="18"/>
        <v>-3.1552605810030165E-3</v>
      </c>
      <c r="D50" s="114">
        <f>'CPI+exchange rates'!C54</f>
        <v>116.80000000000001</v>
      </c>
      <c r="E50" s="113">
        <f t="shared" si="6"/>
        <v>5.1635111876076056E-3</v>
      </c>
      <c r="F50" s="114">
        <f>'CPI+exchange rates'!F54</f>
        <v>91.67</v>
      </c>
      <c r="G50" s="113">
        <f t="shared" si="7"/>
        <v>-7.1482725008122916E-3</v>
      </c>
      <c r="H50" s="23"/>
      <c r="I50" s="23"/>
      <c r="J50" s="23"/>
      <c r="L50" s="336" t="str">
        <f t="shared" si="0"/>
        <v>Q3 2010</v>
      </c>
      <c r="M50" s="457">
        <f>Returns!C54</f>
        <v>0.13658222126528474</v>
      </c>
      <c r="N50" s="110">
        <f t="shared" si="19"/>
        <v>0.14373049376609703</v>
      </c>
      <c r="O50" s="110">
        <f>Returns!E54</f>
        <v>2.3512114002254357E-2</v>
      </c>
      <c r="P50" s="110">
        <f t="shared" si="8"/>
        <v>3.0660386503066649E-2</v>
      </c>
      <c r="Q50" s="135">
        <f>USD!CX54</f>
        <v>0.10089503304817837</v>
      </c>
      <c r="R50" s="106">
        <f t="shared" si="20"/>
        <v>9.5731521860570767E-2</v>
      </c>
      <c r="S50" s="107">
        <f>Returns!V54</f>
        <v>6.2770592059920027E-2</v>
      </c>
      <c r="T50" s="107">
        <f t="shared" si="9"/>
        <v>5.7607080872312422E-2</v>
      </c>
      <c r="U50" s="135">
        <f>USD!AR54</f>
        <v>0.17814455901968218</v>
      </c>
      <c r="V50" s="110">
        <f t="shared" si="21"/>
        <v>0.1812998196006852</v>
      </c>
      <c r="W50" s="110">
        <f>Returns!N54</f>
        <v>5.7067665291108599E-2</v>
      </c>
      <c r="X50" s="111">
        <f t="shared" si="10"/>
        <v>6.0222925872111616E-2</v>
      </c>
      <c r="Y50" s="59"/>
      <c r="Z50" s="117"/>
      <c r="AA50" s="117"/>
      <c r="AB50" s="59"/>
      <c r="AC50" s="625" t="str">
        <f t="shared" si="17"/>
        <v>Q2 2010</v>
      </c>
      <c r="AD50" s="700">
        <f t="shared" si="22"/>
        <v>-9.5388099454332798E-2</v>
      </c>
      <c r="AE50" s="110"/>
      <c r="AF50" s="110">
        <f>'Benchmark finished'!B52-G49</f>
        <v>-7.316553963268653E-2</v>
      </c>
      <c r="AG50" s="110"/>
      <c r="AH50" s="453"/>
      <c r="AI50" s="110">
        <f t="shared" si="23"/>
        <v>-6.5431145969430671E-2</v>
      </c>
      <c r="AJ50" s="110"/>
      <c r="AK50" s="110">
        <f>'Benchmark finished'!D52-E49</f>
        <v>-7.9054141065847378E-2</v>
      </c>
      <c r="AL50" s="110"/>
      <c r="AM50" s="453"/>
      <c r="AN50" s="110">
        <f t="shared" si="14"/>
        <v>-0.11132905326240528</v>
      </c>
      <c r="AO50" s="110"/>
      <c r="AP50" s="110">
        <f>'Benchmark finished'!C52-C49</f>
        <v>-6.0361615386244349E-2</v>
      </c>
      <c r="AQ50" s="627"/>
    </row>
    <row r="51" spans="1:43">
      <c r="A51" s="456" t="s">
        <v>292</v>
      </c>
      <c r="B51" s="134">
        <f>'CPI+exchange rates'!I55</f>
        <v>91.99</v>
      </c>
      <c r="C51" s="113">
        <f t="shared" si="18"/>
        <v>4.0384195590481564E-3</v>
      </c>
      <c r="D51" s="114">
        <f>'CPI+exchange rates'!C55</f>
        <v>117.5</v>
      </c>
      <c r="E51" s="113">
        <f t="shared" si="6"/>
        <v>5.9931506849313365E-3</v>
      </c>
      <c r="F51" s="114">
        <f>'CPI+exchange rates'!F55</f>
        <v>92.570000000000007</v>
      </c>
      <c r="G51" s="113">
        <f t="shared" si="7"/>
        <v>9.817824806370723E-3</v>
      </c>
      <c r="H51" s="23"/>
      <c r="I51" s="23"/>
      <c r="J51" s="23"/>
      <c r="L51" s="336" t="str">
        <f t="shared" si="0"/>
        <v>Q4 2010</v>
      </c>
      <c r="M51" s="457">
        <f>Returns!C55</f>
        <v>3.8307621655095936E-2</v>
      </c>
      <c r="N51" s="110">
        <f t="shared" si="19"/>
        <v>2.8489796848725213E-2</v>
      </c>
      <c r="O51" s="110">
        <f>Returns!E55</f>
        <v>3.0559586569831421E-2</v>
      </c>
      <c r="P51" s="110">
        <f t="shared" si="8"/>
        <v>2.0741761763460698E-2</v>
      </c>
      <c r="Q51" s="135">
        <f>USD!CX55</f>
        <v>6.1231542828701802E-2</v>
      </c>
      <c r="R51" s="106">
        <f t="shared" si="20"/>
        <v>5.5238392143770465E-2</v>
      </c>
      <c r="S51" s="107">
        <f>Returns!V55</f>
        <v>2.7920965571710709E-2</v>
      </c>
      <c r="T51" s="107">
        <f t="shared" si="9"/>
        <v>2.1927814886779372E-2</v>
      </c>
      <c r="U51" s="135">
        <f>USD!AR55</f>
        <v>9.9930549224158671E-3</v>
      </c>
      <c r="V51" s="110">
        <f t="shared" si="21"/>
        <v>5.9546353633677107E-3</v>
      </c>
      <c r="W51" s="110">
        <f>Returns!N55</f>
        <v>2.7798058271544499E-2</v>
      </c>
      <c r="X51" s="111">
        <f t="shared" si="10"/>
        <v>2.3759638712496343E-2</v>
      </c>
      <c r="Y51" s="59"/>
      <c r="Z51" s="117"/>
      <c r="AA51" s="117"/>
      <c r="AB51" s="59"/>
      <c r="AC51" s="625" t="str">
        <f t="shared" si="17"/>
        <v>Q3 2010</v>
      </c>
      <c r="AD51" s="700">
        <f t="shared" si="22"/>
        <v>0.14373049376609703</v>
      </c>
      <c r="AE51" s="110"/>
      <c r="AF51" s="110">
        <f>'Benchmark finished'!B53-G50</f>
        <v>0.10139890535205809</v>
      </c>
      <c r="AG51" s="110"/>
      <c r="AH51" s="453"/>
      <c r="AI51" s="110">
        <f t="shared" si="23"/>
        <v>9.5731521860570767E-2</v>
      </c>
      <c r="AJ51" s="110"/>
      <c r="AK51" s="110">
        <f>'Benchmark finished'!D53-E50</f>
        <v>9.6952337258390919E-2</v>
      </c>
      <c r="AL51" s="110"/>
      <c r="AM51" s="453"/>
      <c r="AN51" s="110">
        <f t="shared" si="14"/>
        <v>0.1812998196006852</v>
      </c>
      <c r="AO51" s="110"/>
      <c r="AP51" s="110">
        <f>'Benchmark finished'!C53-C50</f>
        <v>9.6545922555031236E-2</v>
      </c>
      <c r="AQ51" s="627"/>
    </row>
    <row r="52" spans="1:43">
      <c r="A52" s="456" t="s">
        <v>291</v>
      </c>
      <c r="B52" s="134">
        <f>'CPI+exchange rates'!I56</f>
        <v>92.53</v>
      </c>
      <c r="C52" s="113">
        <f t="shared" si="18"/>
        <v>5.8702032829656137E-3</v>
      </c>
      <c r="D52" s="114">
        <f>'CPI+exchange rates'!C56</f>
        <v>118.4</v>
      </c>
      <c r="E52" s="113">
        <f t="shared" si="6"/>
        <v>7.6595744680851841E-3</v>
      </c>
      <c r="F52" s="114">
        <f>'CPI+exchange rates'!F56</f>
        <v>93.070000000000007</v>
      </c>
      <c r="G52" s="113">
        <f t="shared" si="7"/>
        <v>5.4013179215728346E-3</v>
      </c>
      <c r="H52" s="23"/>
      <c r="I52" s="23"/>
      <c r="J52" s="23"/>
      <c r="L52" s="336" t="str">
        <f t="shared" si="0"/>
        <v>Q1 2011</v>
      </c>
      <c r="M52" s="457">
        <f>Returns!C56</f>
        <v>4.5711627495188756E-2</v>
      </c>
      <c r="N52" s="110">
        <f t="shared" si="19"/>
        <v>4.0310309573615921E-2</v>
      </c>
      <c r="O52" s="110">
        <f>Returns!E56</f>
        <v>-4.7973685339336696E-3</v>
      </c>
      <c r="P52" s="110">
        <f t="shared" si="8"/>
        <v>-1.0198686455506504E-2</v>
      </c>
      <c r="Q52" s="135">
        <f>USD!CX56</f>
        <v>5.4915832433081624E-2</v>
      </c>
      <c r="R52" s="106">
        <f t="shared" si="20"/>
        <v>4.725625796499644E-2</v>
      </c>
      <c r="S52" s="107">
        <f>Returns!V56</f>
        <v>3.2727193679142987E-2</v>
      </c>
      <c r="T52" s="107">
        <f t="shared" si="9"/>
        <v>2.5067619211057802E-2</v>
      </c>
      <c r="U52" s="135">
        <f>USD!AR56</f>
        <v>6.7314308550062041E-2</v>
      </c>
      <c r="V52" s="110">
        <f t="shared" si="21"/>
        <v>6.1444105267096427E-2</v>
      </c>
      <c r="W52" s="110">
        <f>Returns!N56</f>
        <v>8.9890723103776098E-3</v>
      </c>
      <c r="X52" s="111">
        <f t="shared" si="10"/>
        <v>3.1188690274119961E-3</v>
      </c>
      <c r="Y52" s="59"/>
      <c r="Z52" s="117"/>
      <c r="AA52" s="117"/>
      <c r="AB52" s="59"/>
      <c r="AC52" s="625" t="str">
        <f t="shared" si="17"/>
        <v>Q4 2010</v>
      </c>
      <c r="AD52" s="700">
        <f t="shared" si="22"/>
        <v>2.8489796848725213E-2</v>
      </c>
      <c r="AE52" s="110">
        <f>((AD52+1)*(AD51+1)*(AD50+1)*(AD49+1))-1</f>
        <v>6.0010911299429148E-2</v>
      </c>
      <c r="AF52" s="110">
        <f>'Benchmark finished'!B54-G51</f>
        <v>4.9948087159685982E-2</v>
      </c>
      <c r="AG52" s="110">
        <f>((AF49+1)*(AF50+1)*(AF51+1)*(AF52+1))-1</f>
        <v>8.5246624418812589E-2</v>
      </c>
      <c r="AH52" s="453"/>
      <c r="AI52" s="110">
        <f t="shared" si="23"/>
        <v>5.5238392143770465E-2</v>
      </c>
      <c r="AJ52" s="110">
        <f>((AI49+1)*(AI50+1)*(AI51+1)*(AI52+1))-1</f>
        <v>0.12055224683139198</v>
      </c>
      <c r="AK52" s="110">
        <f>'Benchmark finished'!D54-E51</f>
        <v>5.731368234574577E-2</v>
      </c>
      <c r="AL52" s="110">
        <f>((AK49+1)*(AK50+1)*(AK51+1)*(AK52+1))-1</f>
        <v>9.3040186857774376E-2</v>
      </c>
      <c r="AM52" s="453"/>
      <c r="AN52" s="110">
        <f t="shared" si="14"/>
        <v>5.9546353633677107E-3</v>
      </c>
      <c r="AO52" s="110">
        <f>((AN49+1)*(AN50+1)*(AN51+1)*(AN52+1))-1</f>
        <v>4.1955711327101852E-2</v>
      </c>
      <c r="AP52" s="110">
        <f>'Benchmark finished'!C54-C51</f>
        <v>4.8119612605092274E-2</v>
      </c>
      <c r="AQ52" s="627">
        <f>((AP49+1)*(AP50+1)*(AP51+1)*(AP52+1))-1</f>
        <v>0.10004449144944005</v>
      </c>
    </row>
    <row r="53" spans="1:43">
      <c r="A53" s="456" t="s">
        <v>290</v>
      </c>
      <c r="B53" s="134">
        <f>'CPI+exchange rates'!I57</f>
        <v>93.850000000000009</v>
      </c>
      <c r="C53" s="113">
        <f t="shared" si="18"/>
        <v>1.4265643575056774E-2</v>
      </c>
      <c r="D53" s="114">
        <f>'CPI+exchange rates'!C57</f>
        <v>120.10000000000001</v>
      </c>
      <c r="E53" s="113">
        <f t="shared" si="6"/>
        <v>1.4358108108108114E-2</v>
      </c>
      <c r="F53" s="114">
        <f>'CPI+exchange rates'!F57</f>
        <v>93.67</v>
      </c>
      <c r="G53" s="113">
        <f t="shared" si="7"/>
        <v>6.4467605028473152E-3</v>
      </c>
      <c r="H53" s="23"/>
      <c r="I53" s="23"/>
      <c r="J53" s="23"/>
      <c r="L53" s="336" t="str">
        <f t="shared" si="0"/>
        <v>Q2 2011</v>
      </c>
      <c r="M53" s="457">
        <f>Returns!C57</f>
        <v>1.6233376975580471E-2</v>
      </c>
      <c r="N53" s="110">
        <f t="shared" si="19"/>
        <v>9.7866164727331562E-3</v>
      </c>
      <c r="O53" s="110">
        <f>Returns!E57</f>
        <v>-1.4317463281307381E-2</v>
      </c>
      <c r="P53" s="110">
        <f t="shared" si="8"/>
        <v>-2.0764223784154698E-2</v>
      </c>
      <c r="Q53" s="135">
        <f>USD!CX57</f>
        <v>1.6048596239324642E-2</v>
      </c>
      <c r="R53" s="106">
        <f t="shared" si="20"/>
        <v>1.6904881312165276E-3</v>
      </c>
      <c r="S53" s="107">
        <f>Returns!V57</f>
        <v>8.0580829921071285E-3</v>
      </c>
      <c r="T53" s="107">
        <f t="shared" si="9"/>
        <v>-6.3000251160009856E-3</v>
      </c>
      <c r="U53" s="135">
        <f>USD!AR57</f>
        <v>2.978164295389929E-2</v>
      </c>
      <c r="V53" s="110">
        <f t="shared" si="21"/>
        <v>1.5515999378842515E-2</v>
      </c>
      <c r="W53" s="110">
        <f>Returns!N57</f>
        <v>7.9415717520550707E-3</v>
      </c>
      <c r="X53" s="111">
        <f t="shared" si="10"/>
        <v>-6.3240718230017038E-3</v>
      </c>
      <c r="Y53" s="59"/>
      <c r="Z53" s="117"/>
      <c r="AA53" s="117"/>
      <c r="AB53" s="59"/>
      <c r="AC53" s="625" t="str">
        <f t="shared" si="17"/>
        <v>Q1 2011</v>
      </c>
      <c r="AD53" s="700">
        <f t="shared" si="22"/>
        <v>4.0310309573615921E-2</v>
      </c>
      <c r="AE53" s="110"/>
      <c r="AF53" s="110">
        <f>'Benchmark finished'!B55-G52</f>
        <v>2.9967023916613586E-2</v>
      </c>
      <c r="AG53" s="110"/>
      <c r="AH53" s="453"/>
      <c r="AI53" s="110">
        <f t="shared" si="23"/>
        <v>4.725625796499644E-2</v>
      </c>
      <c r="AJ53" s="110"/>
      <c r="AK53" s="110">
        <f>'Benchmark finished'!D55-E52</f>
        <v>2.9041072884731886E-2</v>
      </c>
      <c r="AL53" s="110"/>
      <c r="AM53" s="453"/>
      <c r="AN53" s="110">
        <f t="shared" si="14"/>
        <v>6.1444105267096427E-2</v>
      </c>
      <c r="AO53" s="110"/>
      <c r="AP53" s="110">
        <f>'Benchmark finished'!C55-C52</f>
        <v>2.5459496023829735E-2</v>
      </c>
      <c r="AQ53" s="627"/>
    </row>
    <row r="54" spans="1:43">
      <c r="A54" s="456" t="s">
        <v>289</v>
      </c>
      <c r="B54" s="134">
        <f>'CPI+exchange rates'!I58</f>
        <v>94.25</v>
      </c>
      <c r="C54" s="113">
        <f t="shared" si="18"/>
        <v>4.2621204049013706E-3</v>
      </c>
      <c r="D54" s="114">
        <f>'CPI+exchange rates'!C58</f>
        <v>120.30000000000001</v>
      </c>
      <c r="E54" s="113">
        <f t="shared" si="6"/>
        <v>1.6652789342215257E-3</v>
      </c>
      <c r="F54" s="114">
        <f>'CPI+exchange rates'!F58</f>
        <v>93.03</v>
      </c>
      <c r="G54" s="113">
        <f t="shared" si="7"/>
        <v>-6.8324970641614469E-3</v>
      </c>
      <c r="H54" s="23"/>
      <c r="I54" s="23"/>
      <c r="J54" s="23"/>
      <c r="L54" s="336" t="str">
        <f t="shared" si="0"/>
        <v>Q3 2011</v>
      </c>
      <c r="M54" s="457">
        <f>Returns!C58</f>
        <v>-0.12665855641056489</v>
      </c>
      <c r="N54" s="110">
        <f t="shared" si="19"/>
        <v>-0.11982605934640345</v>
      </c>
      <c r="O54" s="110">
        <f>Returns!E58</f>
        <v>-4.4369509488752255E-2</v>
      </c>
      <c r="P54" s="110">
        <f t="shared" si="8"/>
        <v>-3.7537012424590809E-2</v>
      </c>
      <c r="Q54" s="135">
        <f>USD!CX58</f>
        <v>-8.1796735840098833E-2</v>
      </c>
      <c r="R54" s="106">
        <f t="shared" si="20"/>
        <v>-8.3462014774320359E-2</v>
      </c>
      <c r="S54" s="107">
        <f>Returns!V58</f>
        <v>-8.5859378118070279E-3</v>
      </c>
      <c r="T54" s="107">
        <f t="shared" si="9"/>
        <v>-1.0251216746028554E-2</v>
      </c>
      <c r="U54" s="135">
        <f>USD!AR58</f>
        <v>-0.10143781305154509</v>
      </c>
      <c r="V54" s="110">
        <f t="shared" si="21"/>
        <v>-0.10569993345644646</v>
      </c>
      <c r="W54" s="110">
        <f>Returns!N58</f>
        <v>-2.90084847149913E-2</v>
      </c>
      <c r="X54" s="111">
        <f t="shared" si="10"/>
        <v>-3.3270605119892674E-2</v>
      </c>
      <c r="Y54" s="59"/>
      <c r="Z54" s="117"/>
      <c r="AA54" s="117"/>
      <c r="AB54" s="59"/>
      <c r="AC54" s="625" t="str">
        <f t="shared" si="17"/>
        <v>Q2 2011</v>
      </c>
      <c r="AD54" s="700">
        <f t="shared" si="22"/>
        <v>9.7866164727331562E-3</v>
      </c>
      <c r="AE54" s="110"/>
      <c r="AF54" s="110">
        <f>'Benchmark finished'!B56-G53</f>
        <v>-1.965564461100815E-3</v>
      </c>
      <c r="AG54" s="110"/>
      <c r="AH54" s="453"/>
      <c r="AI54" s="110">
        <f t="shared" si="23"/>
        <v>1.6904881312165276E-3</v>
      </c>
      <c r="AJ54" s="110"/>
      <c r="AK54" s="110">
        <f>'Benchmark finished'!D56-E53</f>
        <v>-9.3285778819914046E-3</v>
      </c>
      <c r="AL54" s="110"/>
      <c r="AM54" s="453"/>
      <c r="AN54" s="110">
        <f t="shared" si="14"/>
        <v>1.5515999378842515E-2</v>
      </c>
      <c r="AO54" s="110"/>
      <c r="AP54" s="110">
        <f>'Benchmark finished'!C56-C53</f>
        <v>-1.1089818674647148E-2</v>
      </c>
      <c r="AQ54" s="627"/>
    </row>
    <row r="55" spans="1:43">
      <c r="A55" s="456" t="s">
        <v>288</v>
      </c>
      <c r="B55" s="134">
        <f>'CPI+exchange rates'!I59</f>
        <v>94.3</v>
      </c>
      <c r="C55" s="113">
        <f t="shared" si="18"/>
        <v>5.3050397877973943E-4</v>
      </c>
      <c r="D55" s="114">
        <f>'CPI+exchange rates'!C59</f>
        <v>120.60000000000001</v>
      </c>
      <c r="E55" s="113">
        <f t="shared" si="6"/>
        <v>2.4937655860348684E-3</v>
      </c>
      <c r="F55" s="114">
        <f>'CPI+exchange rates'!F59</f>
        <v>93.33</v>
      </c>
      <c r="G55" s="113">
        <f t="shared" si="7"/>
        <v>3.2247662044502245E-3</v>
      </c>
      <c r="H55" s="23"/>
      <c r="I55" s="23"/>
      <c r="J55" s="23"/>
      <c r="L55" s="336" t="str">
        <f t="shared" si="0"/>
        <v>Q4 2011</v>
      </c>
      <c r="M55" s="457">
        <f>Returns!C59</f>
        <v>3.2227419324049267E-2</v>
      </c>
      <c r="N55" s="110">
        <f t="shared" si="19"/>
        <v>2.9002653119599042E-2</v>
      </c>
      <c r="O55" s="110">
        <f>Returns!E59</f>
        <v>4.9272973455111453E-2</v>
      </c>
      <c r="P55" s="110">
        <f t="shared" si="8"/>
        <v>4.6048207250661229E-2</v>
      </c>
      <c r="Q55" s="135">
        <f>USD!CX59</f>
        <v>4.3758284463026431E-2</v>
      </c>
      <c r="R55" s="106">
        <f t="shared" si="20"/>
        <v>4.1264518876991563E-2</v>
      </c>
      <c r="S55" s="107">
        <f>Returns!V59</f>
        <v>1.9919267937696512E-2</v>
      </c>
      <c r="T55" s="107">
        <f t="shared" si="9"/>
        <v>1.7425502351661643E-2</v>
      </c>
      <c r="U55" s="135">
        <f>USD!AR59</f>
        <v>1.2227752166667605E-2</v>
      </c>
      <c r="V55" s="110">
        <f t="shared" si="21"/>
        <v>1.1697248187887865E-2</v>
      </c>
      <c r="W55" s="110">
        <f>Returns!N59</f>
        <v>4.6185838412731897E-2</v>
      </c>
      <c r="X55" s="111">
        <f t="shared" si="10"/>
        <v>4.5655334433952158E-2</v>
      </c>
      <c r="Y55" s="59"/>
      <c r="Z55" s="117"/>
      <c r="AA55" s="117"/>
      <c r="AB55" s="59"/>
      <c r="AC55" s="625" t="str">
        <f t="shared" si="17"/>
        <v>Q3 2011</v>
      </c>
      <c r="AD55" s="700">
        <f t="shared" si="22"/>
        <v>-0.11982605934640345</v>
      </c>
      <c r="AE55" s="110"/>
      <c r="AF55" s="110">
        <f>'Benchmark finished'!B57-G54</f>
        <v>-0.11205478287666294</v>
      </c>
      <c r="AG55" s="110"/>
      <c r="AH55" s="453"/>
      <c r="AI55" s="110">
        <f t="shared" si="23"/>
        <v>-8.3462014774320359E-2</v>
      </c>
      <c r="AJ55" s="110"/>
      <c r="AK55" s="110">
        <f>'Benchmark finished'!D57-E54</f>
        <v>-0.13091206864555532</v>
      </c>
      <c r="AL55" s="110"/>
      <c r="AM55" s="453"/>
      <c r="AN55" s="110">
        <f t="shared" si="14"/>
        <v>-0.10569993345644646</v>
      </c>
      <c r="AO55" s="110"/>
      <c r="AP55" s="110">
        <f>'Benchmark finished'!C57-C54</f>
        <v>-0.11240617253587826</v>
      </c>
      <c r="AQ55" s="627"/>
    </row>
    <row r="56" spans="1:43">
      <c r="A56" s="456" t="s">
        <v>287</v>
      </c>
      <c r="B56" s="134">
        <f>'CPI+exchange rates'!I60</f>
        <v>94.820000000000007</v>
      </c>
      <c r="C56" s="113">
        <f t="shared" si="18"/>
        <v>5.5143160127255619E-3</v>
      </c>
      <c r="D56" s="114">
        <f>'CPI+exchange rates'!C60</f>
        <v>121.2</v>
      </c>
      <c r="E56" s="113">
        <f t="shared" si="6"/>
        <v>4.9751243781093191E-3</v>
      </c>
      <c r="F56" s="114">
        <f>'CPI+exchange rates'!F60</f>
        <v>93.83</v>
      </c>
      <c r="G56" s="113">
        <f t="shared" si="7"/>
        <v>5.3573341905068794E-3</v>
      </c>
      <c r="H56" s="23"/>
      <c r="I56" s="23"/>
      <c r="J56" s="23"/>
      <c r="L56" s="336" t="str">
        <f t="shared" si="0"/>
        <v>Q1 2012</v>
      </c>
      <c r="M56" s="457">
        <f>Returns!C60</f>
        <v>8.4757952615789334E-2</v>
      </c>
      <c r="N56" s="110">
        <f t="shared" si="19"/>
        <v>7.9400618425282454E-2</v>
      </c>
      <c r="O56" s="110">
        <f>Returns!E60</f>
        <v>3.6790455620119775E-2</v>
      </c>
      <c r="P56" s="110">
        <f t="shared" si="8"/>
        <v>3.1433121429612895E-2</v>
      </c>
      <c r="Q56" s="135">
        <f>USD!CX60</f>
        <v>6.1524451112405121E-2</v>
      </c>
      <c r="R56" s="106">
        <f t="shared" si="20"/>
        <v>5.6549326734295802E-2</v>
      </c>
      <c r="S56" s="107">
        <f>Returns!V60</f>
        <v>4.1925472785949748E-2</v>
      </c>
      <c r="T56" s="107">
        <f t="shared" si="9"/>
        <v>3.6950348407840429E-2</v>
      </c>
      <c r="U56" s="135">
        <f>USD!AR60</f>
        <v>8.5606856930382724E-2</v>
      </c>
      <c r="V56" s="110">
        <f t="shared" si="21"/>
        <v>8.0092540917657162E-2</v>
      </c>
      <c r="W56" s="110">
        <f>Returns!N60</f>
        <v>5.8256949329522502E-2</v>
      </c>
      <c r="X56" s="111">
        <f t="shared" si="10"/>
        <v>5.274263331679694E-2</v>
      </c>
      <c r="Y56" s="59"/>
      <c r="Z56" s="117"/>
      <c r="AA56" s="117"/>
      <c r="AB56" s="59"/>
      <c r="AC56" s="625" t="str">
        <f t="shared" si="17"/>
        <v>Q4 2011</v>
      </c>
      <c r="AD56" s="700">
        <f t="shared" si="22"/>
        <v>2.9002653119599042E-2</v>
      </c>
      <c r="AE56" s="110">
        <f>((AD56+1)*(AD55+1)*(AD54+1)*(AD53+1))-1</f>
        <v>-4.8568527240320236E-2</v>
      </c>
      <c r="AF56" s="110">
        <f>'Benchmark finished'!B58-G55</f>
        <v>4.6191989895755806E-2</v>
      </c>
      <c r="AG56" s="110">
        <f>((AF53+1)*(AF54+1)*(AF55+1)*(AF56+1))-1</f>
        <v>-4.5081275520368891E-2</v>
      </c>
      <c r="AH56" s="453"/>
      <c r="AI56" s="110">
        <f t="shared" si="23"/>
        <v>4.1264518876991563E-2</v>
      </c>
      <c r="AJ56" s="110">
        <f>((AI53+1)*(AI54+1)*(AI55+1)*(AI56+1))-1</f>
        <v>1.1474666488635599E-3</v>
      </c>
      <c r="AK56" s="110">
        <f>'Benchmark finished'!D58-E55</f>
        <v>4.8424831252084979E-2</v>
      </c>
      <c r="AL56" s="110">
        <f>((AK53+1)*(AK54+1)*(AK55+1)*(AK56+1))-1</f>
        <v>-7.1111979485197652E-2</v>
      </c>
      <c r="AM56" s="453"/>
      <c r="AN56" s="110">
        <f t="shared" si="14"/>
        <v>1.1697248187887865E-2</v>
      </c>
      <c r="AO56" s="110">
        <f>((AN53+1)*(AN54+1)*(AN55+1)*(AN56+1))-1</f>
        <v>-2.4746019891388915E-2</v>
      </c>
      <c r="AP56" s="110">
        <f>'Benchmark finished'!C58-C55</f>
        <v>4.4178710113800222E-2</v>
      </c>
      <c r="AQ56" s="627">
        <f>((AP53+1)*(AP54+1)*(AP55+1)*(AP56+1))-1</f>
        <v>-6.0137186320722513E-2</v>
      </c>
    </row>
    <row r="57" spans="1:43">
      <c r="A57" s="456" t="s">
        <v>286</v>
      </c>
      <c r="B57" s="134">
        <f>'CPI+exchange rates'!I61</f>
        <v>95.92</v>
      </c>
      <c r="C57" s="113">
        <f t="shared" si="18"/>
        <v>1.1600928074245953E-2</v>
      </c>
      <c r="D57" s="114">
        <f>'CPI+exchange rates'!C61</f>
        <v>122</v>
      </c>
      <c r="E57" s="113">
        <f t="shared" si="6"/>
        <v>6.6006600660066805E-3</v>
      </c>
      <c r="F57" s="114">
        <f>'CPI+exchange rates'!F61</f>
        <v>94.03</v>
      </c>
      <c r="G57" s="113">
        <f t="shared" si="7"/>
        <v>2.1315144410103404E-3</v>
      </c>
      <c r="H57" s="23"/>
      <c r="I57" s="23"/>
      <c r="J57" s="23"/>
      <c r="L57" s="336" t="str">
        <f t="shared" si="0"/>
        <v>Q2 2012</v>
      </c>
      <c r="M57" s="457">
        <f>Returns!C61</f>
        <v>-4.2563545352649501E-2</v>
      </c>
      <c r="N57" s="110">
        <f t="shared" si="19"/>
        <v>-4.4695059793659841E-2</v>
      </c>
      <c r="O57" s="110">
        <f>Returns!E61</f>
        <v>-2.2119138456985358E-3</v>
      </c>
      <c r="P57" s="110">
        <f t="shared" si="8"/>
        <v>-4.3434282867088761E-3</v>
      </c>
      <c r="Q57" s="135">
        <f>USD!CX61</f>
        <v>-1.5224825335710568E-2</v>
      </c>
      <c r="R57" s="106">
        <f t="shared" si="20"/>
        <v>-2.1825485401717248E-2</v>
      </c>
      <c r="S57" s="107">
        <f>Returns!V61</f>
        <v>4.4815166456650219E-3</v>
      </c>
      <c r="T57" s="107">
        <f t="shared" si="9"/>
        <v>-2.1191434203416586E-3</v>
      </c>
      <c r="U57" s="135">
        <f>USD!AR61</f>
        <v>-4.6180629183128374E-2</v>
      </c>
      <c r="V57" s="110">
        <f t="shared" si="21"/>
        <v>-5.7781557257374327E-2</v>
      </c>
      <c r="W57" s="110">
        <f>Returns!N61</f>
        <v>9.0699386000863704E-4</v>
      </c>
      <c r="X57" s="111">
        <f t="shared" si="10"/>
        <v>-1.0693934214237316E-2</v>
      </c>
      <c r="Y57" s="59"/>
      <c r="Z57" s="117"/>
      <c r="AA57" s="117"/>
      <c r="AB57" s="59"/>
      <c r="AC57" s="625" t="str">
        <f t="shared" si="17"/>
        <v>Q1 2012</v>
      </c>
      <c r="AD57" s="700">
        <f t="shared" si="22"/>
        <v>7.9400618425282454E-2</v>
      </c>
      <c r="AE57" s="110"/>
      <c r="AF57" s="110">
        <f>'Benchmark finished'!B59-G56</f>
        <v>6.8002078833187193E-2</v>
      </c>
      <c r="AG57" s="110"/>
      <c r="AH57" s="453"/>
      <c r="AI57" s="110">
        <f t="shared" si="23"/>
        <v>5.6549326734295802E-2</v>
      </c>
      <c r="AJ57" s="110"/>
      <c r="AK57" s="110">
        <f>'Benchmark finished'!D59-E56</f>
        <v>7.5504764555687748E-2</v>
      </c>
      <c r="AL57" s="110"/>
      <c r="AM57" s="453"/>
      <c r="AN57" s="110">
        <f t="shared" si="14"/>
        <v>8.0092540917657162E-2</v>
      </c>
      <c r="AO57" s="110"/>
      <c r="AP57" s="110">
        <f>'Benchmark finished'!C59-C56</f>
        <v>5.5569124418908822E-2</v>
      </c>
      <c r="AQ57" s="627"/>
    </row>
    <row r="58" spans="1:43">
      <c r="A58" s="456" t="s">
        <v>285</v>
      </c>
      <c r="B58" s="134">
        <f>'CPI+exchange rates'!I62</f>
        <v>96.41</v>
      </c>
      <c r="C58" s="113">
        <f t="shared" si="18"/>
        <v>5.1084236864051835E-3</v>
      </c>
      <c r="D58" s="114">
        <f>'CPI+exchange rates'!C62</f>
        <v>121.80000000000001</v>
      </c>
      <c r="E58" s="113">
        <f t="shared" si="6"/>
        <v>-1.6393442622949506E-3</v>
      </c>
      <c r="F58" s="114">
        <f>'CPI+exchange rates'!F62</f>
        <v>93.37</v>
      </c>
      <c r="G58" s="113">
        <f t="shared" si="7"/>
        <v>-7.0190364777198422E-3</v>
      </c>
      <c r="H58" s="23"/>
      <c r="I58" s="23"/>
      <c r="J58" s="23"/>
      <c r="L58" s="336" t="str">
        <f t="shared" si="0"/>
        <v>Q3 2012</v>
      </c>
      <c r="M58" s="457">
        <f>Returns!C62</f>
        <v>6.1883850340186841E-2</v>
      </c>
      <c r="N58" s="110">
        <f t="shared" si="19"/>
        <v>6.8902886817906683E-2</v>
      </c>
      <c r="O58" s="110">
        <f>Returns!E62</f>
        <v>2.2646782532866956E-2</v>
      </c>
      <c r="P58" s="110">
        <f t="shared" si="8"/>
        <v>2.9665819010586798E-2</v>
      </c>
      <c r="Q58" s="135">
        <f>USD!CX62</f>
        <v>5.4691416092790934E-2</v>
      </c>
      <c r="R58" s="106">
        <f t="shared" si="20"/>
        <v>5.6330760355085885E-2</v>
      </c>
      <c r="S58" s="107">
        <f>Returns!V62</f>
        <v>1.7964214884988627E-2</v>
      </c>
      <c r="T58" s="107">
        <f t="shared" si="9"/>
        <v>1.9603559147283577E-2</v>
      </c>
      <c r="U58" s="135">
        <f>USD!AR62</f>
        <v>6.2371966303622184E-2</v>
      </c>
      <c r="V58" s="110">
        <f t="shared" si="21"/>
        <v>5.7263542617217E-2</v>
      </c>
      <c r="W58" s="110">
        <f>Returns!N62</f>
        <v>4.7962370793199899E-2</v>
      </c>
      <c r="X58" s="111">
        <f t="shared" si="10"/>
        <v>4.2853947106794715E-2</v>
      </c>
      <c r="Y58" s="59"/>
      <c r="Z58" s="117"/>
      <c r="AA58" s="117"/>
      <c r="AB58" s="59"/>
      <c r="AC58" s="625" t="str">
        <f t="shared" si="17"/>
        <v>Q2 2012</v>
      </c>
      <c r="AD58" s="700">
        <f t="shared" si="22"/>
        <v>-4.4695059793659841E-2</v>
      </c>
      <c r="AE58" s="110"/>
      <c r="AF58" s="110">
        <f>'Benchmark finished'!B60-G57</f>
        <v>-2.4807185268793771E-2</v>
      </c>
      <c r="AG58" s="110"/>
      <c r="AH58" s="453"/>
      <c r="AI58" s="110">
        <f t="shared" si="23"/>
        <v>-2.1825485401717248E-2</v>
      </c>
      <c r="AJ58" s="110"/>
      <c r="AK58" s="110">
        <f>'Benchmark finished'!D60-E57</f>
        <v>-3.3325938571695857E-2</v>
      </c>
      <c r="AL58" s="110"/>
      <c r="AM58" s="453"/>
      <c r="AN58" s="110">
        <f t="shared" si="14"/>
        <v>-5.7781557257374327E-2</v>
      </c>
      <c r="AO58" s="110"/>
      <c r="AP58" s="110">
        <f>'Benchmark finished'!C60-C57</f>
        <v>-2.6238251667811113E-2</v>
      </c>
      <c r="AQ58" s="627"/>
    </row>
    <row r="59" spans="1:43">
      <c r="A59" s="456" t="s">
        <v>284</v>
      </c>
      <c r="B59" s="134">
        <f>'CPI+exchange rates'!I63</f>
        <v>96.98</v>
      </c>
      <c r="C59" s="113">
        <f t="shared" si="18"/>
        <v>5.9122497666217466E-3</v>
      </c>
      <c r="D59" s="114">
        <f>'CPI+exchange rates'!C63</f>
        <v>121.80000000000001</v>
      </c>
      <c r="E59" s="113">
        <f t="shared" si="6"/>
        <v>0</v>
      </c>
      <c r="F59" s="114">
        <f>'CPI+exchange rates'!F63</f>
        <v>94.47</v>
      </c>
      <c r="G59" s="113">
        <f t="shared" si="7"/>
        <v>1.1781086001927843E-2</v>
      </c>
      <c r="H59" s="23"/>
      <c r="I59" s="23"/>
      <c r="J59" s="23"/>
      <c r="L59" s="336" t="str">
        <f t="shared" si="0"/>
        <v>Q4 2012</v>
      </c>
      <c r="M59" s="457">
        <f>Returns!C63</f>
        <v>3.6335863211270469E-2</v>
      </c>
      <c r="N59" s="110">
        <f t="shared" si="19"/>
        <v>2.4554777209342626E-2</v>
      </c>
      <c r="O59" s="110">
        <f>Returns!E63</f>
        <v>7.4532145640937948E-3</v>
      </c>
      <c r="P59" s="110">
        <f t="shared" si="8"/>
        <v>-4.3278714378340482E-3</v>
      </c>
      <c r="Q59" s="135">
        <f>USD!CX63</f>
        <v>1.6200992159832728E-2</v>
      </c>
      <c r="R59" s="106">
        <f t="shared" si="20"/>
        <v>1.6200992159832728E-2</v>
      </c>
      <c r="S59" s="107">
        <f>Returns!V63</f>
        <v>2.8336122662274948E-2</v>
      </c>
      <c r="T59" s="107">
        <f t="shared" si="9"/>
        <v>2.8336122662274948E-2</v>
      </c>
      <c r="U59" s="135">
        <f>USD!AR63</f>
        <v>4.9865907564982992E-2</v>
      </c>
      <c r="V59" s="110">
        <f t="shared" si="21"/>
        <v>4.3953657798361245E-2</v>
      </c>
      <c r="W59" s="110">
        <f>Returns!N63</f>
        <v>2.44628433937626E-2</v>
      </c>
      <c r="X59" s="111">
        <f t="shared" si="10"/>
        <v>1.8550593627140854E-2</v>
      </c>
      <c r="Y59" s="59"/>
      <c r="Z59" s="117"/>
      <c r="AA59" s="117"/>
      <c r="AB59" s="59"/>
      <c r="AC59" s="625" t="str">
        <f t="shared" si="17"/>
        <v>Q3 2012</v>
      </c>
      <c r="AD59" s="700">
        <f t="shared" si="22"/>
        <v>6.8902886817906683E-2</v>
      </c>
      <c r="AE59" s="110"/>
      <c r="AF59" s="110">
        <f>'Benchmark finished'!B61-G58</f>
        <v>5.4467825806914297E-2</v>
      </c>
      <c r="AG59" s="110"/>
      <c r="AH59" s="453"/>
      <c r="AI59" s="110">
        <f t="shared" si="23"/>
        <v>5.6330760355085885E-2</v>
      </c>
      <c r="AJ59" s="110"/>
      <c r="AK59" s="110">
        <f>'Benchmark finished'!D61-E58</f>
        <v>5.2146557458407926E-2</v>
      </c>
      <c r="AL59" s="110"/>
      <c r="AM59" s="453"/>
      <c r="AN59" s="110">
        <f t="shared" si="14"/>
        <v>5.7263542617217E-2</v>
      </c>
      <c r="AO59" s="110"/>
      <c r="AP59" s="110">
        <f>'Benchmark finished'!C61-C58</f>
        <v>3.4658206337096424E-2</v>
      </c>
      <c r="AQ59" s="627"/>
    </row>
    <row r="60" spans="1:43">
      <c r="A60" s="456" t="s">
        <v>283</v>
      </c>
      <c r="B60" s="134">
        <f>'CPI+exchange rates'!I64</f>
        <v>97.63</v>
      </c>
      <c r="C60" s="113">
        <f t="shared" si="18"/>
        <v>6.7024128686326012E-3</v>
      </c>
      <c r="D60" s="114">
        <f>'CPI+exchange rates'!C64</f>
        <v>122.30000000000001</v>
      </c>
      <c r="E60" s="113">
        <f t="shared" si="6"/>
        <v>4.1050903119868032E-3</v>
      </c>
      <c r="F60" s="114">
        <f>'CPI+exchange rates'!F64</f>
        <v>95</v>
      </c>
      <c r="G60" s="113">
        <f t="shared" si="7"/>
        <v>5.6102466391447781E-3</v>
      </c>
      <c r="H60" s="23"/>
      <c r="I60" s="23"/>
      <c r="J60" s="23"/>
      <c r="L60" s="336" t="str">
        <f t="shared" si="0"/>
        <v>Q1 2013</v>
      </c>
      <c r="M60" s="457">
        <f>Returns!C64</f>
        <v>2.7596859938547214E-2</v>
      </c>
      <c r="N60" s="110">
        <f t="shared" si="19"/>
        <v>2.1986613299402435E-2</v>
      </c>
      <c r="O60" s="110">
        <f>Returns!E64</f>
        <v>7.6943297352603371E-2</v>
      </c>
      <c r="P60" s="110">
        <f t="shared" si="8"/>
        <v>7.1333050713458593E-2</v>
      </c>
      <c r="Q60" s="135">
        <f>USD!CX64</f>
        <v>2.244556210925297E-2</v>
      </c>
      <c r="R60" s="106">
        <f t="shared" si="20"/>
        <v>1.8340471797266167E-2</v>
      </c>
      <c r="S60" s="107">
        <f>Returns!V64</f>
        <v>4.3239498669173183E-2</v>
      </c>
      <c r="T60" s="107">
        <f t="shared" si="9"/>
        <v>3.913440835718638E-2</v>
      </c>
      <c r="U60" s="135">
        <f>USD!AR64</f>
        <v>8.7694412746850414E-3</v>
      </c>
      <c r="V60" s="110">
        <f t="shared" si="21"/>
        <v>2.0670284060524402E-3</v>
      </c>
      <c r="W60" s="110">
        <f>Returns!N64</f>
        <v>3.5715799061705897E-2</v>
      </c>
      <c r="X60" s="111">
        <f t="shared" si="10"/>
        <v>2.9013386193073296E-2</v>
      </c>
      <c r="Y60" s="59"/>
      <c r="Z60" s="117"/>
      <c r="AA60" s="117"/>
      <c r="AB60" s="59"/>
      <c r="AC60" s="625" t="str">
        <f t="shared" si="17"/>
        <v>Q4 2012</v>
      </c>
      <c r="AD60" s="700">
        <f t="shared" si="22"/>
        <v>2.4554777209342626E-2</v>
      </c>
      <c r="AE60" s="110">
        <f>((AD60+1)*(AD59+1)*(AD58+1)*(AD57+1))-1</f>
        <v>0.12927085268702143</v>
      </c>
      <c r="AF60" s="110">
        <f>'Benchmark finished'!B62-G59</f>
        <v>8.0684843281433535E-3</v>
      </c>
      <c r="AG60" s="110">
        <f>((AF57+1)*(AF58+1)*(AF59+1)*(AF60+1))-1</f>
        <v>0.10709773219319096</v>
      </c>
      <c r="AH60" s="453"/>
      <c r="AI60" s="110">
        <f t="shared" si="23"/>
        <v>1.6200992159832728E-2</v>
      </c>
      <c r="AJ60" s="110">
        <f>((AI57+1)*(AI58+1)*(AI59+1)*(AI60+1))-1</f>
        <v>0.10939361583645457</v>
      </c>
      <c r="AK60" s="110">
        <f>'Benchmark finished'!D62-E59</f>
        <v>2.2208682089143134E-2</v>
      </c>
      <c r="AL60" s="110">
        <f>((AK57+1)*(AK58+1)*(AK59+1)*(AK60+1))-1</f>
        <v>0.11817095722616</v>
      </c>
      <c r="AM60" s="453"/>
      <c r="AN60" s="110">
        <f t="shared" si="14"/>
        <v>4.3953657798361245E-2</v>
      </c>
      <c r="AO60" s="110">
        <f>((AN57+1)*(AN58+1)*(AN59+1)*(AN60+1))-1</f>
        <v>0.1232515969466268</v>
      </c>
      <c r="AP60" s="110">
        <f>'Benchmark finished'!C62-C59</f>
        <v>1.4848436867844463E-2</v>
      </c>
      <c r="AQ60" s="627">
        <f>((AP57+1)*(AP58+1)*(AP59+1)*(AP60+1))-1</f>
        <v>7.9288333948392742E-2</v>
      </c>
    </row>
    <row r="61" spans="1:43">
      <c r="A61" s="456" t="s">
        <v>282</v>
      </c>
      <c r="B61" s="134">
        <f>'CPI+exchange rates'!I65</f>
        <v>98.56</v>
      </c>
      <c r="C61" s="113">
        <f t="shared" si="18"/>
        <v>9.5257605244289945E-3</v>
      </c>
      <c r="D61" s="114">
        <f>'CPI+exchange rates'!C65</f>
        <v>122.9</v>
      </c>
      <c r="E61" s="113">
        <f t="shared" si="6"/>
        <v>4.9059689288633024E-3</v>
      </c>
      <c r="F61" s="114">
        <f>'CPI+exchange rates'!F65</f>
        <v>95.87</v>
      </c>
      <c r="G61" s="113">
        <f t="shared" si="7"/>
        <v>9.1578947368422536E-3</v>
      </c>
      <c r="H61" s="23"/>
      <c r="I61" s="23"/>
      <c r="J61" s="23"/>
      <c r="L61" s="336" t="str">
        <f t="shared" si="0"/>
        <v>Q2 2013</v>
      </c>
      <c r="M61" s="457">
        <f>Returns!C65</f>
        <v>-9.8375336375877698E-3</v>
      </c>
      <c r="N61" s="110">
        <f t="shared" si="19"/>
        <v>-1.8995428374430023E-2</v>
      </c>
      <c r="O61" s="110">
        <f>Returns!E65</f>
        <v>3.6602062191548657E-2</v>
      </c>
      <c r="P61" s="110">
        <f t="shared" si="8"/>
        <v>2.7444167454706403E-2</v>
      </c>
      <c r="Q61" s="135">
        <f>USD!CX65</f>
        <v>-2.7150122727053416E-2</v>
      </c>
      <c r="R61" s="106">
        <f t="shared" si="20"/>
        <v>-3.2056091655916719E-2</v>
      </c>
      <c r="S61" s="107">
        <f>Returns!V65</f>
        <v>1.0195362005113439E-2</v>
      </c>
      <c r="T61" s="107">
        <f t="shared" si="9"/>
        <v>5.2893930762501363E-3</v>
      </c>
      <c r="U61" s="135">
        <f>USD!AR65</f>
        <v>-6.8760494217233736E-3</v>
      </c>
      <c r="V61" s="110">
        <f t="shared" si="21"/>
        <v>-1.6401809946152368E-2</v>
      </c>
      <c r="W61" s="110">
        <f>Returns!N65</f>
        <v>-1.8909494554289401E-2</v>
      </c>
      <c r="X61" s="111">
        <f t="shared" si="10"/>
        <v>-2.8435255078718396E-2</v>
      </c>
      <c r="Y61" s="59"/>
      <c r="Z61" s="117"/>
      <c r="AA61" s="117"/>
      <c r="AB61" s="59"/>
      <c r="AC61" s="625" t="str">
        <f t="shared" si="17"/>
        <v>Q1 2013</v>
      </c>
      <c r="AD61" s="700">
        <f t="shared" si="22"/>
        <v>2.1986613299402435E-2</v>
      </c>
      <c r="AE61" s="110"/>
      <c r="AF61" s="110">
        <f>'Benchmark finished'!B63-G60</f>
        <v>4.1562640946620731E-2</v>
      </c>
      <c r="AG61" s="110"/>
      <c r="AH61" s="453"/>
      <c r="AI61" s="110">
        <f t="shared" si="23"/>
        <v>1.8340471797266167E-2</v>
      </c>
      <c r="AJ61" s="110"/>
      <c r="AK61" s="110">
        <f>'Benchmark finished'!D63-E60</f>
        <v>4.1353533971024085E-2</v>
      </c>
      <c r="AL61" s="110"/>
      <c r="AM61" s="453"/>
      <c r="AN61" s="110">
        <f t="shared" si="14"/>
        <v>2.0670284060524402E-3</v>
      </c>
      <c r="AO61" s="110"/>
      <c r="AP61" s="110">
        <f>'Benchmark finished'!C63-C60</f>
        <v>2.294961112851434E-2</v>
      </c>
      <c r="AQ61" s="627"/>
    </row>
    <row r="62" spans="1:43">
      <c r="A62" s="456" t="s">
        <v>281</v>
      </c>
      <c r="B62" s="134">
        <f>'CPI+exchange rates'!I66</f>
        <v>99.09</v>
      </c>
      <c r="C62" s="113">
        <f t="shared" si="18"/>
        <v>5.3774350649351543E-3</v>
      </c>
      <c r="D62" s="114">
        <f>'CPI+exchange rates'!C66</f>
        <v>123.2</v>
      </c>
      <c r="E62" s="113">
        <f t="shared" si="6"/>
        <v>2.4410089503661414E-3</v>
      </c>
      <c r="F62" s="114">
        <f>'CPI+exchange rates'!F66</f>
        <v>96.17</v>
      </c>
      <c r="G62" s="113">
        <f t="shared" si="7"/>
        <v>3.1292375091269697E-3</v>
      </c>
      <c r="H62" s="23"/>
      <c r="I62" s="23"/>
      <c r="J62" s="23"/>
      <c r="L62" s="336" t="str">
        <f t="shared" si="0"/>
        <v>Q3 2013</v>
      </c>
      <c r="M62" s="457">
        <f>Returns!C66</f>
        <v>7.3295153074385277E-2</v>
      </c>
      <c r="N62" s="110">
        <f t="shared" si="19"/>
        <v>7.0165915565258308E-2</v>
      </c>
      <c r="O62" s="110">
        <f>Returns!E66</f>
        <v>5.7158944715097436E-2</v>
      </c>
      <c r="P62" s="110">
        <f t="shared" si="8"/>
        <v>5.4029707205970466E-2</v>
      </c>
      <c r="Q62" s="135">
        <f>USD!CX66</f>
        <v>4.3921207811157714E-2</v>
      </c>
      <c r="R62" s="106">
        <f t="shared" si="20"/>
        <v>4.1480198860791573E-2</v>
      </c>
      <c r="S62" s="107">
        <f>Returns!V66</f>
        <v>1.7153997354461464E-2</v>
      </c>
      <c r="T62" s="107">
        <f t="shared" si="9"/>
        <v>1.4712988404095323E-2</v>
      </c>
      <c r="U62" s="135">
        <f>USD!AR66</f>
        <v>6.3122747785508526E-2</v>
      </c>
      <c r="V62" s="110">
        <f t="shared" si="21"/>
        <v>5.7745312720573372E-2</v>
      </c>
      <c r="W62" s="110">
        <f>Returns!N66</f>
        <v>2.0868413751507699E-2</v>
      </c>
      <c r="X62" s="111">
        <f t="shared" si="10"/>
        <v>1.5490978686572544E-2</v>
      </c>
      <c r="Y62" s="59"/>
      <c r="Z62" s="117"/>
      <c r="AA62" s="117"/>
      <c r="AB62" s="59"/>
      <c r="AC62" s="625" t="str">
        <f t="shared" si="17"/>
        <v>Q2 2013</v>
      </c>
      <c r="AD62" s="700">
        <f t="shared" si="22"/>
        <v>-1.8995428374430023E-2</v>
      </c>
      <c r="AE62" s="110"/>
      <c r="AF62" s="110">
        <f>'Benchmark finished'!B64-G61</f>
        <v>-1.8857224553622653E-2</v>
      </c>
      <c r="AG62" s="110"/>
      <c r="AH62" s="453"/>
      <c r="AI62" s="110">
        <f t="shared" si="23"/>
        <v>-3.2056091655916719E-2</v>
      </c>
      <c r="AJ62" s="110"/>
      <c r="AK62" s="110">
        <f>'Benchmark finished'!D64-E61</f>
        <v>-1.818673934098777E-2</v>
      </c>
      <c r="AL62" s="110"/>
      <c r="AM62" s="453"/>
      <c r="AN62" s="110">
        <f t="shared" si="14"/>
        <v>-1.6401809946152368E-2</v>
      </c>
      <c r="AO62" s="110"/>
      <c r="AP62" s="110">
        <f>'Benchmark finished'!C64-C61</f>
        <v>-3.8278777465474534E-2</v>
      </c>
      <c r="AQ62" s="627"/>
    </row>
    <row r="63" spans="1:43">
      <c r="A63" s="456" t="s">
        <v>280</v>
      </c>
      <c r="B63" s="134">
        <f>'CPI+exchange rates'!I67</f>
        <v>98.490000000000009</v>
      </c>
      <c r="C63" s="113">
        <f t="shared" si="18"/>
        <v>-6.0551014229487388E-3</v>
      </c>
      <c r="D63" s="114">
        <f>'CPI+exchange rates'!C67</f>
        <v>122.9</v>
      </c>
      <c r="E63" s="113">
        <f t="shared" si="6"/>
        <v>-2.4350649350649567E-3</v>
      </c>
      <c r="F63" s="114">
        <f>'CPI+exchange rates'!F67</f>
        <v>96.63</v>
      </c>
      <c r="G63" s="113">
        <f t="shared" si="7"/>
        <v>4.7831964230009572E-3</v>
      </c>
      <c r="H63" s="23"/>
      <c r="I63" s="23"/>
      <c r="J63" s="23"/>
      <c r="L63" s="336" t="str">
        <f t="shared" si="0"/>
        <v>Q4 2013</v>
      </c>
      <c r="M63" s="457">
        <f>Returns!C67</f>
        <v>4.4698436545951292E-2</v>
      </c>
      <c r="N63" s="110">
        <f t="shared" si="19"/>
        <v>3.9915240122950335E-2</v>
      </c>
      <c r="O63" s="110">
        <f>Returns!E67</f>
        <v>5.3835259551698801E-2</v>
      </c>
      <c r="P63" s="110">
        <f t="shared" si="8"/>
        <v>4.9052063128697844E-2</v>
      </c>
      <c r="Q63" s="135">
        <f>USD!CX67</f>
        <v>2.16336433648876E-2</v>
      </c>
      <c r="R63" s="106">
        <f t="shared" si="20"/>
        <v>2.4068708299952557E-2</v>
      </c>
      <c r="S63" s="107">
        <f>Returns!V67</f>
        <v>5.6022712399253792E-2</v>
      </c>
      <c r="T63" s="107">
        <f t="shared" si="9"/>
        <v>5.8457777334318749E-2</v>
      </c>
      <c r="U63" s="135">
        <f>USD!AR67</f>
        <v>4.2149377427629586E-2</v>
      </c>
      <c r="V63" s="110">
        <f t="shared" si="21"/>
        <v>4.8204478850578325E-2</v>
      </c>
      <c r="W63" s="110">
        <f>Returns!N67</f>
        <v>2.3772106929297199E-2</v>
      </c>
      <c r="X63" s="111">
        <f t="shared" si="10"/>
        <v>2.9827208352245938E-2</v>
      </c>
      <c r="Y63" s="59"/>
      <c r="Z63" s="117"/>
      <c r="AA63" s="117"/>
      <c r="AB63" s="59"/>
      <c r="AC63" s="625" t="str">
        <f t="shared" si="17"/>
        <v>Q3 2013</v>
      </c>
      <c r="AD63" s="700">
        <f t="shared" si="22"/>
        <v>7.0165915565258308E-2</v>
      </c>
      <c r="AE63" s="110"/>
      <c r="AF63" s="110">
        <f>'Benchmark finished'!B65-G62</f>
        <v>5.9603000922850091E-2</v>
      </c>
      <c r="AG63" s="110"/>
      <c r="AH63" s="453"/>
      <c r="AI63" s="110">
        <f t="shared" si="23"/>
        <v>4.1480198860791573E-2</v>
      </c>
      <c r="AJ63" s="110"/>
      <c r="AK63" s="110">
        <f>'Benchmark finished'!D65-E62</f>
        <v>6.3175316069021173E-2</v>
      </c>
      <c r="AL63" s="110"/>
      <c r="AM63" s="453"/>
      <c r="AN63" s="110">
        <f t="shared" si="14"/>
        <v>5.7745312720573372E-2</v>
      </c>
      <c r="AO63" s="110"/>
      <c r="AP63" s="110">
        <f>'Benchmark finished'!C65-C62</f>
        <v>3.5349855251822597E-2</v>
      </c>
      <c r="AQ63" s="627"/>
    </row>
    <row r="64" spans="1:43">
      <c r="A64" s="456" t="s">
        <v>279</v>
      </c>
      <c r="B64" s="134">
        <f>'CPI+exchange rates'!I68</f>
        <v>98.7</v>
      </c>
      <c r="C64" s="113">
        <f t="shared" si="18"/>
        <v>2.132196162046851E-3</v>
      </c>
      <c r="D64" s="114">
        <f>'CPI+exchange rates'!C68</f>
        <v>124</v>
      </c>
      <c r="E64" s="113">
        <f t="shared" si="6"/>
        <v>8.9503661513425925E-3</v>
      </c>
      <c r="F64" s="114">
        <f>'CPI+exchange rates'!F68</f>
        <v>97</v>
      </c>
      <c r="G64" s="113">
        <f t="shared" si="7"/>
        <v>3.8290386008485999E-3</v>
      </c>
      <c r="H64" s="23"/>
      <c r="I64" s="23"/>
      <c r="J64" s="23"/>
      <c r="L64" s="336" t="str">
        <f t="shared" si="0"/>
        <v>Q1 2014</v>
      </c>
      <c r="M64" s="457">
        <f>Returns!C68</f>
        <v>1.9311530179193293E-2</v>
      </c>
      <c r="N64" s="110">
        <f t="shared" si="19"/>
        <v>1.5482491578344693E-2</v>
      </c>
      <c r="O64" s="110">
        <f>Returns!E68</f>
        <v>5.9040682989260585E-3</v>
      </c>
      <c r="P64" s="110">
        <f t="shared" si="8"/>
        <v>2.0750296980774586E-3</v>
      </c>
      <c r="Q64" s="135">
        <f>USD!CX68</f>
        <v>2.6732184381401236E-2</v>
      </c>
      <c r="R64" s="106">
        <f t="shared" si="20"/>
        <v>1.7781818230058644E-2</v>
      </c>
      <c r="S64" s="107">
        <f>Returns!V68</f>
        <v>6.6593551539737922E-2</v>
      </c>
      <c r="T64" s="107">
        <f t="shared" si="9"/>
        <v>5.7643185388395329E-2</v>
      </c>
      <c r="U64" s="135">
        <f>USD!AR68</f>
        <v>3.0799711349195125E-2</v>
      </c>
      <c r="V64" s="110">
        <f t="shared" si="21"/>
        <v>2.8667515187148274E-2</v>
      </c>
      <c r="W64" s="110">
        <f>Returns!N68</f>
        <v>3.05752897374445E-2</v>
      </c>
      <c r="X64" s="111">
        <f t="shared" si="10"/>
        <v>2.8443093575397649E-2</v>
      </c>
      <c r="Y64" s="59"/>
      <c r="Z64" s="117"/>
      <c r="AA64" s="117"/>
      <c r="AB64" s="59"/>
      <c r="AC64" s="625" t="str">
        <f t="shared" si="17"/>
        <v>Q4 2013</v>
      </c>
      <c r="AD64" s="700">
        <f t="shared" si="22"/>
        <v>3.9915240122950335E-2</v>
      </c>
      <c r="AE64" s="110">
        <f>((AD64+1)*(AD63+1)*(AD62+1)*(AD61+1))-1</f>
        <v>0.11574589076275532</v>
      </c>
      <c r="AF64" s="110">
        <f>'Benchmark finished'!B66-G63</f>
        <v>4.2674892524121488E-2</v>
      </c>
      <c r="AG64" s="110">
        <f>((AF61+1)*(AF62+1)*(AF63+1)*(AF64+1))-1</f>
        <v>0.1290409655610063</v>
      </c>
      <c r="AH64" s="453"/>
      <c r="AI64" s="110">
        <f t="shared" si="23"/>
        <v>2.4068708299952557E-2</v>
      </c>
      <c r="AJ64" s="110">
        <f>((AI61+1)*(AI62+1)*(AI63+1)*(AI64+1))-1</f>
        <v>5.1291876307776541E-2</v>
      </c>
      <c r="AK64" s="110">
        <f>'Benchmark finished'!D66-E63</f>
        <v>5.1029556141388696E-2</v>
      </c>
      <c r="AL64" s="110">
        <f>((AK61+1)*(AK62+1)*(AK63+1)*(AK64+1))-1</f>
        <v>0.14247551890135934</v>
      </c>
      <c r="AM64" s="453"/>
      <c r="AN64" s="110">
        <f t="shared" si="14"/>
        <v>4.8204478850578325E-2</v>
      </c>
      <c r="AO64" s="110">
        <f>((AN61+1)*(AN62+1)*(AN63+1)*(AN64+1))-1</f>
        <v>9.2802334175007051E-2</v>
      </c>
      <c r="AP64" s="110">
        <f>'Benchmark finished'!C66-C63</f>
        <v>2.6410427283198284E-2</v>
      </c>
      <c r="AQ64" s="627">
        <f>((AP61+1)*(AP62+1)*(AP63+1)*(AP64+1))-1</f>
        <v>4.5470117377561348E-2</v>
      </c>
    </row>
    <row r="65" spans="1:43">
      <c r="A65" s="456" t="s">
        <v>278</v>
      </c>
      <c r="B65" s="134">
        <f>'CPI+exchange rates'!I69</f>
        <v>99.53</v>
      </c>
      <c r="C65" s="113">
        <f t="shared" si="18"/>
        <v>8.4093211752787056E-3</v>
      </c>
      <c r="D65" s="114">
        <f>'CPI+exchange rates'!C69</f>
        <v>125.60000000000001</v>
      </c>
      <c r="E65" s="113">
        <f t="shared" si="6"/>
        <v>1.2903225806451646E-2</v>
      </c>
      <c r="F65" s="114">
        <f>'CPI+exchange rates'!F69</f>
        <v>97.67</v>
      </c>
      <c r="G65" s="113">
        <f t="shared" si="7"/>
        <v>6.9072164948453807E-3</v>
      </c>
      <c r="H65" s="23"/>
      <c r="I65" s="23"/>
      <c r="J65" s="23"/>
      <c r="L65" s="336" t="str">
        <f t="shared" si="0"/>
        <v>Q2 2014</v>
      </c>
      <c r="M65" s="457">
        <f>Returns!C69</f>
        <v>3.5569410329010953E-2</v>
      </c>
      <c r="N65" s="110">
        <f t="shared" si="19"/>
        <v>2.8662193834165572E-2</v>
      </c>
      <c r="O65" s="110">
        <f>Returns!E69</f>
        <v>6.1384917881412246E-2</v>
      </c>
      <c r="P65" s="110">
        <f t="shared" si="8"/>
        <v>5.4477701386566865E-2</v>
      </c>
      <c r="Q65" s="135">
        <f>USD!CX69</f>
        <v>5.2243073260522799E-2</v>
      </c>
      <c r="R65" s="106">
        <f t="shared" si="20"/>
        <v>3.9339847454071153E-2</v>
      </c>
      <c r="S65" s="107">
        <f>Returns!V69</f>
        <v>1.5444357402895504E-2</v>
      </c>
      <c r="T65" s="107">
        <f t="shared" si="9"/>
        <v>2.5411315964438581E-3</v>
      </c>
      <c r="U65" s="135">
        <f>USD!AR69</f>
        <v>4.3393728757311401E-2</v>
      </c>
      <c r="V65" s="110">
        <f t="shared" si="21"/>
        <v>3.4984407582032695E-2</v>
      </c>
      <c r="W65" s="110">
        <f>Returns!N69</f>
        <v>5.0328039398318203E-2</v>
      </c>
      <c r="X65" s="111">
        <f t="shared" si="10"/>
        <v>4.1918718223039497E-2</v>
      </c>
      <c r="Y65" s="59"/>
      <c r="Z65" s="117"/>
      <c r="AA65" s="117"/>
      <c r="AB65" s="59"/>
      <c r="AC65" s="625" t="str">
        <f t="shared" si="17"/>
        <v>Q1 2014</v>
      </c>
      <c r="AD65" s="700">
        <f t="shared" si="22"/>
        <v>1.5482491578344693E-2</v>
      </c>
      <c r="AE65" s="110"/>
      <c r="AF65" s="110">
        <f>'Benchmark finished'!B67-G64</f>
        <v>8.8950004036559647E-3</v>
      </c>
      <c r="AG65" s="110"/>
      <c r="AH65" s="453"/>
      <c r="AI65" s="110">
        <f t="shared" si="23"/>
        <v>1.7781818230058644E-2</v>
      </c>
      <c r="AJ65" s="110"/>
      <c r="AK65" s="110">
        <f>'Benchmark finished'!D67-E64</f>
        <v>2.2411342866847008E-3</v>
      </c>
      <c r="AL65" s="110"/>
      <c r="AM65" s="453"/>
      <c r="AN65" s="110">
        <f t="shared" si="14"/>
        <v>2.8667515187148274E-2</v>
      </c>
      <c r="AO65" s="110"/>
      <c r="AP65" s="110">
        <f>'Benchmark finished'!C67-C64</f>
        <v>1.4816356349907078E-2</v>
      </c>
      <c r="AQ65" s="627"/>
    </row>
    <row r="66" spans="1:43">
      <c r="A66" s="456" t="s">
        <v>277</v>
      </c>
      <c r="B66" s="134">
        <f>'CPI+exchange rates'!I70</f>
        <v>100</v>
      </c>
      <c r="C66" s="113">
        <f t="shared" si="18"/>
        <v>4.7221943132724764E-3</v>
      </c>
      <c r="D66" s="114">
        <f>'CPI+exchange rates'!C70</f>
        <v>125.7</v>
      </c>
      <c r="E66" s="113">
        <f t="shared" si="6"/>
        <v>7.9617834394896114E-4</v>
      </c>
      <c r="F66" s="114">
        <f>'CPI+exchange rates'!F70</f>
        <v>98.23</v>
      </c>
      <c r="G66" s="113">
        <f t="shared" si="7"/>
        <v>5.7335927101465067E-3</v>
      </c>
      <c r="H66" s="23"/>
      <c r="I66" s="23"/>
      <c r="J66" s="23"/>
      <c r="L66" s="336" t="str">
        <f t="shared" si="0"/>
        <v>Q3 2014</v>
      </c>
      <c r="M66" s="457">
        <f>Returns!C70</f>
        <v>-4.1258899704833318E-2</v>
      </c>
      <c r="N66" s="110">
        <f t="shared" si="19"/>
        <v>-4.6992492414979825E-2</v>
      </c>
      <c r="O66" s="110">
        <f>Returns!E70</f>
        <v>3.4963091636300652E-3</v>
      </c>
      <c r="P66" s="110">
        <f t="shared" si="8"/>
        <v>-2.2372835465164415E-3</v>
      </c>
      <c r="Q66" s="135">
        <f>USD!CX70</f>
        <v>-1.5627784347121643E-2</v>
      </c>
      <c r="R66" s="106">
        <f t="shared" si="20"/>
        <v>-1.6423962691070604E-2</v>
      </c>
      <c r="S66" s="107">
        <f>Returns!V70</f>
        <v>3.2798356666079186E-2</v>
      </c>
      <c r="T66" s="107">
        <f t="shared" si="9"/>
        <v>3.2002178322130224E-2</v>
      </c>
      <c r="U66" s="135">
        <f>USD!AR70</f>
        <v>-5.0633333238247813E-2</v>
      </c>
      <c r="V66" s="110">
        <f t="shared" si="21"/>
        <v>-5.5355527551520289E-2</v>
      </c>
      <c r="W66" s="110">
        <f>Returns!N70</f>
        <v>2.89536921994085E-2</v>
      </c>
      <c r="X66" s="111">
        <f t="shared" si="10"/>
        <v>2.4231497886136023E-2</v>
      </c>
      <c r="Y66" s="59"/>
      <c r="Z66" s="117"/>
      <c r="AA66" s="117"/>
      <c r="AB66" s="59"/>
      <c r="AC66" s="625" t="str">
        <f t="shared" si="17"/>
        <v>Q2 2014</v>
      </c>
      <c r="AD66" s="700">
        <f t="shared" si="22"/>
        <v>2.8662193834165572E-2</v>
      </c>
      <c r="AE66" s="110"/>
      <c r="AF66" s="110">
        <f>'Benchmark finished'!B68-G65</f>
        <v>2.5383234766450775E-2</v>
      </c>
      <c r="AG66" s="110"/>
      <c r="AH66" s="453"/>
      <c r="AI66" s="110">
        <f t="shared" si="23"/>
        <v>3.9339847454071153E-2</v>
      </c>
      <c r="AJ66" s="110"/>
      <c r="AK66" s="110">
        <f>'Benchmark finished'!D68-E65</f>
        <v>2.0584014125041177E-2</v>
      </c>
      <c r="AL66" s="110"/>
      <c r="AM66" s="453"/>
      <c r="AN66" s="110">
        <f t="shared" si="14"/>
        <v>3.4984407582032695E-2</v>
      </c>
      <c r="AO66" s="110"/>
      <c r="AP66" s="110">
        <f>'Benchmark finished'!C68-C65</f>
        <v>2.6519329364726785E-2</v>
      </c>
      <c r="AQ66" s="627"/>
    </row>
    <row r="67" spans="1:43">
      <c r="A67" s="456" t="s">
        <v>276</v>
      </c>
      <c r="B67" s="134">
        <f>'CPI+exchange rates'!I71</f>
        <v>99.38</v>
      </c>
      <c r="C67" s="113">
        <f t="shared" si="18"/>
        <v>-6.2000000000000943E-3</v>
      </c>
      <c r="D67" s="114">
        <f>'CPI+exchange rates'!C71</f>
        <v>125.30000000000001</v>
      </c>
      <c r="E67" s="113">
        <f t="shared" si="6"/>
        <v>-3.1821797931582685E-3</v>
      </c>
      <c r="F67" s="114">
        <f>'CPI+exchange rates'!F71</f>
        <v>98.600000000000009</v>
      </c>
      <c r="G67" s="113">
        <f t="shared" si="7"/>
        <v>3.7666700600631486E-3</v>
      </c>
      <c r="H67" s="23"/>
      <c r="I67" s="23"/>
      <c r="J67" s="23"/>
      <c r="L67" s="336" t="str">
        <f t="shared" ref="L67:L73" si="24">A67</f>
        <v>Q4 2014</v>
      </c>
      <c r="M67" s="457">
        <f>Returns!C71</f>
        <v>-1.8198192988486461E-2</v>
      </c>
      <c r="N67" s="110">
        <f t="shared" si="19"/>
        <v>-2.196486304854961E-2</v>
      </c>
      <c r="O67" s="110">
        <f>Returns!E71</f>
        <v>0.14609912236334477</v>
      </c>
      <c r="P67" s="110">
        <f t="shared" si="8"/>
        <v>0.14233245230328162</v>
      </c>
      <c r="Q67" s="135">
        <f>USD!CX71</f>
        <v>-5.611753408553577E-3</v>
      </c>
      <c r="R67" s="106">
        <f t="shared" si="20"/>
        <v>-2.4295736153953085E-3</v>
      </c>
      <c r="S67" s="107">
        <f>Returns!V71</f>
        <v>3.0602824584620585E-2</v>
      </c>
      <c r="T67" s="107">
        <f t="shared" si="9"/>
        <v>3.3785004377778857E-2</v>
      </c>
      <c r="U67" s="135">
        <f>USD!AR71</f>
        <v>-1.520305227740415E-2</v>
      </c>
      <c r="V67" s="110">
        <f t="shared" si="21"/>
        <v>-9.0030522774040556E-3</v>
      </c>
      <c r="W67" s="110">
        <f>Returns!N71</f>
        <v>2.80934339570744E-2</v>
      </c>
      <c r="X67" s="111">
        <f t="shared" si="10"/>
        <v>3.4293433957074494E-2</v>
      </c>
      <c r="Y67" s="59"/>
      <c r="Z67" s="117"/>
      <c r="AA67" s="117"/>
      <c r="AB67" s="59"/>
      <c r="AC67" s="625" t="str">
        <f t="shared" ref="AC67:AC76" si="25">L66</f>
        <v>Q3 2014</v>
      </c>
      <c r="AD67" s="700">
        <f t="shared" si="22"/>
        <v>-4.6992492414979825E-2</v>
      </c>
      <c r="AE67" s="110"/>
      <c r="AF67" s="110">
        <f>'Benchmark finished'!B69-G66</f>
        <v>-3.192122696663599E-2</v>
      </c>
      <c r="AG67" s="110"/>
      <c r="AH67" s="453"/>
      <c r="AI67" s="110">
        <f t="shared" si="23"/>
        <v>-1.6423962691070604E-2</v>
      </c>
      <c r="AJ67" s="110"/>
      <c r="AK67" s="110">
        <f>'Benchmark finished'!D69-E66</f>
        <v>-2.707455406648623E-2</v>
      </c>
      <c r="AL67" s="110"/>
      <c r="AM67" s="453"/>
      <c r="AN67" s="110">
        <f t="shared" si="14"/>
        <v>-5.5355527551520289E-2</v>
      </c>
      <c r="AO67" s="110"/>
      <c r="AP67" s="110">
        <f>'Benchmark finished'!C69-C66</f>
        <v>-3.5948750224420026E-2</v>
      </c>
      <c r="AQ67" s="627"/>
    </row>
    <row r="68" spans="1:43">
      <c r="A68" s="456" t="s">
        <v>275</v>
      </c>
      <c r="B68" s="134">
        <f>'CPI+exchange rates'!I72</f>
        <v>98.86</v>
      </c>
      <c r="C68" s="113">
        <f t="shared" ref="C68:C75" si="26">(B68/B67)-1</f>
        <v>-5.2324411350371802E-3</v>
      </c>
      <c r="D68" s="114">
        <f>'CPI+exchange rates'!C72</f>
        <v>125.30000000000001</v>
      </c>
      <c r="E68" s="113">
        <f t="shared" si="6"/>
        <v>0</v>
      </c>
      <c r="F68" s="114">
        <f>'CPI+exchange rates'!F72</f>
        <v>98.9</v>
      </c>
      <c r="G68" s="113">
        <f t="shared" si="7"/>
        <v>3.0425963488842633E-3</v>
      </c>
      <c r="H68" s="23"/>
      <c r="I68" s="23"/>
      <c r="J68" s="23"/>
      <c r="L68" s="336" t="str">
        <f t="shared" si="24"/>
        <v>Q1 2015</v>
      </c>
      <c r="M68" s="457">
        <f>Returns!C72</f>
        <v>1.0021297713558308E-2</v>
      </c>
      <c r="N68" s="110">
        <f t="shared" ref="N68:N75" si="27">M68-G68</f>
        <v>6.9787013646740448E-3</v>
      </c>
      <c r="O68" s="110">
        <f>Returns!E72</f>
        <v>8.5669670812910548E-2</v>
      </c>
      <c r="P68" s="110">
        <f t="shared" si="8"/>
        <v>8.2627074464026284E-2</v>
      </c>
      <c r="Q68" s="135">
        <f>USD!CX72</f>
        <v>-3.537745256251501E-3</v>
      </c>
      <c r="R68" s="106">
        <f t="shared" ref="R68:R75" si="28">Q68-E68</f>
        <v>-3.537745256251501E-3</v>
      </c>
      <c r="S68" s="107">
        <f>Returns!V72</f>
        <v>8.9591578357830881E-2</v>
      </c>
      <c r="T68" s="107">
        <f t="shared" si="9"/>
        <v>8.9591578357830881E-2</v>
      </c>
      <c r="U68" s="135">
        <f>USD!AR72</f>
        <v>-3.4508696680849216E-2</v>
      </c>
      <c r="V68" s="110">
        <f t="shared" ref="V68:V75" si="29">U68-C68</f>
        <v>-2.9276255545812035E-2</v>
      </c>
      <c r="W68" s="110">
        <f>Returns!N72</f>
        <v>8.7796386099376705E-2</v>
      </c>
      <c r="X68" s="111">
        <f t="shared" si="10"/>
        <v>9.3028827234413886E-2</v>
      </c>
      <c r="Y68" s="59"/>
      <c r="Z68" s="117"/>
      <c r="AA68" s="117"/>
      <c r="AB68" s="59"/>
      <c r="AC68" s="625" t="str">
        <f t="shared" si="25"/>
        <v>Q4 2014</v>
      </c>
      <c r="AD68" s="700">
        <f t="shared" si="22"/>
        <v>-2.196486304854961E-2</v>
      </c>
      <c r="AE68" s="110">
        <f>((AD65+1)*(AD66+1)*(AD67+1)*(AD68+1))-1</f>
        <v>-2.636540217896155E-2</v>
      </c>
      <c r="AF68" s="110">
        <f>'Benchmark finished'!B70-G67</f>
        <v>1.2769501322251898E-3</v>
      </c>
      <c r="AG68" s="110">
        <f>((AF65+1)*(AF66+1)*(AF67+1)*(AF68+1))-1</f>
        <v>2.7602232459742471E-3</v>
      </c>
      <c r="AH68" s="453"/>
      <c r="AI68" s="110">
        <f t="shared" si="23"/>
        <v>-2.4295736153953085E-3</v>
      </c>
      <c r="AJ68" s="110">
        <f>((AI65+1)*(AI66+1)*(AI67+1)*(AI68+1))-1</f>
        <v>3.7919739785286399E-2</v>
      </c>
      <c r="AK68" s="110">
        <f>'Benchmark finished'!D70-E67</f>
        <v>3.4380976908652185E-3</v>
      </c>
      <c r="AL68" s="110">
        <f>((AK65+1)*(AK66+1)*(AK67+1)*(AK68+1))-1</f>
        <v>-1.400986368949364E-3</v>
      </c>
      <c r="AM68" s="453"/>
      <c r="AN68" s="110">
        <f t="shared" si="14"/>
        <v>-9.0030522774040556E-3</v>
      </c>
      <c r="AO68" s="110">
        <f>((AN65+1)*(AN66+1)*(AN67+1)*(AN68+1))-1</f>
        <v>-3.3342439717245487E-3</v>
      </c>
      <c r="AP68" s="110">
        <f>'Benchmark finished'!C70-C67</f>
        <v>6.7379161500945289E-3</v>
      </c>
      <c r="AQ68" s="627">
        <f>((AP65+1)*(AP66+1)*(AP67+1)*(AP68+1))-1</f>
        <v>1.1046516947943896E-2</v>
      </c>
    </row>
    <row r="69" spans="1:43">
      <c r="A69" s="456" t="s">
        <v>274</v>
      </c>
      <c r="B69" s="134">
        <f>'CPI+exchange rates'!I73</f>
        <v>100.41</v>
      </c>
      <c r="C69" s="113">
        <f t="shared" si="26"/>
        <v>1.5678737608739501E-2</v>
      </c>
      <c r="D69" s="114">
        <f>'CPI+exchange rates'!C73</f>
        <v>126.80000000000001</v>
      </c>
      <c r="E69" s="113">
        <f t="shared" ref="E69:E75" si="30">(D69/D68)-1</f>
        <v>1.1971268954509284E-2</v>
      </c>
      <c r="F69" s="114">
        <f>'CPI+exchange rates'!F73</f>
        <v>99.83</v>
      </c>
      <c r="G69" s="113">
        <f t="shared" ref="G69:G75" si="31">(F69/F68)-1</f>
        <v>9.4034378159757459E-3</v>
      </c>
      <c r="H69" s="23"/>
      <c r="I69" s="23"/>
      <c r="J69" s="23"/>
      <c r="L69" s="336" t="str">
        <f t="shared" si="24"/>
        <v>Q2 2015</v>
      </c>
      <c r="M69" s="457">
        <f>Returns!C73</f>
        <v>5.5653241133761799E-3</v>
      </c>
      <c r="N69" s="110">
        <f t="shared" si="27"/>
        <v>-3.838113702599566E-3</v>
      </c>
      <c r="O69" s="110">
        <f>Returns!E73</f>
        <v>-1.8341354808603022E-2</v>
      </c>
      <c r="P69" s="110">
        <f t="shared" ref="P69:P75" si="32">O69-G69</f>
        <v>-2.7744792624578768E-2</v>
      </c>
      <c r="Q69" s="135">
        <f>USD!CX73</f>
        <v>1.3817515039323824E-2</v>
      </c>
      <c r="R69" s="106">
        <f t="shared" si="28"/>
        <v>1.8462460848145401E-3</v>
      </c>
      <c r="S69" s="107">
        <f>Returns!V73</f>
        <v>-6.3128570797971986E-4</v>
      </c>
      <c r="T69" s="107">
        <f t="shared" ref="T69:T75" si="33">S69-E69</f>
        <v>-1.2602554662489005E-2</v>
      </c>
      <c r="U69" s="135">
        <f>USD!AR73</f>
        <v>-7.6731449612380542E-3</v>
      </c>
      <c r="V69" s="110">
        <f t="shared" si="29"/>
        <v>-2.3351882569977556E-2</v>
      </c>
      <c r="W69" s="110">
        <f>Returns!N73</f>
        <v>-4.3476242556845103E-2</v>
      </c>
      <c r="X69" s="111">
        <f t="shared" ref="X69:X75" si="34">W69-C69</f>
        <v>-5.9154980165584604E-2</v>
      </c>
      <c r="Y69" s="59"/>
      <c r="Z69" s="117"/>
      <c r="AA69" s="117"/>
      <c r="AB69" s="59"/>
      <c r="AC69" s="625" t="str">
        <f t="shared" si="25"/>
        <v>Q1 2015</v>
      </c>
      <c r="AD69" s="700">
        <f t="shared" ref="AD69:AD76" si="35">N68</f>
        <v>6.9787013646740448E-3</v>
      </c>
      <c r="AE69" s="110"/>
      <c r="AF69" s="110">
        <f>'Benchmark finished'!B71-G68</f>
        <v>1.2258839227557562E-2</v>
      </c>
      <c r="AG69" s="110"/>
      <c r="AH69" s="453"/>
      <c r="AI69" s="110">
        <f t="shared" ref="AI69:AI76" si="36">R68</f>
        <v>-3.537745256251501E-3</v>
      </c>
      <c r="AJ69" s="110"/>
      <c r="AK69" s="110">
        <f>'Benchmark finished'!D71-E68</f>
        <v>1.5719436575592598E-2</v>
      </c>
      <c r="AL69" s="110"/>
      <c r="AM69" s="453"/>
      <c r="AN69" s="110">
        <f t="shared" si="14"/>
        <v>-2.9276255545812035E-2</v>
      </c>
      <c r="AO69" s="110"/>
      <c r="AP69" s="110">
        <f>'Benchmark finished'!C71-C68</f>
        <v>1.4429907972963823E-2</v>
      </c>
      <c r="AQ69" s="627"/>
    </row>
    <row r="70" spans="1:43">
      <c r="A70" s="456" t="s">
        <v>273</v>
      </c>
      <c r="B70" s="134">
        <f>'CPI+exchange rates'!I74</f>
        <v>100.73</v>
      </c>
      <c r="C70" s="113">
        <f t="shared" si="26"/>
        <v>3.1869335723533343E-3</v>
      </c>
      <c r="D70" s="114">
        <f>'CPI+exchange rates'!C74</f>
        <v>127.2</v>
      </c>
      <c r="E70" s="113">
        <f t="shared" si="30"/>
        <v>3.154574132492094E-3</v>
      </c>
      <c r="F70" s="114">
        <f>'CPI+exchange rates'!F74</f>
        <v>100.2</v>
      </c>
      <c r="G70" s="113">
        <f t="shared" si="31"/>
        <v>3.7063007112090318E-3</v>
      </c>
      <c r="H70" s="23"/>
      <c r="I70" s="23"/>
      <c r="J70" s="23"/>
      <c r="L70" s="336" t="str">
        <f t="shared" si="24"/>
        <v>Q3 2015</v>
      </c>
      <c r="M70" s="457">
        <f>Returns!C74</f>
        <v>-6.3282998485200581E-2</v>
      </c>
      <c r="N70" s="110">
        <f t="shared" si="27"/>
        <v>-6.6989299196409613E-2</v>
      </c>
      <c r="O70" s="110">
        <f>Returns!E74</f>
        <v>1.559530002176544E-2</v>
      </c>
      <c r="P70" s="110">
        <f t="shared" si="32"/>
        <v>1.1888999310556408E-2</v>
      </c>
      <c r="Q70" s="135">
        <f>USD!CX74</f>
        <v>-5.4488292303053965E-2</v>
      </c>
      <c r="R70" s="106">
        <f t="shared" si="28"/>
        <v>-5.7642866435546058E-2</v>
      </c>
      <c r="S70" s="107">
        <f>Returns!V74</f>
        <v>1.5377104817410045E-2</v>
      </c>
      <c r="T70" s="107">
        <f t="shared" si="33"/>
        <v>1.2222530684917951E-2</v>
      </c>
      <c r="U70" s="135">
        <f>USD!AR74</f>
        <v>-2.9219933775839646E-2</v>
      </c>
      <c r="V70" s="110">
        <f t="shared" si="29"/>
        <v>-3.240686734819298E-2</v>
      </c>
      <c r="W70" s="110">
        <f>Returns!N74</f>
        <v>-3.1002481560127599E-2</v>
      </c>
      <c r="X70" s="111">
        <f t="shared" si="34"/>
        <v>-3.418941513248093E-2</v>
      </c>
      <c r="Y70" s="59"/>
      <c r="Z70" s="117"/>
      <c r="AA70" s="117"/>
      <c r="AB70" s="59"/>
      <c r="AC70" s="625" t="str">
        <f t="shared" si="25"/>
        <v>Q2 2015</v>
      </c>
      <c r="AD70" s="700">
        <f t="shared" si="35"/>
        <v>-3.838113702599566E-3</v>
      </c>
      <c r="AE70" s="110"/>
      <c r="AF70" s="110">
        <f>'Benchmark finished'!B72-G69</f>
        <v>-1.3059882114871297E-2</v>
      </c>
      <c r="AG70" s="110"/>
      <c r="AH70" s="453"/>
      <c r="AI70" s="110">
        <f t="shared" si="36"/>
        <v>1.8462460848145401E-3</v>
      </c>
      <c r="AJ70" s="110"/>
      <c r="AK70" s="110">
        <f>'Benchmark finished'!D72-E69</f>
        <v>-1.2807740547513918E-2</v>
      </c>
      <c r="AL70" s="110"/>
      <c r="AM70" s="453"/>
      <c r="AN70" s="110">
        <f t="shared" ref="AN70:AN75" si="37">V69</f>
        <v>-2.3351882569977556E-2</v>
      </c>
      <c r="AO70" s="110"/>
      <c r="AP70" s="110">
        <f>'Benchmark finished'!C72-C69</f>
        <v>-2.7436804313090719E-2</v>
      </c>
      <c r="AQ70" s="627"/>
    </row>
    <row r="71" spans="1:43">
      <c r="A71" s="456" t="s">
        <v>272</v>
      </c>
      <c r="B71" s="134">
        <f>'CPI+exchange rates'!I75</f>
        <v>100</v>
      </c>
      <c r="C71" s="113">
        <f t="shared" si="26"/>
        <v>-7.2470961977564308E-3</v>
      </c>
      <c r="D71" s="114">
        <f>'CPI+exchange rates'!C75</f>
        <v>126.9</v>
      </c>
      <c r="E71" s="113">
        <f t="shared" si="30"/>
        <v>-2.3584905660377631E-3</v>
      </c>
      <c r="F71" s="114">
        <f>'CPI+exchange rates'!F75</f>
        <v>101.07000000000001</v>
      </c>
      <c r="G71" s="113">
        <f t="shared" si="31"/>
        <v>8.682634730538874E-3</v>
      </c>
      <c r="H71" s="23"/>
      <c r="I71" s="23"/>
      <c r="J71" s="23"/>
      <c r="L71" s="336" t="str">
        <f t="shared" si="24"/>
        <v>Q4 2015</v>
      </c>
      <c r="M71" s="457">
        <f>Returns!C75</f>
        <v>2.2583010724084529E-2</v>
      </c>
      <c r="N71" s="110">
        <f t="shared" si="27"/>
        <v>1.3900375993545655E-2</v>
      </c>
      <c r="O71" s="110">
        <f>Returns!E75</f>
        <v>6.1106697769357871E-2</v>
      </c>
      <c r="P71" s="110">
        <f t="shared" si="32"/>
        <v>5.2424063038818997E-2</v>
      </c>
      <c r="Q71" s="135">
        <f>USD!CX75</f>
        <v>7.6637953391380798E-3</v>
      </c>
      <c r="R71" s="106">
        <f t="shared" si="28"/>
        <v>1.0022285905175843E-2</v>
      </c>
      <c r="S71" s="107">
        <f>Returns!V75</f>
        <v>4.4041007015437304E-2</v>
      </c>
      <c r="T71" s="107">
        <f t="shared" si="33"/>
        <v>4.6399497581475067E-2</v>
      </c>
      <c r="U71" s="135">
        <f>USD!AR75</f>
        <v>-8.4123859932511147E-3</v>
      </c>
      <c r="V71" s="110">
        <f t="shared" si="29"/>
        <v>-1.1652897954946839E-3</v>
      </c>
      <c r="W71" s="110">
        <f>Returns!N75</f>
        <v>1.8925930812168399E-2</v>
      </c>
      <c r="X71" s="111">
        <f t="shared" si="34"/>
        <v>2.617302700992483E-2</v>
      </c>
      <c r="Y71" s="59"/>
      <c r="Z71" s="117"/>
      <c r="AA71" s="117"/>
      <c r="AB71" s="59"/>
      <c r="AC71" s="625" t="str">
        <f t="shared" si="25"/>
        <v>Q3 2015</v>
      </c>
      <c r="AD71" s="700">
        <f t="shared" si="35"/>
        <v>-6.6989299196409613E-2</v>
      </c>
      <c r="AE71" s="110"/>
      <c r="AF71" s="110">
        <f>'Benchmark finished'!B73-G70</f>
        <v>-5.7495947754335593E-2</v>
      </c>
      <c r="AG71" s="110"/>
      <c r="AH71" s="453"/>
      <c r="AI71" s="110">
        <f t="shared" si="36"/>
        <v>-5.7642866435546058E-2</v>
      </c>
      <c r="AJ71" s="110"/>
      <c r="AK71" s="110">
        <f>'Benchmark finished'!D73-E70</f>
        <v>-6.6723755887251573E-2</v>
      </c>
      <c r="AL71" s="110"/>
      <c r="AM71" s="453"/>
      <c r="AN71" s="110">
        <f t="shared" si="37"/>
        <v>-3.240686734819298E-2</v>
      </c>
      <c r="AO71" s="110"/>
      <c r="AP71" s="110">
        <f>'Benchmark finished'!C73-C70</f>
        <v>-5.1234771585920276E-2</v>
      </c>
      <c r="AQ71" s="627"/>
    </row>
    <row r="72" spans="1:43">
      <c r="A72" s="456" t="s">
        <v>271</v>
      </c>
      <c r="B72" s="134">
        <f>'CPI+exchange rates'!I76</f>
        <v>99.44</v>
      </c>
      <c r="C72" s="113">
        <f t="shared" si="26"/>
        <v>-5.6000000000000494E-3</v>
      </c>
      <c r="D72" s="114">
        <f>'CPI+exchange rates'!C76</f>
        <v>127.30000000000001</v>
      </c>
      <c r="E72" s="113">
        <f t="shared" si="30"/>
        <v>3.1520882584712417E-3</v>
      </c>
      <c r="F72" s="114">
        <f>'CPI+exchange rates'!F76</f>
        <v>102.03</v>
      </c>
      <c r="G72" s="113">
        <f t="shared" si="31"/>
        <v>9.4983674680912955E-3</v>
      </c>
      <c r="H72" s="23"/>
      <c r="I72" s="23"/>
      <c r="J72" s="23"/>
      <c r="L72" s="336" t="str">
        <f t="shared" si="24"/>
        <v>Q1 2016</v>
      </c>
      <c r="M72" s="457">
        <f>Returns!C76</f>
        <v>1.5450618395908666E-2</v>
      </c>
      <c r="N72" s="110">
        <f t="shared" si="27"/>
        <v>5.9522509278173708E-3</v>
      </c>
      <c r="O72" s="110">
        <f>Returns!E76</f>
        <v>-5.1100009895986495E-2</v>
      </c>
      <c r="P72" s="110">
        <f t="shared" si="32"/>
        <v>-6.0598377364077791E-2</v>
      </c>
      <c r="Q72" s="135">
        <f>USD!CX76</f>
        <v>4.6409654331767802E-2</v>
      </c>
      <c r="R72" s="106">
        <f t="shared" si="28"/>
        <v>4.3257566073296561E-2</v>
      </c>
      <c r="S72" s="107">
        <f>Returns!V76</f>
        <v>-2.5643533658178008E-2</v>
      </c>
      <c r="T72" s="107">
        <f t="shared" si="33"/>
        <v>-2.879562191664925E-2</v>
      </c>
      <c r="U72" s="135">
        <f>USD!AR76</f>
        <v>7.2409430985128642E-2</v>
      </c>
      <c r="V72" s="110">
        <f t="shared" si="29"/>
        <v>7.8009430985128692E-2</v>
      </c>
      <c r="W72" s="110">
        <f>Returns!N76</f>
        <v>2.2296416141178398E-2</v>
      </c>
      <c r="X72" s="111">
        <f t="shared" si="34"/>
        <v>2.7896416141178448E-2</v>
      </c>
      <c r="Y72" s="21"/>
      <c r="AB72" s="59"/>
      <c r="AC72" s="625" t="str">
        <f t="shared" si="25"/>
        <v>Q4 2015</v>
      </c>
      <c r="AD72" s="700">
        <f t="shared" si="35"/>
        <v>1.3900375993545655E-2</v>
      </c>
      <c r="AE72" s="110">
        <f>((AD72+1)*(AD71+1)*(AD70+1)*(AD69+1))-1</f>
        <v>-5.1074504963926071E-2</v>
      </c>
      <c r="AF72" s="110">
        <f>'Benchmark finished'!B74-G71</f>
        <v>2.4233373985562946E-2</v>
      </c>
      <c r="AG72" s="110">
        <f>((AF69+1)*(AF70+1)*(AF71+1)*(AF72+1))-1</f>
        <v>-3.5583727224099193E-2</v>
      </c>
      <c r="AH72" s="453"/>
      <c r="AI72" s="110">
        <f t="shared" si="36"/>
        <v>1.0022285905175843E-2</v>
      </c>
      <c r="AJ72" s="110">
        <f>((AI69+1)*(AI70+1)*(AI71+1)*(AI72+1))-1</f>
        <v>-4.9814482354403E-2</v>
      </c>
      <c r="AK72" s="110">
        <f>'Benchmark finished'!D74-E71</f>
        <v>3.4125238610450408E-2</v>
      </c>
      <c r="AL72" s="110">
        <f>((AK69+1)*(AK70+1)*(AK71+1)*(AK72+1))-1</f>
        <v>-3.2259641108260073E-2</v>
      </c>
      <c r="AM72" s="453"/>
      <c r="AN72" s="110">
        <f t="shared" si="37"/>
        <v>-1.1652897954946839E-3</v>
      </c>
      <c r="AO72" s="110">
        <f>((AN69+1)*(AN70+1)*(AN71+1)*(AN72+1))-1</f>
        <v>-8.3736949458873E-2</v>
      </c>
      <c r="AP72" s="110">
        <f>'Benchmark finished'!C74-C71</f>
        <v>2.0691926221585801E-2</v>
      </c>
      <c r="AQ72" s="627">
        <f>((AP69+1)*(AP70+1)*(AP71+1)*(AP72+1))-1</f>
        <v>-4.4582229587120104E-2</v>
      </c>
    </row>
    <row r="73" spans="1:43">
      <c r="A73" s="456" t="s">
        <v>270</v>
      </c>
      <c r="B73" s="134">
        <f>'CPI+exchange rates'!I77</f>
        <v>100.41</v>
      </c>
      <c r="C73" s="113">
        <f t="shared" si="26"/>
        <v>9.7546259050684814E-3</v>
      </c>
      <c r="D73" s="114">
        <f>'CPI+exchange rates'!C77</f>
        <v>128.70000000000002</v>
      </c>
      <c r="E73" s="113">
        <f t="shared" si="30"/>
        <v>1.0997643362136822E-2</v>
      </c>
      <c r="F73" s="114">
        <f>'CPI+exchange rates'!F77</f>
        <v>103.3</v>
      </c>
      <c r="G73" s="113">
        <f t="shared" si="31"/>
        <v>1.2447319415858082E-2</v>
      </c>
      <c r="H73" s="23"/>
      <c r="I73" s="23"/>
      <c r="J73" s="23"/>
      <c r="L73" s="336" t="str">
        <f t="shared" si="24"/>
        <v>Q2 2016</v>
      </c>
      <c r="M73" s="457">
        <f>Returns!C77</f>
        <v>5.1589187565723726E-3</v>
      </c>
      <c r="N73" s="110">
        <f t="shared" si="27"/>
        <v>-7.2884006592857098E-3</v>
      </c>
      <c r="O73" s="110">
        <f>Returns!E77</f>
        <v>1.6910330870069067E-2</v>
      </c>
      <c r="P73" s="110">
        <f t="shared" si="32"/>
        <v>4.4630114542109842E-3</v>
      </c>
      <c r="Q73" s="135">
        <f>USD!CX77</f>
        <v>1.048294584280085E-2</v>
      </c>
      <c r="R73" s="106">
        <f t="shared" si="28"/>
        <v>-5.1469751933597152E-4</v>
      </c>
      <c r="S73" s="107">
        <f>Returns!V77</f>
        <v>1.4584407411222152E-2</v>
      </c>
      <c r="T73" s="107">
        <f t="shared" si="33"/>
        <v>3.5867640490853305E-3</v>
      </c>
      <c r="U73" s="135">
        <f>USD!AR77</f>
        <v>1.2838140867943659E-2</v>
      </c>
      <c r="V73" s="110">
        <f t="shared" si="29"/>
        <v>3.0835149628751779E-3</v>
      </c>
      <c r="W73" s="110">
        <f>Returns!N77</f>
        <v>3.8913380006590101E-2</v>
      </c>
      <c r="X73" s="111">
        <f t="shared" si="34"/>
        <v>2.915875410152162E-2</v>
      </c>
      <c r="Y73" s="21"/>
      <c r="AB73" s="59"/>
      <c r="AC73" s="625" t="str">
        <f t="shared" si="25"/>
        <v>Q1 2016</v>
      </c>
      <c r="AD73" s="700">
        <f t="shared" si="35"/>
        <v>5.9522509278173708E-3</v>
      </c>
      <c r="AE73" s="110"/>
      <c r="AF73" s="110">
        <f>'Benchmark finished'!B75-G72</f>
        <v>4.6908145738085785E-3</v>
      </c>
      <c r="AG73" s="110"/>
      <c r="AH73" s="453"/>
      <c r="AI73" s="110">
        <f t="shared" si="36"/>
        <v>4.3257566073296561E-2</v>
      </c>
      <c r="AJ73" s="110"/>
      <c r="AK73" s="110">
        <f>'Benchmark finished'!D75-E72</f>
        <v>7.5290183288575559E-3</v>
      </c>
      <c r="AL73" s="629"/>
      <c r="AM73" s="455"/>
      <c r="AN73" s="110">
        <f t="shared" si="37"/>
        <v>7.8009430985128692E-2</v>
      </c>
      <c r="AO73" s="110"/>
      <c r="AP73" s="110">
        <f>'Benchmark finished'!C75-C72</f>
        <v>3.4687256075173339E-2</v>
      </c>
      <c r="AQ73" s="630"/>
    </row>
    <row r="74" spans="1:43">
      <c r="A74" s="456" t="s">
        <v>269</v>
      </c>
      <c r="B74" s="134">
        <f>'CPI+exchange rates'!I78</f>
        <v>100.74000000000001</v>
      </c>
      <c r="C74" s="113">
        <f t="shared" si="26"/>
        <v>3.2865252464895356E-3</v>
      </c>
      <c r="D74" s="114">
        <f>'CPI+exchange rates'!C78</f>
        <v>128.80000000000001</v>
      </c>
      <c r="E74" s="113">
        <f t="shared" si="30"/>
        <v>7.7700077700071368E-4</v>
      </c>
      <c r="F74" s="114">
        <f>'CPI+exchange rates'!F78</f>
        <v>104.2</v>
      </c>
      <c r="G74" s="113">
        <f t="shared" si="31"/>
        <v>8.7124878993223298E-3</v>
      </c>
      <c r="H74" s="23"/>
      <c r="I74" s="23"/>
      <c r="J74" s="23"/>
      <c r="L74" s="336" t="str">
        <f>A74</f>
        <v>Q3 2016</v>
      </c>
      <c r="M74" s="457">
        <f>Returns!C78</f>
        <v>4.2630103305857814E-2</v>
      </c>
      <c r="N74" s="110">
        <f t="shared" si="27"/>
        <v>3.3917615406535484E-2</v>
      </c>
      <c r="O74" s="110">
        <f>Returns!E78</f>
        <v>-4.1751474792024032E-3</v>
      </c>
      <c r="P74" s="111">
        <f t="shared" si="32"/>
        <v>-1.2887635378524734E-2</v>
      </c>
      <c r="Q74" s="135">
        <f>USD!CX78</f>
        <v>3.4044872683364646E-2</v>
      </c>
      <c r="R74" s="106">
        <f t="shared" si="28"/>
        <v>3.3267871906363933E-2</v>
      </c>
      <c r="S74" s="107">
        <f>Returns!V78</f>
        <v>4.6426021347587478E-2</v>
      </c>
      <c r="T74" s="207">
        <f t="shared" si="33"/>
        <v>4.5649020570586764E-2</v>
      </c>
      <c r="U74" s="135">
        <f>USD!AR78</f>
        <v>3.8395936508697881E-2</v>
      </c>
      <c r="V74" s="110">
        <f t="shared" si="29"/>
        <v>3.5109411262208345E-2</v>
      </c>
      <c r="W74" s="110">
        <f>Returns!N78</f>
        <v>2.6521876650206101E-2</v>
      </c>
      <c r="X74" s="111">
        <f t="shared" si="34"/>
        <v>2.3235351403716565E-2</v>
      </c>
      <c r="Y74" s="21"/>
      <c r="AB74" s="59"/>
      <c r="AC74" s="625" t="str">
        <f t="shared" si="25"/>
        <v>Q2 2016</v>
      </c>
      <c r="AD74" s="700">
        <f t="shared" si="35"/>
        <v>-7.2884006592857098E-3</v>
      </c>
      <c r="AE74" s="110"/>
      <c r="AF74" s="110">
        <f>'Benchmark finished'!B76-G73</f>
        <v>4.2540626762462841E-3</v>
      </c>
      <c r="AG74" s="110"/>
      <c r="AH74" s="453"/>
      <c r="AI74" s="110">
        <f t="shared" si="36"/>
        <v>-5.1469751933597152E-4</v>
      </c>
      <c r="AJ74" s="110"/>
      <c r="AK74" s="110">
        <f>'Benchmark finished'!D76-E73</f>
        <v>4.1472166487849533E-3</v>
      </c>
      <c r="AL74" s="629"/>
      <c r="AM74" s="455"/>
      <c r="AN74" s="110">
        <f t="shared" si="37"/>
        <v>3.0835149628751779E-3</v>
      </c>
      <c r="AO74" s="110"/>
      <c r="AP74" s="110">
        <f>'Benchmark finished'!C76-C73</f>
        <v>1.4639603337486273E-2</v>
      </c>
      <c r="AQ74" s="630"/>
    </row>
    <row r="75" spans="1:43">
      <c r="A75" s="456" t="s">
        <v>268</v>
      </c>
      <c r="B75" s="459">
        <f>'CPI+exchange rates'!I79</f>
        <v>100.68</v>
      </c>
      <c r="C75" s="115">
        <f t="shared" si="26"/>
        <v>-5.9559261465158553E-4</v>
      </c>
      <c r="D75" s="460">
        <f>'CPI+exchange rates'!C79</f>
        <v>128.70000000000002</v>
      </c>
      <c r="E75" s="115">
        <f t="shared" si="30"/>
        <v>-7.763975155279379E-4</v>
      </c>
      <c r="F75" s="460">
        <f>'CPI+exchange rates'!F79</f>
        <v>104.67</v>
      </c>
      <c r="G75" s="115">
        <f t="shared" si="31"/>
        <v>4.5105566218810456E-3</v>
      </c>
      <c r="H75" s="23"/>
      <c r="I75" s="23"/>
      <c r="J75" s="23"/>
      <c r="L75" s="336" t="s">
        <v>427</v>
      </c>
      <c r="M75" s="458">
        <f>Returns!C79</f>
        <v>-1.8465187276381023E-2</v>
      </c>
      <c r="N75" s="215">
        <f t="shared" si="27"/>
        <v>-2.2975743898262069E-2</v>
      </c>
      <c r="O75" s="215">
        <f>Returns!E79</f>
        <v>5.7112121351938022E-2</v>
      </c>
      <c r="P75" s="468">
        <f t="shared" si="32"/>
        <v>5.2601564730056977E-2</v>
      </c>
      <c r="Q75" s="171">
        <f>USD!CX79</f>
        <v>-1.4628526265785036E-2</v>
      </c>
      <c r="R75" s="100">
        <f t="shared" si="28"/>
        <v>-1.3852128750257098E-2</v>
      </c>
      <c r="S75" s="191">
        <f>Returns!V79</f>
        <v>5.4650293713288094E-3</v>
      </c>
      <c r="T75" s="199">
        <f t="shared" si="33"/>
        <v>6.2414268868567473E-3</v>
      </c>
      <c r="U75" s="171">
        <f>USD!AR79</f>
        <v>-5.7773078935081545E-2</v>
      </c>
      <c r="V75" s="215">
        <f t="shared" si="29"/>
        <v>-5.717748632042996E-2</v>
      </c>
      <c r="W75" s="215">
        <f>Returns!N79</f>
        <v>3.9106062522397999E-3</v>
      </c>
      <c r="X75" s="468">
        <f t="shared" si="34"/>
        <v>4.5061988668913854E-3</v>
      </c>
      <c r="Y75" s="21"/>
      <c r="AC75" s="625" t="str">
        <f t="shared" si="25"/>
        <v>Q3 2016</v>
      </c>
      <c r="AD75" s="700">
        <f t="shared" si="35"/>
        <v>3.3917615406535484E-2</v>
      </c>
      <c r="AE75" s="110"/>
      <c r="AF75" s="110">
        <f>'Benchmark finished'!B77-G74</f>
        <v>2.3480101823303672E-2</v>
      </c>
      <c r="AG75" s="110"/>
      <c r="AH75" s="453"/>
      <c r="AI75" s="110">
        <f t="shared" si="36"/>
        <v>3.3267871906363933E-2</v>
      </c>
      <c r="AJ75" s="110"/>
      <c r="AK75" s="110">
        <f>'Benchmark finished'!D77-E74</f>
        <v>4.1401247913904995E-2</v>
      </c>
      <c r="AL75" s="629"/>
      <c r="AM75" s="455"/>
      <c r="AN75" s="110">
        <f t="shared" si="37"/>
        <v>3.5109411262208345E-2</v>
      </c>
      <c r="AO75" s="110"/>
      <c r="AP75" s="110">
        <f>'Benchmark finished'!C77-C74</f>
        <v>1.6918817405946002E-2</v>
      </c>
      <c r="AQ75" s="630"/>
    </row>
    <row r="76" spans="1:43" ht="15.75" thickBot="1">
      <c r="D76" s="59"/>
      <c r="E76" s="106"/>
      <c r="F76" s="59"/>
      <c r="G76" s="106"/>
      <c r="AC76" s="631" t="str">
        <f t="shared" si="25"/>
        <v>Q42016</v>
      </c>
      <c r="AD76" s="702">
        <f t="shared" si="35"/>
        <v>-2.2975743898262069E-2</v>
      </c>
      <c r="AE76" s="632">
        <f>((AD76+1)*(AD75+1)*(AD74+1)*(AD73+1))-1</f>
        <v>8.769037323952622E-3</v>
      </c>
      <c r="AF76" s="632">
        <f>'Benchmark finished'!B78-G75</f>
        <v>6.5471817811501264E-3</v>
      </c>
      <c r="AG76" s="632">
        <f>((AF73+1)*(AF74+1)*(AF75+1)*(AF76+1))-1</f>
        <v>3.9416412079772423E-2</v>
      </c>
      <c r="AH76" s="633"/>
      <c r="AI76" s="632">
        <f t="shared" si="36"/>
        <v>-1.3852128750257098E-2</v>
      </c>
      <c r="AJ76" s="632">
        <f>((AI73+1)*(AI74+1)*(AI75+1)*(AI76+1))-1</f>
        <v>6.2485281605773491E-2</v>
      </c>
      <c r="AK76" s="632">
        <f>'Benchmark finished'!D78-E75</f>
        <v>1.2370054278659524E-2</v>
      </c>
      <c r="AL76" s="632">
        <f>((AK73+1)*(AK74+1)*(AK75+1)*(AK76+1))-1</f>
        <v>6.6626418471894766E-2</v>
      </c>
      <c r="AM76" s="633"/>
      <c r="AN76" s="632">
        <f>V75</f>
        <v>-5.717748632042996E-2</v>
      </c>
      <c r="AO76" s="632">
        <f>AN76+AN75+AN74+AN73</f>
        <v>5.9024870889782255E-2</v>
      </c>
      <c r="AP76" s="632">
        <f>'Benchmark finished'!C78-C75</f>
        <v>-9.9176969284848647E-4</v>
      </c>
      <c r="AQ76" s="634">
        <f>((AP73+1)*(AP74+1)*(AP75+1)*(AP76+1))-1</f>
        <v>6.6537818141308547E-2</v>
      </c>
    </row>
  </sheetData>
  <mergeCells count="31">
    <mergeCell ref="AT21:AY21"/>
    <mergeCell ref="AX19:AY20"/>
    <mergeCell ref="AV19:AW20"/>
    <mergeCell ref="AT19:AU20"/>
    <mergeCell ref="M1:P1"/>
    <mergeCell ref="AT2:AY2"/>
    <mergeCell ref="AT1:AU1"/>
    <mergeCell ref="AD1:AG1"/>
    <mergeCell ref="AI1:AL1"/>
    <mergeCell ref="AN1:AQ1"/>
    <mergeCell ref="Q1:T1"/>
    <mergeCell ref="AN2:AN3"/>
    <mergeCell ref="BB1:BC1"/>
    <mergeCell ref="BD1:BE1"/>
    <mergeCell ref="BF1:BG1"/>
    <mergeCell ref="BB2:BG2"/>
    <mergeCell ref="AX1:AY1"/>
    <mergeCell ref="A1:J1"/>
    <mergeCell ref="AD2:AD3"/>
    <mergeCell ref="AV1:AW1"/>
    <mergeCell ref="AO2:AO3"/>
    <mergeCell ref="AP2:AP3"/>
    <mergeCell ref="AQ2:AQ3"/>
    <mergeCell ref="AI2:AI3"/>
    <mergeCell ref="AJ2:AJ3"/>
    <mergeCell ref="AK2:AK3"/>
    <mergeCell ref="AL2:AL3"/>
    <mergeCell ref="AE2:AE3"/>
    <mergeCell ref="AF2:AF3"/>
    <mergeCell ref="AG2:AG3"/>
    <mergeCell ref="U1:AA1"/>
  </mergeCell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L79"/>
  <sheetViews>
    <sheetView topLeftCell="B1" zoomScale="70" zoomScaleNormal="70" zoomScalePageLayoutView="70" workbookViewId="0">
      <selection activeCell="Q35" sqref="Q35:Q36"/>
    </sheetView>
  </sheetViews>
  <sheetFormatPr defaultColWidth="12.42578125" defaultRowHeight="15.75"/>
  <cols>
    <col min="1" max="1" width="18.28515625" style="136" hidden="1" customWidth="1"/>
    <col min="2" max="2" width="14.42578125" style="136" customWidth="1"/>
    <col min="3" max="9" width="12.42578125" style="136"/>
    <col min="10" max="10" width="13.42578125" style="136" customWidth="1"/>
    <col min="11" max="11" width="12.42578125" style="136"/>
    <col min="12" max="12" width="12.42578125" style="136" customWidth="1"/>
    <col min="13" max="16384" width="12.42578125" style="136"/>
  </cols>
  <sheetData>
    <row r="1" spans="1:12">
      <c r="A1" s="136" t="s">
        <v>362</v>
      </c>
    </row>
    <row r="2" spans="1:12">
      <c r="A2" s="136" t="s">
        <v>361</v>
      </c>
    </row>
    <row r="3" spans="1:12" ht="30.75" customHeight="1">
      <c r="A3" s="136" t="s">
        <v>377</v>
      </c>
      <c r="C3" s="139" t="s">
        <v>416</v>
      </c>
      <c r="D3" s="139"/>
      <c r="E3" s="139"/>
      <c r="F3" s="139" t="s">
        <v>417</v>
      </c>
      <c r="G3" s="139"/>
      <c r="H3" s="139"/>
      <c r="I3" s="139" t="s">
        <v>418</v>
      </c>
      <c r="J3" s="139"/>
      <c r="K3" s="139"/>
      <c r="L3" s="136" t="s">
        <v>419</v>
      </c>
    </row>
    <row r="4" spans="1:12" s="548" customFormat="1" ht="114" customHeight="1">
      <c r="A4" s="544" t="s">
        <v>358</v>
      </c>
      <c r="B4" s="544" t="s">
        <v>358</v>
      </c>
      <c r="C4" s="544" t="s">
        <v>415</v>
      </c>
      <c r="D4" s="545" t="s">
        <v>420</v>
      </c>
      <c r="E4" s="544" t="s">
        <v>265</v>
      </c>
      <c r="F4" s="544" t="s">
        <v>414</v>
      </c>
      <c r="G4" s="545" t="s">
        <v>421</v>
      </c>
      <c r="H4" s="544" t="s">
        <v>227</v>
      </c>
      <c r="I4" s="545" t="s">
        <v>413</v>
      </c>
      <c r="J4" s="545" t="s">
        <v>422</v>
      </c>
      <c r="K4" s="545" t="s">
        <v>263</v>
      </c>
      <c r="L4" s="545" t="s">
        <v>412</v>
      </c>
    </row>
    <row r="5" spans="1:12">
      <c r="A5" s="136" t="s">
        <v>350</v>
      </c>
      <c r="B5" s="546" t="s">
        <v>350</v>
      </c>
      <c r="C5" s="136" t="s">
        <v>402</v>
      </c>
      <c r="E5" s="546"/>
      <c r="F5" s="136" t="s">
        <v>401</v>
      </c>
      <c r="H5" s="546"/>
      <c r="I5" s="136" t="s">
        <v>400</v>
      </c>
      <c r="K5" s="546"/>
      <c r="L5" s="136" t="s">
        <v>399</v>
      </c>
    </row>
    <row r="6" spans="1:12">
      <c r="A6" s="136" t="s">
        <v>342</v>
      </c>
      <c r="B6" s="546" t="s">
        <v>342</v>
      </c>
      <c r="C6" s="136" t="s">
        <v>265</v>
      </c>
      <c r="E6" s="546"/>
      <c r="F6" s="136" t="s">
        <v>227</v>
      </c>
      <c r="H6" s="546"/>
      <c r="I6" s="136" t="s">
        <v>263</v>
      </c>
      <c r="K6" s="546"/>
    </row>
    <row r="7" spans="1:12">
      <c r="A7" s="138" t="s">
        <v>340</v>
      </c>
      <c r="B7" s="546" t="s">
        <v>340</v>
      </c>
      <c r="C7" s="136">
        <v>91.5</v>
      </c>
      <c r="D7" s="136">
        <f>C7/E7</f>
        <v>59.5703125</v>
      </c>
      <c r="E7" s="546">
        <f>USD!CN7</f>
        <v>1.536</v>
      </c>
      <c r="F7" s="136">
        <v>72</v>
      </c>
      <c r="G7" s="136">
        <f>F7/H7</f>
        <v>9.4500590628691423</v>
      </c>
      <c r="H7" s="546">
        <f>USD!X7</f>
        <v>7.6190000000000007</v>
      </c>
      <c r="I7" s="136">
        <v>72.34</v>
      </c>
      <c r="J7" s="136">
        <f>I7*K7</f>
        <v>61.605250380000001</v>
      </c>
      <c r="K7" s="546">
        <f>USD!BK7</f>
        <v>0.851607</v>
      </c>
      <c r="L7" s="136">
        <v>4.47</v>
      </c>
    </row>
    <row r="8" spans="1:12">
      <c r="A8" s="138" t="s">
        <v>339</v>
      </c>
      <c r="B8" s="547" t="s">
        <v>339</v>
      </c>
      <c r="C8" s="136">
        <v>91.7</v>
      </c>
      <c r="D8" s="136">
        <f t="shared" ref="D8:D71" si="0">C8/E8</f>
        <v>60.61607615018508</v>
      </c>
      <c r="E8" s="546">
        <f>USD!CN8</f>
        <v>1.5128000000000001</v>
      </c>
      <c r="F8" s="136">
        <v>72.63</v>
      </c>
      <c r="G8" s="136">
        <f t="shared" ref="G8:G71" si="1">F8/H8</f>
        <v>9.3973799126637534</v>
      </c>
      <c r="H8" s="546">
        <f>USD!X8</f>
        <v>7.7287500000000007</v>
      </c>
      <c r="I8" s="136">
        <v>72.7</v>
      </c>
      <c r="J8" s="136">
        <f t="shared" ref="J8:J71" si="2">I8*K8</f>
        <v>67.339756300000005</v>
      </c>
      <c r="K8" s="546">
        <f>USD!BK8</f>
        <v>0.92626900000000001</v>
      </c>
      <c r="L8" s="136">
        <v>4.5</v>
      </c>
    </row>
    <row r="9" spans="1:12">
      <c r="A9" s="138" t="s">
        <v>338</v>
      </c>
      <c r="B9" s="547" t="s">
        <v>338</v>
      </c>
      <c r="C9" s="136">
        <v>92.7</v>
      </c>
      <c r="D9" s="136">
        <f t="shared" si="0"/>
        <v>62.630903317343417</v>
      </c>
      <c r="E9" s="546">
        <f>USD!CN9</f>
        <v>1.4801000000000002</v>
      </c>
      <c r="F9" s="136">
        <v>73.17</v>
      </c>
      <c r="G9" s="136">
        <f t="shared" si="1"/>
        <v>9.2943791679898382</v>
      </c>
      <c r="H9" s="546">
        <f>USD!X9</f>
        <v>7.8725000000000005</v>
      </c>
      <c r="I9" s="136">
        <v>73.320000000000007</v>
      </c>
      <c r="J9" s="136">
        <f t="shared" si="2"/>
        <v>71.098184040000007</v>
      </c>
      <c r="K9" s="546">
        <f>USD!BK9</f>
        <v>0.96969699999999992</v>
      </c>
      <c r="L9" s="136">
        <v>4.78</v>
      </c>
    </row>
    <row r="10" spans="1:12">
      <c r="A10" s="138" t="s">
        <v>337</v>
      </c>
      <c r="B10" s="547" t="s">
        <v>337</v>
      </c>
      <c r="C10" s="136">
        <v>93.300000000000011</v>
      </c>
      <c r="D10" s="136">
        <f t="shared" si="0"/>
        <v>63.490983327662477</v>
      </c>
      <c r="E10" s="546">
        <f>USD!CN10</f>
        <v>1.4695</v>
      </c>
      <c r="F10" s="136">
        <v>73.03</v>
      </c>
      <c r="G10" s="136">
        <f t="shared" si="1"/>
        <v>9.4201870364398577</v>
      </c>
      <c r="H10" s="546">
        <f>USD!X10</f>
        <v>7.7525000000000004</v>
      </c>
      <c r="I10" s="136">
        <v>73.44</v>
      </c>
      <c r="J10" s="136">
        <f t="shared" si="2"/>
        <v>68.960967839999995</v>
      </c>
      <c r="K10" s="546">
        <f>USD!BK10</f>
        <v>0.93901099999999993</v>
      </c>
      <c r="L10" s="136">
        <v>4.8600000000000003</v>
      </c>
    </row>
    <row r="11" spans="1:12">
      <c r="A11" s="138" t="s">
        <v>336</v>
      </c>
      <c r="B11" s="547" t="s">
        <v>336</v>
      </c>
      <c r="C11" s="136">
        <v>93.7</v>
      </c>
      <c r="D11" s="136">
        <f t="shared" si="0"/>
        <v>64.562805760352788</v>
      </c>
      <c r="E11" s="546">
        <f>USD!CN11</f>
        <v>1.4513</v>
      </c>
      <c r="F11" s="136">
        <v>73.930000000000007</v>
      </c>
      <c r="G11" s="136">
        <f t="shared" si="1"/>
        <v>9.1985343063150502</v>
      </c>
      <c r="H11" s="546">
        <f>USD!X11</f>
        <v>8.0371500000000005</v>
      </c>
      <c r="I11" s="136">
        <v>73.84</v>
      </c>
      <c r="J11" s="136">
        <f t="shared" si="2"/>
        <v>73.666919039999996</v>
      </c>
      <c r="K11" s="546">
        <f>USD!BK11</f>
        <v>0.99765599999999999</v>
      </c>
      <c r="L11" s="136">
        <v>5.22</v>
      </c>
    </row>
    <row r="12" spans="1:12">
      <c r="A12" s="138" t="s">
        <v>335</v>
      </c>
      <c r="B12" s="547" t="s">
        <v>335</v>
      </c>
      <c r="C12" s="136">
        <v>94.100000000000009</v>
      </c>
      <c r="D12" s="136">
        <f t="shared" si="0"/>
        <v>64.816090370574457</v>
      </c>
      <c r="E12" s="546">
        <f>USD!CN12</f>
        <v>1.4518000000000002</v>
      </c>
      <c r="F12" s="136">
        <v>74.73</v>
      </c>
      <c r="G12" s="136">
        <f t="shared" si="1"/>
        <v>8.8551047492653314</v>
      </c>
      <c r="H12" s="546">
        <f>USD!X12</f>
        <v>8.4392000000000014</v>
      </c>
      <c r="I12" s="136">
        <v>74.070000000000007</v>
      </c>
      <c r="J12" s="136">
        <f t="shared" si="2"/>
        <v>77.406038730000006</v>
      </c>
      <c r="K12" s="546">
        <f>USD!BK12</f>
        <v>1.0450390000000001</v>
      </c>
      <c r="L12" s="136">
        <v>5.88</v>
      </c>
    </row>
    <row r="13" spans="1:12">
      <c r="A13" s="138" t="s">
        <v>334</v>
      </c>
      <c r="B13" s="547" t="s">
        <v>334</v>
      </c>
      <c r="C13" s="136">
        <v>95</v>
      </c>
      <c r="D13" s="136">
        <f t="shared" si="0"/>
        <v>64.11554295741378</v>
      </c>
      <c r="E13" s="546">
        <f>USD!CN13</f>
        <v>1.4817</v>
      </c>
      <c r="F13" s="136">
        <v>75.3</v>
      </c>
      <c r="G13" s="136">
        <f t="shared" si="1"/>
        <v>8.8093873205657651</v>
      </c>
      <c r="H13" s="546">
        <f>USD!X13</f>
        <v>8.5477000000000007</v>
      </c>
      <c r="I13" s="136">
        <v>74.91</v>
      </c>
      <c r="J13" s="136">
        <f t="shared" si="2"/>
        <v>78.149258219999993</v>
      </c>
      <c r="K13" s="546">
        <f>USD!BK13</f>
        <v>1.043242</v>
      </c>
      <c r="L13" s="136">
        <v>5.87</v>
      </c>
    </row>
    <row r="14" spans="1:12">
      <c r="A14" s="138" t="s">
        <v>333</v>
      </c>
      <c r="B14" s="547" t="s">
        <v>333</v>
      </c>
      <c r="C14" s="136">
        <v>95.9</v>
      </c>
      <c r="D14" s="136">
        <f t="shared" si="0"/>
        <v>63.73787053037352</v>
      </c>
      <c r="E14" s="546">
        <f>USD!CN14</f>
        <v>1.5046000000000002</v>
      </c>
      <c r="F14" s="136">
        <v>75.53</v>
      </c>
      <c r="G14" s="136">
        <f t="shared" si="1"/>
        <v>8.3197937951279695</v>
      </c>
      <c r="H14" s="546">
        <f>USD!X14</f>
        <v>9.0783500000000004</v>
      </c>
      <c r="I14" s="136">
        <v>75.27</v>
      </c>
      <c r="J14" s="136">
        <f t="shared" si="2"/>
        <v>85.296490889999987</v>
      </c>
      <c r="K14" s="546">
        <f>USD!BK14</f>
        <v>1.1332069999999999</v>
      </c>
      <c r="L14" s="136">
        <v>6.21</v>
      </c>
    </row>
    <row r="15" spans="1:12">
      <c r="A15" s="138" t="s">
        <v>332</v>
      </c>
      <c r="B15" s="547" t="s">
        <v>332</v>
      </c>
      <c r="C15" s="136">
        <v>96.5</v>
      </c>
      <c r="D15" s="136">
        <f t="shared" si="0"/>
        <v>64.247669773635138</v>
      </c>
      <c r="E15" s="546">
        <f>USD!CN15</f>
        <v>1.5020000000000002</v>
      </c>
      <c r="F15" s="136">
        <v>76.23</v>
      </c>
      <c r="G15" s="136">
        <f t="shared" si="1"/>
        <v>8.6443272665419286</v>
      </c>
      <c r="H15" s="546">
        <f>USD!X15</f>
        <v>8.8185000000000002</v>
      </c>
      <c r="I15" s="136">
        <v>75.960000000000008</v>
      </c>
      <c r="J15" s="136">
        <f t="shared" si="2"/>
        <v>80.907350760000014</v>
      </c>
      <c r="K15" s="546">
        <f>USD!BK15</f>
        <v>1.065131</v>
      </c>
      <c r="L15" s="136">
        <v>5.89</v>
      </c>
    </row>
    <row r="16" spans="1:12">
      <c r="A16" s="138" t="s">
        <v>331</v>
      </c>
      <c r="B16" s="547" t="s">
        <v>331</v>
      </c>
      <c r="C16" s="136">
        <v>96.7</v>
      </c>
      <c r="D16" s="136">
        <f t="shared" si="0"/>
        <v>61.412422202464114</v>
      </c>
      <c r="E16" s="546">
        <f>USD!CN16</f>
        <v>1.5746000000000002</v>
      </c>
      <c r="F16" s="136">
        <v>77.37</v>
      </c>
      <c r="G16" s="136">
        <f t="shared" si="1"/>
        <v>8.4937040980997018</v>
      </c>
      <c r="H16" s="546">
        <f>USD!X16</f>
        <v>9.1091000000000015</v>
      </c>
      <c r="I16" s="136">
        <v>77</v>
      </c>
      <c r="J16" s="136">
        <f t="shared" si="2"/>
        <v>87.104093999999989</v>
      </c>
      <c r="K16" s="546">
        <f>USD!BK16</f>
        <v>1.1312219999999999</v>
      </c>
      <c r="L16" s="136">
        <v>4.29</v>
      </c>
    </row>
    <row r="17" spans="1:12">
      <c r="A17" s="138" t="s">
        <v>330</v>
      </c>
      <c r="B17" s="547" t="s">
        <v>330</v>
      </c>
      <c r="C17" s="136">
        <v>98.4</v>
      </c>
      <c r="D17" s="136">
        <f t="shared" si="0"/>
        <v>64.839219820769642</v>
      </c>
      <c r="E17" s="546">
        <f>USD!CN17</f>
        <v>1.5176000000000001</v>
      </c>
      <c r="F17" s="136">
        <v>78.27</v>
      </c>
      <c r="G17" s="136">
        <f t="shared" si="1"/>
        <v>8.383810793875222</v>
      </c>
      <c r="H17" s="546">
        <f>USD!X17</f>
        <v>9.3358500000000006</v>
      </c>
      <c r="I17" s="136">
        <v>78.2</v>
      </c>
      <c r="J17" s="136">
        <f t="shared" si="2"/>
        <v>92.37492300000001</v>
      </c>
      <c r="K17" s="546">
        <f>USD!BK17</f>
        <v>1.181265</v>
      </c>
      <c r="L17" s="136">
        <v>3.62</v>
      </c>
    </row>
    <row r="18" spans="1:12">
      <c r="A18" s="138" t="s">
        <v>329</v>
      </c>
      <c r="B18" s="547" t="s">
        <v>329</v>
      </c>
      <c r="C18" s="136">
        <v>98.5</v>
      </c>
      <c r="D18" s="136">
        <f t="shared" si="0"/>
        <v>62.353611445211115</v>
      </c>
      <c r="E18" s="546">
        <f>USD!CN18</f>
        <v>1.5797000000000001</v>
      </c>
      <c r="F18" s="136">
        <v>77.47</v>
      </c>
      <c r="G18" s="136">
        <f t="shared" si="1"/>
        <v>8.7343777305500279</v>
      </c>
      <c r="H18" s="546">
        <f>USD!X18</f>
        <v>8.8695500000000003</v>
      </c>
      <c r="I18" s="136">
        <v>78.489999999999995</v>
      </c>
      <c r="J18" s="136">
        <f t="shared" si="2"/>
        <v>86.18641543999999</v>
      </c>
      <c r="K18" s="546">
        <f>USD!BK18</f>
        <v>1.0980559999999999</v>
      </c>
      <c r="L18" s="136">
        <v>2.37</v>
      </c>
    </row>
    <row r="19" spans="1:12">
      <c r="A19" s="138" t="s">
        <v>328</v>
      </c>
      <c r="B19" s="547" t="s">
        <v>328</v>
      </c>
      <c r="C19" s="136">
        <v>97.600000000000009</v>
      </c>
      <c r="D19" s="136">
        <f t="shared" si="0"/>
        <v>61.143304620203601</v>
      </c>
      <c r="E19" s="546">
        <f>USD!CN19</f>
        <v>1.5962500000000002</v>
      </c>
      <c r="F19" s="136">
        <v>77.77</v>
      </c>
      <c r="G19" s="136">
        <f t="shared" si="1"/>
        <v>8.6706877905745152</v>
      </c>
      <c r="H19" s="546">
        <f>USD!X19</f>
        <v>8.9693000000000005</v>
      </c>
      <c r="I19" s="136">
        <v>79</v>
      </c>
      <c r="J19" s="136">
        <f t="shared" si="2"/>
        <v>88.724188999999981</v>
      </c>
      <c r="K19" s="546">
        <f>USD!BK19</f>
        <v>1.1230909999999998</v>
      </c>
      <c r="L19" s="136">
        <v>1.73</v>
      </c>
    </row>
    <row r="20" spans="1:12">
      <c r="A20" s="138" t="s">
        <v>327</v>
      </c>
      <c r="B20" s="547" t="s">
        <v>327</v>
      </c>
      <c r="C20" s="136">
        <v>98.2</v>
      </c>
      <c r="D20" s="136">
        <f t="shared" si="0"/>
        <v>61.551961890434995</v>
      </c>
      <c r="E20" s="546">
        <f>USD!CN20</f>
        <v>1.5954000000000002</v>
      </c>
      <c r="F20" s="136">
        <v>78.17</v>
      </c>
      <c r="G20" s="136">
        <f t="shared" si="1"/>
        <v>8.8510705753139245</v>
      </c>
      <c r="H20" s="546">
        <f>USD!X20</f>
        <v>8.8317000000000014</v>
      </c>
      <c r="I20" s="136">
        <v>79.900000000000006</v>
      </c>
      <c r="J20" s="136">
        <f t="shared" si="2"/>
        <v>91.586253900000003</v>
      </c>
      <c r="K20" s="546">
        <f>USD!BK20</f>
        <v>1.146261</v>
      </c>
      <c r="L20" s="136">
        <v>1.79</v>
      </c>
    </row>
    <row r="21" spans="1:12">
      <c r="A21" s="138" t="s">
        <v>326</v>
      </c>
      <c r="B21" s="547" t="s">
        <v>326</v>
      </c>
      <c r="C21" s="136">
        <v>99.7</v>
      </c>
      <c r="D21" s="136">
        <f t="shared" si="0"/>
        <v>65.553290814649216</v>
      </c>
      <c r="E21" s="546">
        <f>USD!CN21</f>
        <v>1.5209000000000001</v>
      </c>
      <c r="F21" s="136">
        <v>78.63</v>
      </c>
      <c r="G21" s="136">
        <f t="shared" si="1"/>
        <v>10.477992617565928</v>
      </c>
      <c r="H21" s="546">
        <f>USD!X21</f>
        <v>7.5043000000000006</v>
      </c>
      <c r="I21" s="136">
        <v>80.820000000000007</v>
      </c>
      <c r="J21" s="136">
        <f t="shared" si="2"/>
        <v>81.834614279999997</v>
      </c>
      <c r="K21" s="546">
        <f>USD!BK21</f>
        <v>1.012554</v>
      </c>
      <c r="L21" s="136">
        <v>1.67</v>
      </c>
    </row>
    <row r="22" spans="1:12">
      <c r="A22" s="138" t="s">
        <v>325</v>
      </c>
      <c r="B22" s="547" t="s">
        <v>325</v>
      </c>
      <c r="C22" s="136">
        <v>100.80000000000001</v>
      </c>
      <c r="D22" s="136">
        <f t="shared" si="0"/>
        <v>63.548102383053845</v>
      </c>
      <c r="E22" s="546">
        <f>USD!CN22</f>
        <v>1.5862000000000001</v>
      </c>
      <c r="F22" s="136">
        <v>78.570000000000007</v>
      </c>
      <c r="G22" s="136">
        <f t="shared" si="1"/>
        <v>10.602094240837696</v>
      </c>
      <c r="H22" s="546">
        <f>USD!X22</f>
        <v>7.4108000000000009</v>
      </c>
      <c r="I22" s="136">
        <v>81.010000000000005</v>
      </c>
      <c r="J22" s="136">
        <f t="shared" si="2"/>
        <v>81.973127890000015</v>
      </c>
      <c r="K22" s="546">
        <f>USD!BK22</f>
        <v>1.011889</v>
      </c>
      <c r="L22" s="136">
        <v>1.6</v>
      </c>
    </row>
    <row r="23" spans="1:12">
      <c r="A23" s="138" t="s">
        <v>324</v>
      </c>
      <c r="B23" s="547" t="s">
        <v>324</v>
      </c>
      <c r="C23" s="136">
        <v>101.30000000000001</v>
      </c>
      <c r="D23" s="136">
        <f t="shared" si="0"/>
        <v>64.122040764653761</v>
      </c>
      <c r="E23" s="546">
        <f>USD!CN23</f>
        <v>1.5798000000000001</v>
      </c>
      <c r="F23" s="136">
        <v>79.5</v>
      </c>
      <c r="G23" s="136">
        <f t="shared" si="1"/>
        <v>11.475587311897801</v>
      </c>
      <c r="H23" s="546">
        <f>USD!X23</f>
        <v>6.9277500000000005</v>
      </c>
      <c r="I23" s="136">
        <v>81.239999999999995</v>
      </c>
      <c r="J23" s="136">
        <f t="shared" si="2"/>
        <v>77.415626999999986</v>
      </c>
      <c r="K23" s="546">
        <f>USD!BK23</f>
        <v>0.95292499999999991</v>
      </c>
      <c r="L23" s="136">
        <v>1.19</v>
      </c>
    </row>
    <row r="24" spans="1:12">
      <c r="A24" s="138" t="s">
        <v>323</v>
      </c>
      <c r="B24" s="547" t="s">
        <v>323</v>
      </c>
      <c r="C24" s="136">
        <v>102.60000000000001</v>
      </c>
      <c r="D24" s="136">
        <f t="shared" si="0"/>
        <v>69.750841293041901</v>
      </c>
      <c r="E24" s="546">
        <f>USD!CN24</f>
        <v>1.4709500000000002</v>
      </c>
      <c r="F24" s="136">
        <v>81.77</v>
      </c>
      <c r="G24" s="136">
        <f t="shared" si="1"/>
        <v>11.268207311863518</v>
      </c>
      <c r="H24" s="546">
        <f>USD!X24</f>
        <v>7.2567000000000004</v>
      </c>
      <c r="I24" s="136">
        <v>81.84</v>
      </c>
      <c r="J24" s="136">
        <f t="shared" si="2"/>
        <v>74.999976480000001</v>
      </c>
      <c r="K24" s="546">
        <f>USD!BK24</f>
        <v>0.91642199999999996</v>
      </c>
      <c r="L24" s="136">
        <v>1.0900000000000001</v>
      </c>
    </row>
    <row r="25" spans="1:12">
      <c r="A25" s="138" t="s">
        <v>322</v>
      </c>
      <c r="B25" s="547" t="s">
        <v>322</v>
      </c>
      <c r="C25" s="136">
        <v>102.5</v>
      </c>
      <c r="D25" s="136">
        <f t="shared" si="0"/>
        <v>75.436982520699161</v>
      </c>
      <c r="E25" s="546">
        <f>USD!CN25</f>
        <v>1.3587500000000001</v>
      </c>
      <c r="F25" s="136">
        <v>80.400000000000006</v>
      </c>
      <c r="G25" s="136">
        <f t="shared" si="1"/>
        <v>11.138202371716723</v>
      </c>
      <c r="H25" s="546">
        <f>USD!X25</f>
        <v>7.2184000000000008</v>
      </c>
      <c r="I25" s="136">
        <v>82.44</v>
      </c>
      <c r="J25" s="136">
        <f t="shared" si="2"/>
        <v>71.789988600000001</v>
      </c>
      <c r="K25" s="546">
        <f>USD!BK25</f>
        <v>0.87081500000000001</v>
      </c>
      <c r="L25" s="136">
        <v>0.84</v>
      </c>
    </row>
    <row r="26" spans="1:12">
      <c r="A26" s="138" t="s">
        <v>321</v>
      </c>
      <c r="B26" s="547" t="s">
        <v>321</v>
      </c>
      <c r="C26" s="136">
        <v>102.9</v>
      </c>
      <c r="D26" s="136">
        <f t="shared" si="0"/>
        <v>76.253288376746085</v>
      </c>
      <c r="E26" s="546">
        <f>USD!CN26</f>
        <v>1.34945</v>
      </c>
      <c r="F26" s="136">
        <v>80.070000000000007</v>
      </c>
      <c r="G26" s="136">
        <f t="shared" si="1"/>
        <v>11.347949942601227</v>
      </c>
      <c r="H26" s="546">
        <f>USD!X26</f>
        <v>7.0559000000000003</v>
      </c>
      <c r="I26" s="136">
        <v>82.68</v>
      </c>
      <c r="J26" s="136">
        <f t="shared" si="2"/>
        <v>70.997398680000003</v>
      </c>
      <c r="K26" s="546">
        <f>USD!BK26</f>
        <v>0.85870099999999994</v>
      </c>
      <c r="L26" s="136">
        <v>0.93</v>
      </c>
    </row>
    <row r="27" spans="1:12">
      <c r="A27" s="138" t="s">
        <v>320</v>
      </c>
      <c r="B27" s="547" t="s">
        <v>320</v>
      </c>
      <c r="C27" s="136">
        <v>103</v>
      </c>
      <c r="D27" s="136">
        <f t="shared" si="0"/>
        <v>79.705939253240459</v>
      </c>
      <c r="E27" s="546">
        <f>USD!CN27</f>
        <v>1.2922500000000001</v>
      </c>
      <c r="F27" s="136">
        <v>80.47</v>
      </c>
      <c r="G27" s="136">
        <f t="shared" si="1"/>
        <v>12.095658970658969</v>
      </c>
      <c r="H27" s="546">
        <f>USD!X27</f>
        <v>6.6528000000000009</v>
      </c>
      <c r="I27" s="136">
        <v>82.76</v>
      </c>
      <c r="J27" s="136">
        <f t="shared" si="2"/>
        <v>65.612210759999996</v>
      </c>
      <c r="K27" s="546">
        <f>USD!BK27</f>
        <v>0.79280099999999998</v>
      </c>
      <c r="L27" s="136">
        <v>0.91</v>
      </c>
    </row>
    <row r="28" spans="1:12">
      <c r="A28" s="138" t="s">
        <v>319</v>
      </c>
      <c r="B28" s="547" t="s">
        <v>319</v>
      </c>
      <c r="C28" s="136">
        <v>103.60000000000001</v>
      </c>
      <c r="D28" s="136">
        <f t="shared" si="0"/>
        <v>78.82822902796272</v>
      </c>
      <c r="E28" s="546">
        <f>USD!CN28</f>
        <v>1.3142500000000001</v>
      </c>
      <c r="F28" s="136">
        <v>80.600000000000009</v>
      </c>
      <c r="G28" s="136">
        <f t="shared" si="1"/>
        <v>11.739260251826066</v>
      </c>
      <c r="H28" s="546">
        <f>USD!X28</f>
        <v>6.8658500000000009</v>
      </c>
      <c r="I28" s="136">
        <v>82.84</v>
      </c>
      <c r="J28" s="136">
        <f t="shared" si="2"/>
        <v>67.40989024000001</v>
      </c>
      <c r="K28" s="546">
        <f>USD!BK28</f>
        <v>0.81373600000000001</v>
      </c>
      <c r="L28" s="136">
        <v>0.93</v>
      </c>
    </row>
    <row r="29" spans="1:12">
      <c r="A29" s="138" t="s">
        <v>318</v>
      </c>
      <c r="B29" s="547" t="s">
        <v>318</v>
      </c>
      <c r="C29" s="136">
        <v>104.7</v>
      </c>
      <c r="D29" s="136">
        <f t="shared" si="0"/>
        <v>78.090620921126231</v>
      </c>
      <c r="E29" s="546">
        <f>USD!CN29</f>
        <v>1.3407500000000001</v>
      </c>
      <c r="F29" s="136">
        <v>81.070000000000007</v>
      </c>
      <c r="G29" s="136">
        <f t="shared" si="1"/>
        <v>11.695881122412176</v>
      </c>
      <c r="H29" s="546">
        <f>USD!X29</f>
        <v>6.9315000000000007</v>
      </c>
      <c r="I29" s="136">
        <v>83.62</v>
      </c>
      <c r="J29" s="136">
        <f t="shared" si="2"/>
        <v>68.729702979999999</v>
      </c>
      <c r="K29" s="546">
        <f>USD!BK29</f>
        <v>0.82192899999999991</v>
      </c>
      <c r="L29" s="136">
        <v>1.3</v>
      </c>
    </row>
    <row r="30" spans="1:12">
      <c r="A30" s="138" t="s">
        <v>317</v>
      </c>
      <c r="B30" s="547" t="s">
        <v>317</v>
      </c>
      <c r="C30" s="136">
        <v>104.9</v>
      </c>
      <c r="D30" s="136">
        <f t="shared" si="0"/>
        <v>82.888862549879491</v>
      </c>
      <c r="E30" s="546">
        <f>USD!CN30</f>
        <v>1.2655500000000002</v>
      </c>
      <c r="F30" s="136">
        <v>81.03</v>
      </c>
      <c r="G30" s="136">
        <f t="shared" si="1"/>
        <v>12.037435935526998</v>
      </c>
      <c r="H30" s="546">
        <f>USD!X30</f>
        <v>6.7315000000000005</v>
      </c>
      <c r="I30" s="136">
        <v>83.62</v>
      </c>
      <c r="J30" s="136">
        <f t="shared" si="2"/>
        <v>67.326893859999998</v>
      </c>
      <c r="K30" s="546">
        <f>USD!BK30</f>
        <v>0.80515300000000001</v>
      </c>
      <c r="L30" s="136">
        <v>1.68</v>
      </c>
    </row>
    <row r="31" spans="1:12">
      <c r="A31" s="138" t="s">
        <v>316</v>
      </c>
      <c r="B31" s="547" t="s">
        <v>316</v>
      </c>
      <c r="C31" s="136">
        <v>105.4</v>
      </c>
      <c r="D31" s="136">
        <f t="shared" si="0"/>
        <v>87.968952134540757</v>
      </c>
      <c r="E31" s="546">
        <f>USD!CN31</f>
        <v>1.19815</v>
      </c>
      <c r="F31" s="136">
        <v>81.47</v>
      </c>
      <c r="G31" s="136">
        <f t="shared" si="1"/>
        <v>13.451330355889807</v>
      </c>
      <c r="H31" s="546">
        <f>USD!X31</f>
        <v>6.0566500000000003</v>
      </c>
      <c r="I31" s="136">
        <v>83.820000000000007</v>
      </c>
      <c r="J31" s="136">
        <f t="shared" si="2"/>
        <v>61.666374000000005</v>
      </c>
      <c r="K31" s="546">
        <f>USD!BK31</f>
        <v>0.73570000000000002</v>
      </c>
      <c r="L31" s="136">
        <v>2.1800000000000002</v>
      </c>
    </row>
    <row r="32" spans="1:12">
      <c r="A32" s="138" t="s">
        <v>315</v>
      </c>
      <c r="B32" s="547" t="s">
        <v>315</v>
      </c>
      <c r="C32" s="136">
        <v>105.80000000000001</v>
      </c>
      <c r="D32" s="136">
        <f t="shared" si="0"/>
        <v>87.448857296359051</v>
      </c>
      <c r="E32" s="546">
        <f>USD!CN32</f>
        <v>1.2098500000000001</v>
      </c>
      <c r="F32" s="136">
        <v>81.400000000000006</v>
      </c>
      <c r="G32" s="136">
        <f t="shared" si="1"/>
        <v>12.891169390599265</v>
      </c>
      <c r="H32" s="546">
        <f>USD!X32</f>
        <v>6.3144000000000009</v>
      </c>
      <c r="I32" s="136">
        <v>84.19</v>
      </c>
      <c r="J32" s="136">
        <f t="shared" si="2"/>
        <v>64.778985219999996</v>
      </c>
      <c r="K32" s="546">
        <f>USD!BK32</f>
        <v>0.76943799999999996</v>
      </c>
      <c r="L32" s="136">
        <v>2.73</v>
      </c>
    </row>
    <row r="33" spans="1:12">
      <c r="A33" s="138" t="s">
        <v>314</v>
      </c>
      <c r="B33" s="547" t="s">
        <v>314</v>
      </c>
      <c r="C33" s="136">
        <v>106.7</v>
      </c>
      <c r="D33" s="136">
        <f t="shared" si="0"/>
        <v>87.116263879817112</v>
      </c>
      <c r="E33" s="546">
        <f>USD!CN33</f>
        <v>1.2248000000000001</v>
      </c>
      <c r="F33" s="136">
        <v>82.3</v>
      </c>
      <c r="G33" s="136">
        <f t="shared" si="1"/>
        <v>12.58833246657897</v>
      </c>
      <c r="H33" s="546">
        <f>USD!X33</f>
        <v>6.5378000000000007</v>
      </c>
      <c r="I33" s="136">
        <v>84.9</v>
      </c>
      <c r="J33" s="136">
        <f t="shared" si="2"/>
        <v>70.127654699999994</v>
      </c>
      <c r="K33" s="546">
        <f>USD!BK33</f>
        <v>0.82600299999999993</v>
      </c>
      <c r="L33" s="136">
        <v>3.06</v>
      </c>
    </row>
    <row r="34" spans="1:12">
      <c r="A34" s="138" t="s">
        <v>313</v>
      </c>
      <c r="B34" s="547" t="s">
        <v>313</v>
      </c>
      <c r="C34" s="136">
        <v>107.7</v>
      </c>
      <c r="D34" s="136">
        <f t="shared" si="0"/>
        <v>92.796829226262275</v>
      </c>
      <c r="E34" s="546">
        <f>USD!CN34</f>
        <v>1.1606000000000001</v>
      </c>
      <c r="F34" s="136">
        <v>82.47</v>
      </c>
      <c r="G34" s="136">
        <f t="shared" si="1"/>
        <v>12.640436521925723</v>
      </c>
      <c r="H34" s="546">
        <f>USD!X34</f>
        <v>6.5243000000000002</v>
      </c>
      <c r="I34" s="136">
        <v>85.09</v>
      </c>
      <c r="J34" s="136">
        <f t="shared" si="2"/>
        <v>70.576028519999994</v>
      </c>
      <c r="K34" s="546">
        <f>USD!BK34</f>
        <v>0.82942799999999994</v>
      </c>
      <c r="L34" s="136">
        <v>3.47</v>
      </c>
    </row>
    <row r="35" spans="1:12">
      <c r="A35" s="138" t="s">
        <v>312</v>
      </c>
      <c r="B35" s="547" t="s">
        <v>312</v>
      </c>
      <c r="C35" s="136">
        <v>107.7</v>
      </c>
      <c r="D35" s="136">
        <f t="shared" si="0"/>
        <v>92.19706373325343</v>
      </c>
      <c r="E35" s="546">
        <f>USD!CN35</f>
        <v>1.16815</v>
      </c>
      <c r="F35" s="136">
        <v>82.97</v>
      </c>
      <c r="G35" s="136">
        <f t="shared" si="1"/>
        <v>12.253276721432528</v>
      </c>
      <c r="H35" s="546">
        <f>USD!X35</f>
        <v>6.7712500000000002</v>
      </c>
      <c r="I35" s="136">
        <v>85.36</v>
      </c>
      <c r="J35" s="136">
        <f t="shared" si="2"/>
        <v>72.366586159999997</v>
      </c>
      <c r="K35" s="546">
        <f>USD!BK35</f>
        <v>0.84778100000000001</v>
      </c>
      <c r="L35" s="136">
        <v>3.99</v>
      </c>
    </row>
    <row r="36" spans="1:12">
      <c r="A36" s="138" t="s">
        <v>311</v>
      </c>
      <c r="B36" s="547" t="s">
        <v>311</v>
      </c>
      <c r="C36" s="136">
        <v>108.30000000000001</v>
      </c>
      <c r="D36" s="136">
        <f t="shared" si="0"/>
        <v>92.833876221498372</v>
      </c>
      <c r="E36" s="546">
        <f>USD!CN36</f>
        <v>1.1666000000000001</v>
      </c>
      <c r="F36" s="136">
        <v>83.23</v>
      </c>
      <c r="G36" s="136">
        <f t="shared" si="1"/>
        <v>12.681990293850994</v>
      </c>
      <c r="H36" s="546">
        <f>USD!X36</f>
        <v>6.562850000000001</v>
      </c>
      <c r="I36" s="136">
        <v>85.12</v>
      </c>
      <c r="J36" s="136">
        <f t="shared" si="2"/>
        <v>70.338401279999999</v>
      </c>
      <c r="K36" s="546">
        <f>USD!BK36</f>
        <v>0.82634399999999997</v>
      </c>
      <c r="L36" s="136">
        <v>4.5200000000000005</v>
      </c>
    </row>
    <row r="37" spans="1:12">
      <c r="A37" s="138" t="s">
        <v>310</v>
      </c>
      <c r="B37" s="547" t="s">
        <v>310</v>
      </c>
      <c r="C37" s="136">
        <v>109.5</v>
      </c>
      <c r="D37" s="136">
        <f t="shared" si="0"/>
        <v>98.462368492042074</v>
      </c>
      <c r="E37" s="546">
        <f>USD!CN37</f>
        <v>1.1121000000000001</v>
      </c>
      <c r="F37" s="136">
        <v>84.27</v>
      </c>
      <c r="G37" s="136">
        <f t="shared" si="1"/>
        <v>13.542570629640341</v>
      </c>
      <c r="H37" s="546">
        <f>USD!X37</f>
        <v>6.2226000000000008</v>
      </c>
      <c r="I37" s="136">
        <v>86.02</v>
      </c>
      <c r="J37" s="136">
        <f t="shared" si="2"/>
        <v>67.274091499999997</v>
      </c>
      <c r="K37" s="546">
        <f>USD!BK37</f>
        <v>0.78207499999999996</v>
      </c>
      <c r="L37" s="136">
        <v>4.87</v>
      </c>
    </row>
    <row r="38" spans="1:12">
      <c r="A38" s="138" t="s">
        <v>309</v>
      </c>
      <c r="B38" s="547" t="s">
        <v>309</v>
      </c>
      <c r="C38" s="136">
        <v>109.5</v>
      </c>
      <c r="D38" s="136">
        <f t="shared" si="0"/>
        <v>98.149061085465874</v>
      </c>
      <c r="E38" s="546">
        <f>USD!CN38</f>
        <v>1.11565</v>
      </c>
      <c r="F38" s="136">
        <v>84.3</v>
      </c>
      <c r="G38" s="136">
        <f t="shared" si="1"/>
        <v>12.932125516786449</v>
      </c>
      <c r="H38" s="546">
        <f>USD!X38</f>
        <v>6.5186500000000009</v>
      </c>
      <c r="I38" s="136">
        <v>86.09</v>
      </c>
      <c r="J38" s="136">
        <f t="shared" si="2"/>
        <v>67.961339980000005</v>
      </c>
      <c r="K38" s="546">
        <f>USD!BK38</f>
        <v>0.78942199999999996</v>
      </c>
      <c r="L38" s="136">
        <v>4.7700000000000005</v>
      </c>
    </row>
    <row r="39" spans="1:12">
      <c r="A39" s="138" t="s">
        <v>308</v>
      </c>
      <c r="B39" s="547" t="s">
        <v>308</v>
      </c>
      <c r="C39" s="136">
        <v>109.2</v>
      </c>
      <c r="D39" s="136">
        <f t="shared" si="0"/>
        <v>93.83861820056714</v>
      </c>
      <c r="E39" s="546">
        <f>USD!CN39</f>
        <v>1.1637000000000002</v>
      </c>
      <c r="F39" s="136">
        <v>85</v>
      </c>
      <c r="G39" s="136">
        <f t="shared" si="1"/>
        <v>13.651657873392917</v>
      </c>
      <c r="H39" s="546">
        <f>USD!X39</f>
        <v>6.2263500000000009</v>
      </c>
      <c r="I39" s="136">
        <v>86.04</v>
      </c>
      <c r="J39" s="136">
        <f t="shared" si="2"/>
        <v>65.248520040000002</v>
      </c>
      <c r="K39" s="546">
        <f>USD!BK39</f>
        <v>0.758351</v>
      </c>
      <c r="L39" s="136">
        <v>4.8899999999999997</v>
      </c>
    </row>
    <row r="40" spans="1:12">
      <c r="A40" s="138" t="s">
        <v>307</v>
      </c>
      <c r="B40" s="547" t="s">
        <v>307</v>
      </c>
      <c r="C40" s="136">
        <v>110.2</v>
      </c>
      <c r="D40" s="136">
        <f t="shared" si="0"/>
        <v>95.522905560611974</v>
      </c>
      <c r="E40" s="546">
        <f>USD!CN40</f>
        <v>1.1536500000000001</v>
      </c>
      <c r="F40" s="136">
        <v>84.070000000000007</v>
      </c>
      <c r="G40" s="136">
        <f t="shared" si="1"/>
        <v>13.772710145639815</v>
      </c>
      <c r="H40" s="546">
        <f>USD!X40</f>
        <v>6.1041000000000007</v>
      </c>
      <c r="I40" s="136">
        <v>86.460000000000008</v>
      </c>
      <c r="J40" s="136">
        <f t="shared" si="2"/>
        <v>64.951345799999999</v>
      </c>
      <c r="K40" s="546">
        <f>USD!BK40</f>
        <v>0.75122999999999995</v>
      </c>
      <c r="L40" s="136">
        <v>4.9000000000000004</v>
      </c>
    </row>
    <row r="41" spans="1:12">
      <c r="A41" s="138" t="s">
        <v>306</v>
      </c>
      <c r="B41" s="547" t="s">
        <v>306</v>
      </c>
      <c r="C41" s="136">
        <v>111.9</v>
      </c>
      <c r="D41" s="136">
        <f t="shared" si="0"/>
        <v>105.19388954171562</v>
      </c>
      <c r="E41" s="546">
        <f>USD!CN41</f>
        <v>1.0637500000000002</v>
      </c>
      <c r="F41" s="136">
        <v>84.53</v>
      </c>
      <c r="G41" s="136">
        <f t="shared" si="1"/>
        <v>14.311715357200301</v>
      </c>
      <c r="H41" s="546">
        <f>USD!X41</f>
        <v>5.9063500000000007</v>
      </c>
      <c r="I41" s="136">
        <v>87.56</v>
      </c>
      <c r="J41" s="136">
        <f t="shared" si="2"/>
        <v>64.832838839999994</v>
      </c>
      <c r="K41" s="546">
        <f>USD!BK41</f>
        <v>0.74043899999999996</v>
      </c>
      <c r="L41" s="136">
        <v>4.68</v>
      </c>
    </row>
    <row r="42" spans="1:12">
      <c r="A42" s="138" t="s">
        <v>305</v>
      </c>
      <c r="B42" s="547" t="s">
        <v>305</v>
      </c>
      <c r="C42" s="136">
        <v>111.9</v>
      </c>
      <c r="D42" s="136">
        <f t="shared" si="0"/>
        <v>112.60943946865251</v>
      </c>
      <c r="E42" s="546">
        <f>USD!CN42</f>
        <v>0.99370000000000003</v>
      </c>
      <c r="F42" s="136">
        <v>84.43</v>
      </c>
      <c r="G42" s="136">
        <f t="shared" si="1"/>
        <v>15.571026787772604</v>
      </c>
      <c r="H42" s="546">
        <f>USD!X42</f>
        <v>5.42225</v>
      </c>
      <c r="I42" s="136">
        <v>87.2</v>
      </c>
      <c r="J42" s="136">
        <f t="shared" si="2"/>
        <v>61.315639199999993</v>
      </c>
      <c r="K42" s="546">
        <f>USD!BK42</f>
        <v>0.70316099999999992</v>
      </c>
      <c r="L42" s="136">
        <v>3.72</v>
      </c>
    </row>
    <row r="43" spans="1:12">
      <c r="A43" s="138" t="s">
        <v>304</v>
      </c>
      <c r="B43" s="547" t="s">
        <v>304</v>
      </c>
      <c r="C43" s="136">
        <v>111.80000000000001</v>
      </c>
      <c r="D43" s="136">
        <f t="shared" si="0"/>
        <v>113.27828157454785</v>
      </c>
      <c r="E43" s="546">
        <f>USD!CN43</f>
        <v>0.9869500000000001</v>
      </c>
      <c r="F43" s="136">
        <v>86.17</v>
      </c>
      <c r="G43" s="136">
        <f t="shared" si="1"/>
        <v>15.869683324585393</v>
      </c>
      <c r="H43" s="546">
        <f>USD!X43</f>
        <v>5.4298500000000001</v>
      </c>
      <c r="I43" s="136">
        <v>87.59</v>
      </c>
      <c r="J43" s="136">
        <f t="shared" si="2"/>
        <v>59.909019890000003</v>
      </c>
      <c r="K43" s="546">
        <f>USD!BK43</f>
        <v>0.683971</v>
      </c>
      <c r="L43" s="136">
        <v>3.29</v>
      </c>
    </row>
    <row r="44" spans="1:12">
      <c r="A44" s="138" t="s">
        <v>303</v>
      </c>
      <c r="B44" s="547" t="s">
        <v>303</v>
      </c>
      <c r="C44" s="136">
        <v>112.2</v>
      </c>
      <c r="D44" s="136">
        <f t="shared" si="0"/>
        <v>109.35139613079284</v>
      </c>
      <c r="E44" s="546">
        <f>USD!CN44</f>
        <v>1.0260500000000001</v>
      </c>
      <c r="F44" s="136">
        <v>87.03</v>
      </c>
      <c r="G44" s="136">
        <f t="shared" si="1"/>
        <v>17.125990062478476</v>
      </c>
      <c r="H44" s="546">
        <f>USD!X44</f>
        <v>5.0817500000000004</v>
      </c>
      <c r="I44" s="136">
        <v>88.31</v>
      </c>
      <c r="J44" s="136">
        <f t="shared" si="2"/>
        <v>55.731911139999994</v>
      </c>
      <c r="K44" s="546">
        <f>USD!BK44</f>
        <v>0.63109399999999993</v>
      </c>
      <c r="L44" s="136">
        <v>1.36</v>
      </c>
    </row>
    <row r="45" spans="1:12">
      <c r="A45" s="138" t="s">
        <v>302</v>
      </c>
      <c r="B45" s="547" t="s">
        <v>302</v>
      </c>
      <c r="C45" s="136">
        <v>114.5</v>
      </c>
      <c r="D45" s="136">
        <f t="shared" si="0"/>
        <v>112.85791730323788</v>
      </c>
      <c r="E45" s="546">
        <f>USD!CN45</f>
        <v>1.0145500000000001</v>
      </c>
      <c r="F45" s="136">
        <v>87.27</v>
      </c>
      <c r="G45" s="136">
        <f t="shared" si="1"/>
        <v>17.133769841659383</v>
      </c>
      <c r="H45" s="546">
        <f>USD!X45</f>
        <v>5.0934500000000007</v>
      </c>
      <c r="I45" s="136">
        <v>89.58</v>
      </c>
      <c r="J45" s="136">
        <f t="shared" si="2"/>
        <v>56.856336419999998</v>
      </c>
      <c r="K45" s="546">
        <f>USD!BK45</f>
        <v>0.63469900000000001</v>
      </c>
      <c r="L45" s="136">
        <v>1.87</v>
      </c>
    </row>
    <row r="46" spans="1:12">
      <c r="A46" s="138" t="s">
        <v>301</v>
      </c>
      <c r="B46" s="547" t="s">
        <v>301</v>
      </c>
      <c r="C46" s="136">
        <v>115.7</v>
      </c>
      <c r="D46" s="136">
        <f t="shared" si="0"/>
        <v>108.8224228743416</v>
      </c>
      <c r="E46" s="546">
        <f>USD!CN46</f>
        <v>1.0632000000000001</v>
      </c>
      <c r="F46" s="136">
        <v>88.4</v>
      </c>
      <c r="G46" s="136">
        <f t="shared" si="1"/>
        <v>14.951879979026776</v>
      </c>
      <c r="H46" s="546">
        <f>USD!X46</f>
        <v>5.9123000000000001</v>
      </c>
      <c r="I46" s="136">
        <v>89.960000000000008</v>
      </c>
      <c r="J46" s="136">
        <f t="shared" si="2"/>
        <v>64.044413160000005</v>
      </c>
      <c r="K46" s="546">
        <f>USD!BK46</f>
        <v>0.71192099999999991</v>
      </c>
      <c r="L46" s="136">
        <v>0.9</v>
      </c>
    </row>
    <row r="47" spans="1:12">
      <c r="A47" s="138" t="s">
        <v>300</v>
      </c>
      <c r="B47" s="547" t="s">
        <v>300</v>
      </c>
      <c r="C47" s="136">
        <v>114</v>
      </c>
      <c r="D47" s="136">
        <f t="shared" si="0"/>
        <v>92.345078979343853</v>
      </c>
      <c r="E47" s="546">
        <f>USD!CN47</f>
        <v>1.2345000000000002</v>
      </c>
      <c r="F47" s="136">
        <v>89.23</v>
      </c>
      <c r="G47" s="136">
        <f t="shared" si="1"/>
        <v>12.743319861184501</v>
      </c>
      <c r="H47" s="546">
        <f>USD!X47</f>
        <v>7.0021000000000004</v>
      </c>
      <c r="I47" s="136">
        <v>89.63</v>
      </c>
      <c r="J47" s="136">
        <f t="shared" si="2"/>
        <v>64.479732369999994</v>
      </c>
      <c r="K47" s="546">
        <f>USD!BK47</f>
        <v>0.71939900000000001</v>
      </c>
      <c r="L47" s="136">
        <v>0.11</v>
      </c>
    </row>
    <row r="48" spans="1:12">
      <c r="A48" s="138" t="s">
        <v>299</v>
      </c>
      <c r="B48" s="547" t="s">
        <v>299</v>
      </c>
      <c r="C48" s="136">
        <v>113.60000000000001</v>
      </c>
      <c r="D48" s="136">
        <f t="shared" si="0"/>
        <v>90.291300719310101</v>
      </c>
      <c r="E48" s="546">
        <f>USD!CN48</f>
        <v>1.2581500000000001</v>
      </c>
      <c r="F48" s="136">
        <v>89.17</v>
      </c>
      <c r="G48" s="136">
        <f t="shared" si="1"/>
        <v>13.206261755601961</v>
      </c>
      <c r="H48" s="546">
        <f>USD!X48</f>
        <v>6.7521000000000004</v>
      </c>
      <c r="I48" s="136">
        <v>90.04</v>
      </c>
      <c r="J48" s="136">
        <f t="shared" si="2"/>
        <v>67.81650728000001</v>
      </c>
      <c r="K48" s="546">
        <f>USD!BK48</f>
        <v>0.75318200000000002</v>
      </c>
      <c r="L48" s="136">
        <v>0.21</v>
      </c>
    </row>
    <row r="49" spans="1:12">
      <c r="A49" s="138" t="s">
        <v>298</v>
      </c>
      <c r="B49" s="547" t="s">
        <v>298</v>
      </c>
      <c r="C49" s="136">
        <v>114.60000000000001</v>
      </c>
      <c r="D49" s="136">
        <f t="shared" si="0"/>
        <v>98.678262367072804</v>
      </c>
      <c r="E49" s="546">
        <f>USD!CN49</f>
        <v>1.1613500000000001</v>
      </c>
      <c r="F49" s="136">
        <v>90</v>
      </c>
      <c r="G49" s="136">
        <f t="shared" si="1"/>
        <v>13.982645982708126</v>
      </c>
      <c r="H49" s="546">
        <f>USD!X49</f>
        <v>6.4365500000000004</v>
      </c>
      <c r="I49" s="136">
        <v>91.02</v>
      </c>
      <c r="J49" s="136">
        <f t="shared" si="2"/>
        <v>64.891434719999992</v>
      </c>
      <c r="K49" s="546">
        <f>USD!BK49</f>
        <v>0.71293600000000001</v>
      </c>
      <c r="L49" s="136">
        <v>0.19</v>
      </c>
    </row>
    <row r="50" spans="1:12">
      <c r="A50" s="138" t="s">
        <v>297</v>
      </c>
      <c r="B50" s="547" t="s">
        <v>297</v>
      </c>
      <c r="C50" s="136">
        <v>114.7</v>
      </c>
      <c r="D50" s="136">
        <f t="shared" si="0"/>
        <v>106.86667287803968</v>
      </c>
      <c r="E50" s="546">
        <f>USD!CN50</f>
        <v>1.0733000000000001</v>
      </c>
      <c r="F50" s="136">
        <v>90</v>
      </c>
      <c r="G50" s="136">
        <f t="shared" si="1"/>
        <v>15.511090429657203</v>
      </c>
      <c r="H50" s="546">
        <f>USD!X50</f>
        <v>5.8023000000000007</v>
      </c>
      <c r="I50" s="136">
        <v>90.22</v>
      </c>
      <c r="J50" s="136">
        <f t="shared" si="2"/>
        <v>61.722659699999994</v>
      </c>
      <c r="K50" s="546">
        <f>USD!BK50</f>
        <v>0.68413499999999994</v>
      </c>
      <c r="L50" s="136">
        <v>0.14000000000000001</v>
      </c>
    </row>
    <row r="51" spans="1:12">
      <c r="A51" s="138" t="s">
        <v>296</v>
      </c>
      <c r="B51" s="547" t="s">
        <v>296</v>
      </c>
      <c r="C51" s="136">
        <v>114.9</v>
      </c>
      <c r="D51" s="136">
        <f t="shared" si="0"/>
        <v>109.60080125912147</v>
      </c>
      <c r="E51" s="546">
        <f>USD!CN51</f>
        <v>1.0483500000000001</v>
      </c>
      <c r="F51" s="136">
        <v>90.5</v>
      </c>
      <c r="G51" s="136">
        <f t="shared" si="1"/>
        <v>15.666112726769144</v>
      </c>
      <c r="H51" s="546">
        <f>USD!X51</f>
        <v>5.7768000000000006</v>
      </c>
      <c r="I51" s="136">
        <v>90.460000000000008</v>
      </c>
      <c r="J51" s="136">
        <f t="shared" si="2"/>
        <v>63.049353560000007</v>
      </c>
      <c r="K51" s="546">
        <f>USD!BK51</f>
        <v>0.69698599999999999</v>
      </c>
      <c r="L51" s="136">
        <v>0.06</v>
      </c>
    </row>
    <row r="52" spans="1:12">
      <c r="A52" s="138" t="s">
        <v>295</v>
      </c>
      <c r="B52" s="547" t="s">
        <v>295</v>
      </c>
      <c r="C52" s="136">
        <v>115.4</v>
      </c>
      <c r="D52" s="136">
        <f t="shared" si="0"/>
        <v>113.74501010300133</v>
      </c>
      <c r="E52" s="546">
        <f>USD!CN52</f>
        <v>1.0145500000000001</v>
      </c>
      <c r="F52" s="136">
        <v>91.8</v>
      </c>
      <c r="G52" s="136">
        <f t="shared" si="1"/>
        <v>15.465741193119596</v>
      </c>
      <c r="H52" s="546">
        <f>USD!X52</f>
        <v>5.9357000000000006</v>
      </c>
      <c r="I52" s="136">
        <v>90.84</v>
      </c>
      <c r="J52" s="136">
        <f t="shared" si="2"/>
        <v>67.13475695999999</v>
      </c>
      <c r="K52" s="546">
        <f>USD!BK52</f>
        <v>0.73904399999999992</v>
      </c>
      <c r="L52" s="136">
        <v>0.16</v>
      </c>
    </row>
    <row r="53" spans="1:12">
      <c r="A53" s="138" t="s">
        <v>294</v>
      </c>
      <c r="B53" s="547" t="s">
        <v>294</v>
      </c>
      <c r="C53" s="136">
        <v>116.2</v>
      </c>
      <c r="D53" s="136">
        <f t="shared" si="0"/>
        <v>109.34926833858749</v>
      </c>
      <c r="E53" s="546">
        <f>USD!CN53</f>
        <v>1.0626500000000001</v>
      </c>
      <c r="F53" s="136">
        <v>92.33</v>
      </c>
      <c r="G53" s="136">
        <f t="shared" si="1"/>
        <v>14.197734943834909</v>
      </c>
      <c r="H53" s="546">
        <f>USD!X53</f>
        <v>6.5031500000000007</v>
      </c>
      <c r="I53" s="136">
        <v>91.91</v>
      </c>
      <c r="J53" s="136">
        <f t="shared" si="2"/>
        <v>75.034680629999997</v>
      </c>
      <c r="K53" s="546">
        <f>USD!BK53</f>
        <v>0.81639299999999992</v>
      </c>
      <c r="L53" s="136">
        <v>0.18</v>
      </c>
    </row>
    <row r="54" spans="1:12">
      <c r="A54" s="138" t="s">
        <v>293</v>
      </c>
      <c r="B54" s="547" t="s">
        <v>293</v>
      </c>
      <c r="C54" s="136">
        <v>116.80000000000001</v>
      </c>
      <c r="D54" s="136">
        <f t="shared" si="0"/>
        <v>113.85680167665838</v>
      </c>
      <c r="E54" s="546">
        <f>USD!CN54</f>
        <v>1.0258500000000002</v>
      </c>
      <c r="F54" s="136">
        <v>91.67</v>
      </c>
      <c r="G54" s="136">
        <f t="shared" si="1"/>
        <v>15.653495440729483</v>
      </c>
      <c r="H54" s="546">
        <f>USD!X54</f>
        <v>5.8562000000000003</v>
      </c>
      <c r="I54" s="136">
        <v>91.62</v>
      </c>
      <c r="J54" s="136">
        <f t="shared" si="2"/>
        <v>67.111008659999996</v>
      </c>
      <c r="K54" s="546">
        <f>USD!BK54</f>
        <v>0.73249299999999995</v>
      </c>
      <c r="L54" s="136">
        <v>0.16</v>
      </c>
    </row>
    <row r="55" spans="1:12">
      <c r="A55" s="138" t="s">
        <v>292</v>
      </c>
      <c r="B55" s="547" t="s">
        <v>292</v>
      </c>
      <c r="C55" s="136">
        <v>117.5</v>
      </c>
      <c r="D55" s="136">
        <f t="shared" si="0"/>
        <v>118.25089317163992</v>
      </c>
      <c r="E55" s="546">
        <f>USD!CN55</f>
        <v>0.99365000000000003</v>
      </c>
      <c r="F55" s="136">
        <v>92.570000000000007</v>
      </c>
      <c r="G55" s="136">
        <f t="shared" si="1"/>
        <v>15.926021505376342</v>
      </c>
      <c r="H55" s="546">
        <f>USD!X55</f>
        <v>5.8125000000000009</v>
      </c>
      <c r="I55" s="136">
        <v>91.99</v>
      </c>
      <c r="J55" s="136">
        <f t="shared" si="2"/>
        <v>68.569897940000004</v>
      </c>
      <c r="K55" s="546">
        <f>USD!BK55</f>
        <v>0.74540600000000001</v>
      </c>
      <c r="L55" s="136">
        <v>0.12</v>
      </c>
    </row>
    <row r="56" spans="1:12">
      <c r="A56" s="138" t="s">
        <v>291</v>
      </c>
      <c r="B56" s="547" t="s">
        <v>291</v>
      </c>
      <c r="C56" s="136">
        <v>118.4</v>
      </c>
      <c r="D56" s="136">
        <f t="shared" si="0"/>
        <v>121.71678231817013</v>
      </c>
      <c r="E56" s="546">
        <f>USD!CN56</f>
        <v>0.97275000000000011</v>
      </c>
      <c r="F56" s="136">
        <v>93.070000000000007</v>
      </c>
      <c r="G56" s="136">
        <f t="shared" si="1"/>
        <v>16.824693812988656</v>
      </c>
      <c r="H56" s="546">
        <f>USD!X56</f>
        <v>5.5317500000000006</v>
      </c>
      <c r="I56" s="136">
        <v>92.53</v>
      </c>
      <c r="J56" s="136">
        <f t="shared" si="2"/>
        <v>65.203300159999998</v>
      </c>
      <c r="K56" s="546">
        <f>USD!BK56</f>
        <v>0.70467199999999997</v>
      </c>
      <c r="L56" s="136">
        <v>0.09</v>
      </c>
    </row>
    <row r="57" spans="1:12">
      <c r="A57" s="138" t="s">
        <v>290</v>
      </c>
      <c r="B57" s="547" t="s">
        <v>290</v>
      </c>
      <c r="C57" s="136">
        <v>120.10000000000001</v>
      </c>
      <c r="D57" s="136">
        <f t="shared" si="0"/>
        <v>124.44306289503679</v>
      </c>
      <c r="E57" s="546">
        <f>USD!CN57</f>
        <v>0.96510000000000007</v>
      </c>
      <c r="F57" s="136">
        <v>93.67</v>
      </c>
      <c r="G57" s="136">
        <f t="shared" si="1"/>
        <v>17.45799513554315</v>
      </c>
      <c r="H57" s="546">
        <f>USD!X57</f>
        <v>5.3654500000000001</v>
      </c>
      <c r="I57" s="136">
        <v>93.850000000000009</v>
      </c>
      <c r="J57" s="136">
        <f t="shared" si="2"/>
        <v>64.730878950000005</v>
      </c>
      <c r="K57" s="546">
        <f>USD!BK57</f>
        <v>0.68972699999999998</v>
      </c>
      <c r="L57" s="136">
        <v>0.03</v>
      </c>
    </row>
    <row r="58" spans="1:12">
      <c r="A58" s="138" t="s">
        <v>289</v>
      </c>
      <c r="B58" s="547" t="s">
        <v>289</v>
      </c>
      <c r="C58" s="136">
        <v>120.30000000000001</v>
      </c>
      <c r="D58" s="136">
        <f t="shared" si="0"/>
        <v>115.44551605009356</v>
      </c>
      <c r="E58" s="546">
        <f>USD!CN58</f>
        <v>1.0420500000000001</v>
      </c>
      <c r="F58" s="136">
        <v>93.03</v>
      </c>
      <c r="G58" s="136">
        <f t="shared" si="1"/>
        <v>15.845682166581501</v>
      </c>
      <c r="H58" s="546">
        <f>USD!X58</f>
        <v>5.8710000000000004</v>
      </c>
      <c r="I58" s="136">
        <v>94.25</v>
      </c>
      <c r="J58" s="136">
        <f t="shared" si="2"/>
        <v>70.246692749999994</v>
      </c>
      <c r="K58" s="546">
        <f>USD!BK58</f>
        <v>0.74532299999999996</v>
      </c>
      <c r="L58" s="136">
        <v>0.02</v>
      </c>
    </row>
    <row r="59" spans="1:12">
      <c r="A59" s="138" t="s">
        <v>288</v>
      </c>
      <c r="B59" s="547" t="s">
        <v>288</v>
      </c>
      <c r="C59" s="136">
        <v>120.60000000000001</v>
      </c>
      <c r="D59" s="136">
        <f t="shared" si="0"/>
        <v>118.43849742204763</v>
      </c>
      <c r="E59" s="546">
        <f>USD!CN59</f>
        <v>1.0182500000000001</v>
      </c>
      <c r="F59" s="136">
        <v>93.33</v>
      </c>
      <c r="G59" s="136">
        <f t="shared" si="1"/>
        <v>15.638535845642139</v>
      </c>
      <c r="H59" s="546">
        <f>USD!X59</f>
        <v>5.9679500000000001</v>
      </c>
      <c r="I59" s="136">
        <v>94.3</v>
      </c>
      <c r="J59" s="136">
        <f t="shared" si="2"/>
        <v>72.641836099999992</v>
      </c>
      <c r="K59" s="546">
        <f>USD!BK59</f>
        <v>0.77032699999999998</v>
      </c>
      <c r="L59" s="136">
        <v>0.02</v>
      </c>
    </row>
    <row r="60" spans="1:12">
      <c r="A60" s="138" t="s">
        <v>287</v>
      </c>
      <c r="B60" s="547" t="s">
        <v>287</v>
      </c>
      <c r="C60" s="136">
        <v>121.2</v>
      </c>
      <c r="D60" s="136">
        <f t="shared" si="0"/>
        <v>121.26669668317574</v>
      </c>
      <c r="E60" s="546">
        <f>USD!CN60</f>
        <v>0.99945000000000006</v>
      </c>
      <c r="F60" s="136">
        <v>93.83</v>
      </c>
      <c r="G60" s="136">
        <f t="shared" si="1"/>
        <v>16.44971555298428</v>
      </c>
      <c r="H60" s="546">
        <f>USD!X60</f>
        <v>5.7040500000000005</v>
      </c>
      <c r="I60" s="136">
        <v>94.820000000000007</v>
      </c>
      <c r="J60" s="136">
        <f t="shared" si="2"/>
        <v>71.202234399999995</v>
      </c>
      <c r="K60" s="546">
        <f>USD!BK60</f>
        <v>0.75091999999999992</v>
      </c>
      <c r="L60" s="136">
        <v>7.0000000000000007E-2</v>
      </c>
    </row>
    <row r="61" spans="1:12">
      <c r="A61" s="138" t="s">
        <v>286</v>
      </c>
      <c r="B61" s="547" t="s">
        <v>286</v>
      </c>
      <c r="C61" s="136">
        <v>122</v>
      </c>
      <c r="D61" s="136">
        <f t="shared" si="0"/>
        <v>119.67237235764381</v>
      </c>
      <c r="E61" s="546">
        <f>USD!CN61</f>
        <v>1.0194500000000002</v>
      </c>
      <c r="F61" s="136">
        <v>94.03</v>
      </c>
      <c r="G61" s="136">
        <f t="shared" si="1"/>
        <v>15.818116057835459</v>
      </c>
      <c r="H61" s="546">
        <f>USD!X61</f>
        <v>5.9444500000000007</v>
      </c>
      <c r="I61" s="136">
        <v>95.92</v>
      </c>
      <c r="J61" s="136">
        <f t="shared" si="2"/>
        <v>75.584096720000005</v>
      </c>
      <c r="K61" s="546">
        <f>USD!BK61</f>
        <v>0.787991</v>
      </c>
      <c r="L61" s="136">
        <v>0.09</v>
      </c>
    </row>
    <row r="62" spans="1:12">
      <c r="A62" s="138" t="s">
        <v>285</v>
      </c>
      <c r="B62" s="547" t="s">
        <v>285</v>
      </c>
      <c r="C62" s="136">
        <v>121.80000000000001</v>
      </c>
      <c r="D62" s="136">
        <f t="shared" si="0"/>
        <v>123.78677778342396</v>
      </c>
      <c r="E62" s="546">
        <f>USD!CN62</f>
        <v>0.9839500000000001</v>
      </c>
      <c r="F62" s="136">
        <v>93.37</v>
      </c>
      <c r="G62" s="136">
        <f t="shared" si="1"/>
        <v>16.309740078256009</v>
      </c>
      <c r="H62" s="546">
        <f>USD!X62</f>
        <v>5.7248000000000001</v>
      </c>
      <c r="I62" s="136">
        <v>96.41</v>
      </c>
      <c r="J62" s="136">
        <f t="shared" si="2"/>
        <v>74.939782229999992</v>
      </c>
      <c r="K62" s="546">
        <f>USD!BK62</f>
        <v>0.77730299999999997</v>
      </c>
      <c r="L62" s="136">
        <v>0.1</v>
      </c>
    </row>
    <row r="63" spans="1:12">
      <c r="A63" s="138" t="s">
        <v>284</v>
      </c>
      <c r="B63" s="547" t="s">
        <v>284</v>
      </c>
      <c r="C63" s="136">
        <v>121.80000000000001</v>
      </c>
      <c r="D63" s="136">
        <f t="shared" si="0"/>
        <v>122.32600180777344</v>
      </c>
      <c r="E63" s="546">
        <f>USD!CN63</f>
        <v>0.99570000000000003</v>
      </c>
      <c r="F63" s="136">
        <v>94.47</v>
      </c>
      <c r="G63" s="136">
        <f t="shared" si="1"/>
        <v>16.974978662234399</v>
      </c>
      <c r="H63" s="546">
        <f>USD!X63</f>
        <v>5.5652500000000007</v>
      </c>
      <c r="I63" s="136">
        <v>96.98</v>
      </c>
      <c r="J63" s="136">
        <f t="shared" si="2"/>
        <v>73.558845099999999</v>
      </c>
      <c r="K63" s="546">
        <f>USD!BK63</f>
        <v>0.75849499999999992</v>
      </c>
      <c r="L63" s="136">
        <v>0.05</v>
      </c>
    </row>
    <row r="64" spans="1:12">
      <c r="A64" s="138" t="s">
        <v>283</v>
      </c>
      <c r="B64" s="547" t="s">
        <v>283</v>
      </c>
      <c r="C64" s="136">
        <v>122.30000000000001</v>
      </c>
      <c r="D64" s="136">
        <f t="shared" si="0"/>
        <v>120.37993995767508</v>
      </c>
      <c r="E64" s="546">
        <f>USD!CN64</f>
        <v>1.0159500000000001</v>
      </c>
      <c r="F64" s="136">
        <v>95</v>
      </c>
      <c r="G64" s="136">
        <f t="shared" si="1"/>
        <v>16.288041148735534</v>
      </c>
      <c r="H64" s="546">
        <f>USD!X64</f>
        <v>5.8325000000000005</v>
      </c>
      <c r="I64" s="136">
        <v>97.63</v>
      </c>
      <c r="J64" s="136">
        <f t="shared" si="2"/>
        <v>76.029948279999999</v>
      </c>
      <c r="K64" s="546">
        <f>USD!BK64</f>
        <v>0.778756</v>
      </c>
      <c r="L64" s="136">
        <v>7.0000000000000007E-2</v>
      </c>
    </row>
    <row r="65" spans="1:12">
      <c r="A65" s="138" t="s">
        <v>282</v>
      </c>
      <c r="B65" s="547" t="s">
        <v>282</v>
      </c>
      <c r="C65" s="136">
        <v>122.9</v>
      </c>
      <c r="D65" s="136">
        <f t="shared" si="0"/>
        <v>116.49841224702593</v>
      </c>
      <c r="E65" s="546">
        <f>USD!CN65</f>
        <v>1.0549500000000001</v>
      </c>
      <c r="F65" s="136">
        <v>95.87</v>
      </c>
      <c r="G65" s="136">
        <f t="shared" si="1"/>
        <v>15.700821316563079</v>
      </c>
      <c r="H65" s="546">
        <f>USD!X65</f>
        <v>6.1060500000000006</v>
      </c>
      <c r="I65" s="136">
        <v>98.56</v>
      </c>
      <c r="J65" s="136">
        <f t="shared" si="2"/>
        <v>75.824179200000003</v>
      </c>
      <c r="K65" s="546">
        <f>USD!BK65</f>
        <v>0.76932</v>
      </c>
      <c r="L65" s="136">
        <v>0.04</v>
      </c>
    </row>
    <row r="66" spans="1:12">
      <c r="A66" s="138" t="s">
        <v>281</v>
      </c>
      <c r="B66" s="547" t="s">
        <v>281</v>
      </c>
      <c r="C66" s="136">
        <v>123.2</v>
      </c>
      <c r="D66" s="136">
        <f t="shared" si="0"/>
        <v>119.85601712228816</v>
      </c>
      <c r="E66" s="546">
        <f>USD!CN66</f>
        <v>1.0279</v>
      </c>
      <c r="F66" s="136">
        <v>96.17</v>
      </c>
      <c r="G66" s="136">
        <f t="shared" si="1"/>
        <v>15.990356237269816</v>
      </c>
      <c r="H66" s="546">
        <f>USD!X66</f>
        <v>6.0142500000000005</v>
      </c>
      <c r="I66" s="136">
        <v>99.09</v>
      </c>
      <c r="J66" s="136">
        <f t="shared" si="2"/>
        <v>73.202043869999997</v>
      </c>
      <c r="K66" s="546">
        <f>USD!BK66</f>
        <v>0.73874299999999993</v>
      </c>
      <c r="L66" s="136">
        <v>0.02</v>
      </c>
    </row>
    <row r="67" spans="1:12">
      <c r="A67" s="138" t="s">
        <v>280</v>
      </c>
      <c r="B67" s="547" t="s">
        <v>280</v>
      </c>
      <c r="C67" s="136">
        <v>122.9</v>
      </c>
      <c r="D67" s="136">
        <f t="shared" si="0"/>
        <v>115.67058823529412</v>
      </c>
      <c r="E67" s="546">
        <f>USD!CN67</f>
        <v>1.0625</v>
      </c>
      <c r="F67" s="136">
        <v>96.63</v>
      </c>
      <c r="G67" s="136">
        <f t="shared" si="1"/>
        <v>15.927540651244053</v>
      </c>
      <c r="H67" s="546">
        <f>USD!X67</f>
        <v>6.0668500000000005</v>
      </c>
      <c r="I67" s="136">
        <v>98.490000000000009</v>
      </c>
      <c r="J67" s="136">
        <f t="shared" si="2"/>
        <v>71.475768840000001</v>
      </c>
      <c r="K67" s="546">
        <f>USD!BK67</f>
        <v>0.72571599999999992</v>
      </c>
      <c r="L67" s="136">
        <v>7.0000000000000007E-2</v>
      </c>
    </row>
    <row r="68" spans="1:12">
      <c r="A68" s="138" t="s">
        <v>279</v>
      </c>
      <c r="B68" s="547" t="s">
        <v>279</v>
      </c>
      <c r="C68" s="136">
        <v>124</v>
      </c>
      <c r="D68" s="136">
        <f t="shared" si="0"/>
        <v>112.34428086070216</v>
      </c>
      <c r="E68" s="546">
        <f>USD!CN68</f>
        <v>1.10375</v>
      </c>
      <c r="F68" s="136">
        <v>97</v>
      </c>
      <c r="G68" s="136">
        <f t="shared" si="1"/>
        <v>16.20163519596462</v>
      </c>
      <c r="H68" s="546">
        <f>USD!X68</f>
        <v>5.9870500000000009</v>
      </c>
      <c r="I68" s="136">
        <v>98.7</v>
      </c>
      <c r="J68" s="136">
        <f t="shared" si="2"/>
        <v>71.612574599999988</v>
      </c>
      <c r="K68" s="546">
        <f>USD!BK68</f>
        <v>0.72555799999999993</v>
      </c>
      <c r="L68" s="136">
        <v>0.05</v>
      </c>
    </row>
    <row r="69" spans="1:12">
      <c r="A69" s="138" t="s">
        <v>278</v>
      </c>
      <c r="B69" s="547" t="s">
        <v>278</v>
      </c>
      <c r="C69" s="136">
        <v>125.60000000000001</v>
      </c>
      <c r="D69" s="136">
        <f t="shared" si="0"/>
        <v>117.91766417875417</v>
      </c>
      <c r="E69" s="546">
        <f>USD!CN69</f>
        <v>1.06515</v>
      </c>
      <c r="F69" s="136">
        <v>97.67</v>
      </c>
      <c r="G69" s="136">
        <f t="shared" si="1"/>
        <v>15.916757655264572</v>
      </c>
      <c r="H69" s="546">
        <f>USD!X69</f>
        <v>6.1363000000000003</v>
      </c>
      <c r="I69" s="136">
        <v>99.53</v>
      </c>
      <c r="J69" s="136">
        <f t="shared" si="2"/>
        <v>72.694721399999992</v>
      </c>
      <c r="K69" s="546">
        <f>USD!BK69</f>
        <v>0.73037999999999992</v>
      </c>
      <c r="L69" s="136">
        <v>0.04</v>
      </c>
    </row>
    <row r="70" spans="1:12">
      <c r="A70" s="138" t="s">
        <v>277</v>
      </c>
      <c r="B70" s="547" t="s">
        <v>277</v>
      </c>
      <c r="C70" s="136">
        <v>125.7</v>
      </c>
      <c r="D70" s="136">
        <f t="shared" si="0"/>
        <v>112.47818889535144</v>
      </c>
      <c r="E70" s="546">
        <f>USD!CN70</f>
        <v>1.11755</v>
      </c>
      <c r="F70" s="136">
        <v>98.23</v>
      </c>
      <c r="G70" s="136">
        <f t="shared" si="1"/>
        <v>15.294071853956638</v>
      </c>
      <c r="H70" s="546">
        <f>USD!X70</f>
        <v>6.4227500000000006</v>
      </c>
      <c r="I70" s="136">
        <v>100</v>
      </c>
      <c r="J70" s="136">
        <f t="shared" si="2"/>
        <v>79.160899999999998</v>
      </c>
      <c r="K70" s="546">
        <f>USD!BK70</f>
        <v>0.79160900000000001</v>
      </c>
      <c r="L70" s="136">
        <v>0.02</v>
      </c>
    </row>
    <row r="71" spans="1:12">
      <c r="A71" s="138" t="s">
        <v>276</v>
      </c>
      <c r="B71" s="547" t="s">
        <v>276</v>
      </c>
      <c r="C71" s="136">
        <v>125.30000000000001</v>
      </c>
      <c r="D71" s="136">
        <f t="shared" si="0"/>
        <v>108.18044463630478</v>
      </c>
      <c r="E71" s="546">
        <f>USD!CN71</f>
        <v>1.15825</v>
      </c>
      <c r="F71" s="136">
        <v>98.600000000000009</v>
      </c>
      <c r="G71" s="136">
        <f t="shared" si="1"/>
        <v>13.150962647798281</v>
      </c>
      <c r="H71" s="546">
        <f>USD!X71</f>
        <v>7.4975500000000004</v>
      </c>
      <c r="I71" s="136">
        <v>99.38</v>
      </c>
      <c r="J71" s="136">
        <f t="shared" si="2"/>
        <v>82.128824559999984</v>
      </c>
      <c r="K71" s="546">
        <f>USD!BK71</f>
        <v>0.82641199999999992</v>
      </c>
      <c r="L71" s="136">
        <v>0.04</v>
      </c>
    </row>
    <row r="72" spans="1:12">
      <c r="A72" s="138" t="s">
        <v>275</v>
      </c>
      <c r="B72" s="547" t="s">
        <v>275</v>
      </c>
      <c r="C72" s="136">
        <v>125.30000000000001</v>
      </c>
      <c r="D72" s="136">
        <f t="shared" ref="D72:D79" si="3">C72/E72</f>
        <v>98.934070272404256</v>
      </c>
      <c r="E72" s="546">
        <f>USD!CN72</f>
        <v>1.2665000000000002</v>
      </c>
      <c r="F72" s="136">
        <v>98.9</v>
      </c>
      <c r="G72" s="136">
        <f t="shared" ref="G72:G79" si="4">F72/H72</f>
        <v>12.271841768932013</v>
      </c>
      <c r="H72" s="546">
        <f>USD!X72</f>
        <v>8.0591000000000008</v>
      </c>
      <c r="I72" s="136">
        <v>98.86</v>
      </c>
      <c r="J72" s="136">
        <f t="shared" ref="J72:J79" si="5">I72*K72</f>
        <v>92.048447140000007</v>
      </c>
      <c r="K72" s="546">
        <f>USD!BK72</f>
        <v>0.93109900000000001</v>
      </c>
      <c r="L72" s="136">
        <v>0.03</v>
      </c>
    </row>
    <row r="73" spans="1:12">
      <c r="A73" s="138" t="s">
        <v>274</v>
      </c>
      <c r="B73" s="547" t="s">
        <v>274</v>
      </c>
      <c r="C73" s="136">
        <v>126.80000000000001</v>
      </c>
      <c r="D73" s="136">
        <f t="shared" si="3"/>
        <v>101.56594176779207</v>
      </c>
      <c r="E73" s="546">
        <f>USD!CN73</f>
        <v>1.2484500000000001</v>
      </c>
      <c r="F73" s="136">
        <v>99.83</v>
      </c>
      <c r="G73" s="136">
        <f t="shared" si="4"/>
        <v>12.688910073085477</v>
      </c>
      <c r="H73" s="546">
        <f>USD!X73</f>
        <v>7.8675000000000006</v>
      </c>
      <c r="I73" s="136">
        <v>100.41</v>
      </c>
      <c r="J73" s="136">
        <f t="shared" si="5"/>
        <v>90.118477049999996</v>
      </c>
      <c r="K73" s="546">
        <f>USD!BK73</f>
        <v>0.897505</v>
      </c>
      <c r="L73" s="136">
        <v>0.01</v>
      </c>
    </row>
    <row r="74" spans="1:12">
      <c r="A74" s="138" t="s">
        <v>273</v>
      </c>
      <c r="B74" s="547" t="s">
        <v>273</v>
      </c>
      <c r="C74" s="136">
        <v>127.2</v>
      </c>
      <c r="D74" s="136">
        <f t="shared" si="3"/>
        <v>94.875811143432543</v>
      </c>
      <c r="E74" s="546">
        <f>USD!CN74</f>
        <v>1.3407</v>
      </c>
      <c r="F74" s="136">
        <v>100.2</v>
      </c>
      <c r="G74" s="136">
        <f t="shared" si="4"/>
        <v>11.746776084407971</v>
      </c>
      <c r="H74" s="546">
        <f>USD!X74</f>
        <v>8.5300000000000011</v>
      </c>
      <c r="I74" s="136">
        <v>100.73</v>
      </c>
      <c r="J74" s="136">
        <f t="shared" si="5"/>
        <v>90.239675610000006</v>
      </c>
      <c r="K74" s="546">
        <f>USD!BK74</f>
        <v>0.89585700000000001</v>
      </c>
      <c r="L74" s="136">
        <v>-0.01</v>
      </c>
    </row>
    <row r="75" spans="1:12">
      <c r="A75" s="138" t="s">
        <v>272</v>
      </c>
      <c r="B75" s="547" t="s">
        <v>272</v>
      </c>
      <c r="C75" s="136">
        <v>126.9</v>
      </c>
      <c r="D75" s="136">
        <f t="shared" si="3"/>
        <v>91.354114174645446</v>
      </c>
      <c r="E75" s="546">
        <f>USD!CN75</f>
        <v>1.3891000000000002</v>
      </c>
      <c r="F75" s="136">
        <v>101.07000000000001</v>
      </c>
      <c r="G75" s="136">
        <f t="shared" si="4"/>
        <v>11.418597163144605</v>
      </c>
      <c r="H75" s="546">
        <f>USD!X75</f>
        <v>8.8513500000000001</v>
      </c>
      <c r="I75" s="136">
        <v>100</v>
      </c>
      <c r="J75" s="136">
        <f t="shared" si="5"/>
        <v>92.055599999999998</v>
      </c>
      <c r="K75" s="546">
        <f>USD!BK75</f>
        <v>0.92055599999999993</v>
      </c>
      <c r="L75" s="136">
        <v>0.16</v>
      </c>
    </row>
    <row r="76" spans="1:12">
      <c r="A76" s="138" t="s">
        <v>271</v>
      </c>
      <c r="B76" s="547" t="s">
        <v>271</v>
      </c>
      <c r="C76" s="136">
        <v>127.30000000000001</v>
      </c>
      <c r="D76" s="136">
        <f t="shared" si="3"/>
        <v>98.418957052843169</v>
      </c>
      <c r="E76" s="546">
        <f>USD!CN76</f>
        <v>1.2934500000000002</v>
      </c>
      <c r="F76" s="136">
        <v>102.03</v>
      </c>
      <c r="G76" s="136">
        <f t="shared" si="4"/>
        <v>12.335499471059393</v>
      </c>
      <c r="H76" s="546">
        <f>USD!X76</f>
        <v>8.2712500000000002</v>
      </c>
      <c r="I76" s="136">
        <v>99.44</v>
      </c>
      <c r="J76" s="136">
        <f t="shared" si="5"/>
        <v>87.262478160000001</v>
      </c>
      <c r="K76" s="546">
        <f>USD!BK76</f>
        <v>0.87753899999999996</v>
      </c>
      <c r="L76" s="136">
        <v>0.21</v>
      </c>
    </row>
    <row r="77" spans="1:12">
      <c r="A77" s="138" t="s">
        <v>270</v>
      </c>
      <c r="B77" s="547" t="s">
        <v>270</v>
      </c>
      <c r="C77" s="136">
        <v>128.70000000000002</v>
      </c>
      <c r="D77" s="136">
        <f t="shared" si="3"/>
        <v>99.099099099099092</v>
      </c>
      <c r="E77" s="546">
        <f>USD!CN77</f>
        <v>1.2987000000000002</v>
      </c>
      <c r="F77" s="136">
        <v>103.3</v>
      </c>
      <c r="G77" s="136">
        <f t="shared" si="4"/>
        <v>12.344720032982988</v>
      </c>
      <c r="H77" s="546">
        <f>USD!X77</f>
        <v>8.3679500000000004</v>
      </c>
      <c r="I77" s="136">
        <v>100.41</v>
      </c>
      <c r="J77" s="136">
        <f t="shared" si="5"/>
        <v>90.382153709999997</v>
      </c>
      <c r="K77" s="546">
        <f>USD!BK77</f>
        <v>0.90013100000000001</v>
      </c>
      <c r="L77" s="136">
        <v>0.26</v>
      </c>
    </row>
    <row r="78" spans="1:12">
      <c r="A78" s="138" t="s">
        <v>269</v>
      </c>
      <c r="B78" s="547" t="s">
        <v>269</v>
      </c>
      <c r="C78" s="136">
        <v>128.80000000000001</v>
      </c>
      <c r="D78" s="136">
        <f t="shared" si="3"/>
        <v>98.002663115845536</v>
      </c>
      <c r="E78" s="546">
        <f>USD!CN78</f>
        <v>1.3142500000000001</v>
      </c>
      <c r="F78" s="136">
        <v>104.2</v>
      </c>
      <c r="G78" s="136">
        <f t="shared" si="4"/>
        <v>13.037548640566543</v>
      </c>
      <c r="H78" s="546">
        <f>USD!X78</f>
        <v>7.9923000000000011</v>
      </c>
      <c r="I78" s="136">
        <v>100.74000000000001</v>
      </c>
      <c r="J78" s="136">
        <f t="shared" si="5"/>
        <v>89.642280119999995</v>
      </c>
      <c r="K78" s="546">
        <f>USD!BK78</f>
        <v>0.88983799999999991</v>
      </c>
      <c r="L78" s="136">
        <v>0.28000000000000003</v>
      </c>
    </row>
    <row r="79" spans="1:12" s="137" customFormat="1">
      <c r="A79" s="140" t="s">
        <v>268</v>
      </c>
      <c r="B79" s="547" t="s">
        <v>268</v>
      </c>
      <c r="C79" s="137">
        <v>128.70000000000002</v>
      </c>
      <c r="D79" s="137">
        <f t="shared" si="3"/>
        <v>95.969576078445996</v>
      </c>
      <c r="E79" s="546">
        <f>USD!CN79</f>
        <v>1.3410500000000001</v>
      </c>
      <c r="F79" s="137">
        <v>104.67</v>
      </c>
      <c r="G79" s="137">
        <f t="shared" si="4"/>
        <v>12.160042752419344</v>
      </c>
      <c r="H79" s="546">
        <f>USD!X79</f>
        <v>8.6077000000000012</v>
      </c>
      <c r="I79" s="137">
        <v>100.68</v>
      </c>
      <c r="J79" s="137">
        <f t="shared" si="5"/>
        <v>95.453902560000003</v>
      </c>
      <c r="K79" s="546">
        <f>USD!BK79</f>
        <v>0.94809199999999993</v>
      </c>
      <c r="L79" s="137">
        <v>0.5</v>
      </c>
    </row>
  </sheetData>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H333"/>
  <sheetViews>
    <sheetView tabSelected="1" topLeftCell="AM1" zoomScale="80" zoomScaleNormal="80" zoomScalePageLayoutView="80" workbookViewId="0">
      <selection activeCell="AZ32" sqref="AZ32"/>
    </sheetView>
  </sheetViews>
  <sheetFormatPr defaultColWidth="8.85546875" defaultRowHeight="15"/>
  <cols>
    <col min="1" max="1" width="14.42578125" customWidth="1"/>
    <col min="2" max="2" width="27.7109375" bestFit="1" customWidth="1"/>
    <col min="3" max="8" width="13.140625" customWidth="1"/>
    <col min="9" max="9" width="14.42578125" bestFit="1" customWidth="1"/>
    <col min="10" max="10" width="14.28515625" bestFit="1" customWidth="1"/>
    <col min="11" max="11" width="27.7109375" bestFit="1" customWidth="1"/>
    <col min="12" max="12" width="13.42578125" customWidth="1"/>
    <col min="13" max="13" width="13" bestFit="1" customWidth="1"/>
    <col min="14" max="14" width="14.28515625" hidden="1" customWidth="1"/>
    <col min="15" max="15" width="11.28515625" customWidth="1"/>
    <col min="16" max="16" width="26" bestFit="1" customWidth="1"/>
    <col min="17" max="17" width="15.42578125" customWidth="1"/>
    <col min="18" max="19" width="13.85546875" customWidth="1"/>
    <col min="20" max="20" width="15.140625" customWidth="1"/>
    <col min="21" max="22" width="13.85546875" customWidth="1"/>
    <col min="23" max="23" width="74.42578125" bestFit="1" customWidth="1"/>
    <col min="24" max="27" width="13.85546875" customWidth="1"/>
    <col min="28" max="28" width="15.140625" customWidth="1"/>
    <col min="29" max="29" width="26.42578125" customWidth="1"/>
    <col min="30" max="32" width="13.140625" customWidth="1"/>
    <col min="33" max="33" width="10.140625" customWidth="1"/>
    <col min="34" max="34" width="15.85546875" bestFit="1" customWidth="1"/>
    <col min="35" max="35" width="12.42578125" bestFit="1" customWidth="1"/>
    <col min="36" max="36" width="10.140625" customWidth="1"/>
    <col min="37" max="37" width="15.85546875" bestFit="1" customWidth="1"/>
    <col min="38" max="38" width="11.42578125" bestFit="1" customWidth="1"/>
    <col min="39" max="40" width="9" customWidth="1"/>
    <col min="41" max="53" width="11.85546875" customWidth="1"/>
    <col min="54" max="54" width="9" customWidth="1"/>
    <col min="55" max="55" width="25.28515625" bestFit="1" customWidth="1"/>
    <col min="56" max="56" width="13" bestFit="1" customWidth="1"/>
    <col min="57" max="57" width="11.42578125" bestFit="1" customWidth="1"/>
    <col min="58" max="58" width="10.28515625" bestFit="1" customWidth="1"/>
    <col min="59" max="59" width="13" bestFit="1" customWidth="1"/>
    <col min="60" max="60" width="11.42578125" bestFit="1" customWidth="1"/>
    <col min="61" max="61" width="26.42578125" customWidth="1"/>
    <col min="62" max="62" width="13" bestFit="1" customWidth="1"/>
    <col min="63" max="63" width="11.42578125" bestFit="1" customWidth="1"/>
    <col min="64" max="64" width="9.140625" bestFit="1" customWidth="1"/>
    <col min="65" max="65" width="9" customWidth="1"/>
    <col min="66" max="66" width="10.140625" bestFit="1" customWidth="1"/>
    <col min="67" max="68" width="9" customWidth="1"/>
    <col min="69" max="69" width="9.7109375" bestFit="1" customWidth="1"/>
    <col min="70" max="70" width="12.42578125" bestFit="1" customWidth="1"/>
    <col min="71" max="72" width="9" customWidth="1"/>
    <col min="73" max="73" width="6.28515625" bestFit="1" customWidth="1"/>
    <col min="74" max="74" width="14.42578125" bestFit="1" customWidth="1"/>
    <col min="75" max="75" width="14.28515625" bestFit="1" customWidth="1"/>
    <col min="76" max="76" width="13" bestFit="1" customWidth="1"/>
    <col min="77" max="77" width="11.140625" bestFit="1" customWidth="1"/>
    <col min="78" max="79" width="13" bestFit="1" customWidth="1"/>
    <col min="82" max="82" width="14.85546875" bestFit="1" customWidth="1"/>
    <col min="83" max="83" width="9.7109375" bestFit="1" customWidth="1"/>
    <col min="84" max="84" width="11" bestFit="1" customWidth="1"/>
    <col min="85" max="85" width="9.7109375" bestFit="1" customWidth="1"/>
    <col min="86" max="86" width="11" bestFit="1" customWidth="1"/>
  </cols>
  <sheetData>
    <row r="1" spans="1:86" ht="21.75" thickBot="1">
      <c r="B1" s="984" t="s">
        <v>628</v>
      </c>
      <c r="C1" s="984"/>
      <c r="D1" s="984"/>
      <c r="E1" s="984"/>
      <c r="F1" s="6"/>
      <c r="G1" s="6"/>
      <c r="H1" s="6"/>
      <c r="I1" s="6"/>
      <c r="J1" s="6"/>
      <c r="K1" s="984" t="s">
        <v>78</v>
      </c>
      <c r="L1" s="984"/>
      <c r="M1" s="984"/>
      <c r="N1" s="984"/>
      <c r="W1" s="881" t="s">
        <v>801</v>
      </c>
      <c r="X1" s="912"/>
      <c r="AB1" s="31"/>
      <c r="AC1" s="31"/>
      <c r="AD1" s="31"/>
      <c r="AE1" s="31"/>
      <c r="AF1" s="31"/>
      <c r="BE1" s="6"/>
      <c r="BF1" s="6"/>
      <c r="BG1" s="6"/>
      <c r="BH1" s="6"/>
      <c r="BI1" s="6"/>
      <c r="BJ1" s="6"/>
      <c r="BK1" s="6"/>
      <c r="BL1" s="6"/>
      <c r="BM1" s="6"/>
      <c r="BN1" s="6"/>
    </row>
    <row r="2" spans="1:86" ht="15.75" customHeight="1" thickBot="1">
      <c r="A2" s="876"/>
      <c r="B2" s="988" t="s">
        <v>523</v>
      </c>
      <c r="C2" s="989"/>
      <c r="D2" s="989"/>
      <c r="E2" s="990"/>
      <c r="F2" s="873"/>
      <c r="G2" s="6"/>
      <c r="H2" s="6"/>
      <c r="I2" s="6"/>
      <c r="J2" s="6"/>
      <c r="K2" s="985" t="s">
        <v>857</v>
      </c>
      <c r="L2" s="986"/>
      <c r="M2" s="986"/>
      <c r="N2" s="987"/>
      <c r="O2" s="884"/>
      <c r="P2" s="971" t="s">
        <v>858</v>
      </c>
      <c r="Q2" s="972"/>
      <c r="R2" s="972"/>
      <c r="S2" s="973"/>
      <c r="W2" s="912"/>
      <c r="X2" s="912"/>
      <c r="AB2" s="31"/>
      <c r="AC2" s="31"/>
      <c r="AD2" s="31"/>
      <c r="AE2" s="31"/>
      <c r="AF2" s="31"/>
      <c r="AO2" s="761"/>
      <c r="AP2" s="761"/>
      <c r="AQ2" s="761"/>
      <c r="AR2" s="761"/>
      <c r="AS2" s="761"/>
      <c r="AT2" s="761"/>
      <c r="AU2" s="761"/>
      <c r="AV2" s="761"/>
      <c r="AW2" s="761"/>
      <c r="AX2" s="761"/>
      <c r="AY2" s="761"/>
      <c r="AZ2" s="761"/>
      <c r="BA2" s="761"/>
      <c r="BE2" s="6"/>
      <c r="BF2" s="6"/>
      <c r="BG2" s="6"/>
      <c r="BH2" s="6"/>
      <c r="BI2" s="6"/>
      <c r="BJ2" s="6"/>
      <c r="BK2" s="6"/>
      <c r="BL2" s="6"/>
      <c r="BM2" s="6"/>
      <c r="BN2" s="6"/>
    </row>
    <row r="3" spans="1:86" ht="15.75" customHeight="1" thickBot="1">
      <c r="A3" s="876"/>
      <c r="B3" s="487" t="s">
        <v>487</v>
      </c>
      <c r="C3" s="820" t="str">
        <f>C29</f>
        <v>NBIM</v>
      </c>
      <c r="D3" s="820" t="str">
        <f>D29</f>
        <v>APG</v>
      </c>
      <c r="E3" s="819" t="str">
        <f>E29</f>
        <v>CPPIB</v>
      </c>
      <c r="F3" s="873"/>
      <c r="G3" s="6"/>
      <c r="H3" s="261"/>
      <c r="I3" s="6"/>
      <c r="J3" s="6"/>
      <c r="K3" s="479" t="s">
        <v>487</v>
      </c>
      <c r="L3" s="323" t="str">
        <f>C3</f>
        <v>NBIM</v>
      </c>
      <c r="M3" s="323" t="str">
        <f>D3</f>
        <v>APG</v>
      </c>
      <c r="N3" s="492" t="str">
        <f>E3</f>
        <v>CPPIB</v>
      </c>
      <c r="O3" s="884"/>
      <c r="P3" s="479"/>
      <c r="Q3" s="878" t="str">
        <f>C39</f>
        <v>NBIM</v>
      </c>
      <c r="R3" s="878" t="str">
        <f>D39</f>
        <v>APG</v>
      </c>
      <c r="S3" s="481" t="str">
        <f>E39</f>
        <v>CPPIB</v>
      </c>
      <c r="V3" s="6"/>
      <c r="AA3" s="6"/>
      <c r="AB3" s="31"/>
      <c r="AC3" s="31"/>
      <c r="AD3" s="31"/>
      <c r="AE3" s="31"/>
      <c r="AF3" s="31"/>
      <c r="AO3" s="157"/>
      <c r="AP3" s="157"/>
      <c r="AQ3" s="157"/>
      <c r="AR3" s="157"/>
      <c r="AS3" s="157"/>
      <c r="AT3" s="157"/>
      <c r="AU3" s="157"/>
      <c r="AV3" s="157"/>
      <c r="AW3" s="157"/>
      <c r="AX3" s="157"/>
      <c r="AY3" s="157"/>
      <c r="AZ3" s="157"/>
      <c r="BA3" s="157"/>
      <c r="BB3" s="6"/>
      <c r="BI3" s="971" t="s">
        <v>875</v>
      </c>
      <c r="BJ3" s="972"/>
      <c r="BK3" s="972"/>
      <c r="BL3" s="972"/>
      <c r="BM3" s="972"/>
      <c r="BN3" s="972"/>
      <c r="BO3" s="972"/>
      <c r="BP3" s="972"/>
      <c r="BQ3" s="972"/>
      <c r="BR3" s="973"/>
      <c r="BU3" s="971" t="s">
        <v>860</v>
      </c>
      <c r="BV3" s="972"/>
      <c r="BW3" s="972"/>
      <c r="BX3" s="972"/>
      <c r="BY3" s="972"/>
      <c r="BZ3" s="972"/>
      <c r="CA3" s="973"/>
      <c r="CD3" s="976" t="s">
        <v>854</v>
      </c>
      <c r="CE3" s="977"/>
      <c r="CF3" s="977"/>
      <c r="CG3" s="977"/>
      <c r="CH3" s="978"/>
    </row>
    <row r="4" spans="1:86" ht="15.75" customHeight="1" thickBot="1">
      <c r="A4" s="876"/>
      <c r="B4" s="486" t="s">
        <v>494</v>
      </c>
      <c r="C4" s="540">
        <f>Risk!I3</f>
        <v>5.9753132568700192E-2</v>
      </c>
      <c r="D4" s="541">
        <f>Risk!V3</f>
        <v>6.5502880023334278E-2</v>
      </c>
      <c r="E4" s="542">
        <f>Risk!AI3</f>
        <v>7.6956633447125375E-2</v>
      </c>
      <c r="F4" s="873"/>
      <c r="G4" s="6"/>
      <c r="H4" s="261"/>
      <c r="I4" s="6"/>
      <c r="J4" s="874"/>
      <c r="K4" s="482" t="s">
        <v>499</v>
      </c>
      <c r="L4" s="218">
        <f>AVERAGE(Risk!C15:C78)</f>
        <v>1.4693652852697072E-2</v>
      </c>
      <c r="M4" s="218">
        <f>AVERAGE(Risk!P15:P78)</f>
        <v>1.8690244971533709E-2</v>
      </c>
      <c r="N4" s="277">
        <f>AVERAGE(Risk!AC15:AC78)</f>
        <v>1.7158295236089534E-2</v>
      </c>
      <c r="O4" s="884"/>
      <c r="P4" s="985" t="s">
        <v>766</v>
      </c>
      <c r="Q4" s="986"/>
      <c r="R4" s="986"/>
      <c r="S4" s="987"/>
      <c r="V4" s="6"/>
      <c r="W4" s="971" t="s">
        <v>861</v>
      </c>
      <c r="X4" s="972"/>
      <c r="Y4" s="972"/>
      <c r="Z4" s="973"/>
      <c r="AA4" s="872"/>
      <c r="AB4" s="31"/>
      <c r="AC4" s="971" t="s">
        <v>883</v>
      </c>
      <c r="AD4" s="972"/>
      <c r="AE4" s="972"/>
      <c r="AF4" s="973"/>
      <c r="AO4" s="967" t="s">
        <v>866</v>
      </c>
      <c r="AP4" s="968"/>
      <c r="AQ4" s="968"/>
      <c r="AR4" s="968"/>
      <c r="AS4" s="968"/>
      <c r="AT4" s="968"/>
      <c r="AU4" s="968"/>
      <c r="AV4" s="968"/>
      <c r="AW4" s="968"/>
      <c r="AX4" s="968"/>
      <c r="AY4" s="968"/>
      <c r="AZ4" s="968"/>
      <c r="BA4" s="969"/>
      <c r="BB4" s="872"/>
      <c r="BC4" s="967" t="s">
        <v>867</v>
      </c>
      <c r="BD4" s="968"/>
      <c r="BE4" s="968"/>
      <c r="BF4" s="969"/>
      <c r="BI4" s="479"/>
      <c r="BJ4" s="965" t="str">
        <f>BD28</f>
        <v>NBIM</v>
      </c>
      <c r="BK4" s="974"/>
      <c r="BL4" s="974"/>
      <c r="BM4" s="965" t="str">
        <f>BG28</f>
        <v>APG</v>
      </c>
      <c r="BN4" s="974"/>
      <c r="BO4" s="974"/>
      <c r="BP4" s="965" t="str">
        <f>BJ28</f>
        <v>CPPIB</v>
      </c>
      <c r="BQ4" s="974"/>
      <c r="BR4" s="970"/>
      <c r="BU4" s="479"/>
      <c r="BV4" s="965" t="str">
        <f>CD4</f>
        <v>NBIM</v>
      </c>
      <c r="BW4" s="974"/>
      <c r="BX4" s="965" t="str">
        <f>CD15</f>
        <v>APG</v>
      </c>
      <c r="BY4" s="974"/>
      <c r="BZ4" s="965" t="str">
        <f>CD26</f>
        <v>CPPIB</v>
      </c>
      <c r="CA4" s="970"/>
      <c r="CD4" s="979" t="str">
        <f>BJ4</f>
        <v>NBIM</v>
      </c>
      <c r="CE4" s="980"/>
      <c r="CF4" s="980"/>
      <c r="CG4" s="980"/>
      <c r="CH4" s="981"/>
    </row>
    <row r="5" spans="1:86" ht="15.75" customHeight="1" thickBot="1">
      <c r="A5" s="876"/>
      <c r="B5" s="487" t="s">
        <v>845</v>
      </c>
      <c r="C5" s="217">
        <f>Risk!I9</f>
        <v>4.6967021411431067E-2</v>
      </c>
      <c r="D5" s="217">
        <f>Risk!V9</f>
        <v>5.9659980588863036E-2</v>
      </c>
      <c r="E5" s="222">
        <f>Risk!AI9</f>
        <v>0.10327777615878737</v>
      </c>
      <c r="F5" s="873"/>
      <c r="G5" s="6"/>
      <c r="H5" s="261"/>
      <c r="I5" s="6"/>
      <c r="J5" s="874"/>
      <c r="K5" s="479" t="str">
        <f>B5</f>
        <v xml:space="preserve">Sub-period 1: 2001-2005 </v>
      </c>
      <c r="L5" s="217">
        <f>Risk!I18</f>
        <v>1.8754323550274381E-2</v>
      </c>
      <c r="M5" s="217">
        <f>Risk!V18</f>
        <v>2.5836435982377438E-2</v>
      </c>
      <c r="N5" s="222">
        <f>Risk!AI18</f>
        <v>2.0017447683076582E-2</v>
      </c>
      <c r="O5" s="884"/>
      <c r="P5" s="479" t="str">
        <f>B5</f>
        <v xml:space="preserve">Sub-period 1: 2001-2005 </v>
      </c>
      <c r="Q5" s="661">
        <f>AVERAGE(Returns!E12:E35)</f>
        <v>7.3208492058517887E-3</v>
      </c>
      <c r="R5" s="640">
        <f>AVERAGE(Returns!N12:N35)</f>
        <v>1.236519410053828E-2</v>
      </c>
      <c r="S5" s="641">
        <f>AVERAGE(Returns!V12:V35)</f>
        <v>1.3017784226978979E-3</v>
      </c>
      <c r="V5" s="6"/>
      <c r="W5" s="479"/>
      <c r="X5" s="323" t="str">
        <f>C3</f>
        <v>NBIM</v>
      </c>
      <c r="Y5" s="323" t="str">
        <f>D3</f>
        <v>APG</v>
      </c>
      <c r="Z5" s="492" t="str">
        <f>E3</f>
        <v>CPPIB</v>
      </c>
      <c r="AA5" s="872"/>
      <c r="AB5" s="31"/>
      <c r="AC5" s="479" t="s">
        <v>487</v>
      </c>
      <c r="AD5" s="880" t="str">
        <f>X5</f>
        <v>NBIM</v>
      </c>
      <c r="AE5" s="880" t="str">
        <f t="shared" ref="AE5:AF5" si="0">Y5</f>
        <v>APG</v>
      </c>
      <c r="AF5" s="879" t="str">
        <f t="shared" si="0"/>
        <v>CPPIB</v>
      </c>
      <c r="AO5" s="983" t="str">
        <f>Costs!D86</f>
        <v>Date</v>
      </c>
      <c r="AP5" s="998" t="str">
        <f>AD13</f>
        <v>NBIM</v>
      </c>
      <c r="AQ5" s="972"/>
      <c r="AR5" s="972"/>
      <c r="AS5" s="972"/>
      <c r="AT5" s="998" t="str">
        <f>AG13</f>
        <v>APG</v>
      </c>
      <c r="AU5" s="972"/>
      <c r="AV5" s="972"/>
      <c r="AW5" s="999"/>
      <c r="AX5" s="1000" t="str">
        <f>AJ13</f>
        <v>CPPIB</v>
      </c>
      <c r="AY5" s="1000"/>
      <c r="AZ5" s="1000"/>
      <c r="BA5" s="1001"/>
      <c r="BB5" s="872"/>
      <c r="BC5" s="747" t="s">
        <v>226</v>
      </c>
      <c r="BD5" s="771" t="str">
        <f>AP5</f>
        <v>NBIM</v>
      </c>
      <c r="BE5" s="771" t="str">
        <f>AT5</f>
        <v>APG</v>
      </c>
      <c r="BF5" s="772" t="str">
        <f>AX5</f>
        <v>CPPIB</v>
      </c>
      <c r="BI5" s="479"/>
      <c r="BJ5" s="868" t="s">
        <v>531</v>
      </c>
      <c r="BK5" s="868" t="s">
        <v>383</v>
      </c>
      <c r="BL5" s="868" t="s">
        <v>533</v>
      </c>
      <c r="BM5" s="868" t="str">
        <f t="shared" ref="BM5:BR5" si="1">BJ5</f>
        <v>Operating</v>
      </c>
      <c r="BN5" s="868" t="str">
        <f t="shared" si="1"/>
        <v>External</v>
      </c>
      <c r="BO5" s="868" t="str">
        <f t="shared" si="1"/>
        <v>Transaction</v>
      </c>
      <c r="BP5" s="868" t="str">
        <f t="shared" si="1"/>
        <v>Operating</v>
      </c>
      <c r="BQ5" s="868" t="str">
        <f t="shared" si="1"/>
        <v>External</v>
      </c>
      <c r="BR5" s="869" t="str">
        <f t="shared" si="1"/>
        <v>Transaction</v>
      </c>
      <c r="BU5" s="479"/>
      <c r="BV5" s="322" t="s">
        <v>225</v>
      </c>
      <c r="BW5" s="322" t="s">
        <v>458</v>
      </c>
      <c r="BX5" s="322" t="s">
        <v>225</v>
      </c>
      <c r="BY5" s="322" t="s">
        <v>458</v>
      </c>
      <c r="BZ5" s="322" t="s">
        <v>225</v>
      </c>
      <c r="CA5" s="495" t="s">
        <v>458</v>
      </c>
      <c r="CD5" s="750"/>
      <c r="CE5" s="975" t="s">
        <v>822</v>
      </c>
      <c r="CF5" s="975"/>
      <c r="CG5" s="975" t="s">
        <v>823</v>
      </c>
      <c r="CH5" s="982"/>
    </row>
    <row r="6" spans="1:86" ht="15.75" customHeight="1" thickBot="1">
      <c r="A6" s="876"/>
      <c r="B6" s="487" t="s">
        <v>846</v>
      </c>
      <c r="C6" s="216">
        <f>Risk!I7</f>
        <v>8.3527796526922646E-2</v>
      </c>
      <c r="D6" s="216">
        <f>Risk!V7</f>
        <v>8.8060423854042461E-2</v>
      </c>
      <c r="E6" s="223">
        <f>Risk!AI7</f>
        <v>8.5937988819586461E-2</v>
      </c>
      <c r="F6" s="873"/>
      <c r="G6" s="6"/>
      <c r="H6" s="261"/>
      <c r="I6" s="6"/>
      <c r="J6" s="874"/>
      <c r="K6" s="479" t="str">
        <f>B6</f>
        <v xml:space="preserve">Sub-period 2: 2006-2010 </v>
      </c>
      <c r="L6" s="216">
        <f>Risk!I16</f>
        <v>1.5327073619215875E-2</v>
      </c>
      <c r="M6" s="216">
        <f>Risk!V16</f>
        <v>2.0915906331160018E-2</v>
      </c>
      <c r="N6" s="223">
        <f>Risk!AI16</f>
        <v>1.9465685013387406E-2</v>
      </c>
      <c r="O6" s="884"/>
      <c r="P6" s="479" t="str">
        <f>B6</f>
        <v xml:space="preserve">Sub-period 2: 2006-2010 </v>
      </c>
      <c r="Q6" s="763">
        <f>AVERAGE(Returns!E36:E55)</f>
        <v>5.6420761778783962E-3</v>
      </c>
      <c r="R6" s="532">
        <f>AVERAGE(Returns!N36:N55)</f>
        <v>1.1970034291259179E-2</v>
      </c>
      <c r="S6" s="533">
        <f>AVERAGE(Returns!V36:V55)</f>
        <v>8.6306501296456364E-3</v>
      </c>
      <c r="V6" s="6"/>
      <c r="W6" s="479" t="s">
        <v>519</v>
      </c>
      <c r="X6" s="798">
        <f>AVERAGE(Costs!L22:L78)</f>
        <v>0.218252677419951</v>
      </c>
      <c r="Y6" s="799" t="s">
        <v>800</v>
      </c>
      <c r="Z6" s="800">
        <f>AVERAGE(Costs!BR22:BR78)</f>
        <v>0.43573429738538677</v>
      </c>
      <c r="AA6" s="872"/>
      <c r="AB6" s="31"/>
      <c r="AC6" s="482" t="s">
        <v>499</v>
      </c>
      <c r="AD6" s="307" t="s">
        <v>800</v>
      </c>
      <c r="AE6" s="307" t="s">
        <v>800</v>
      </c>
      <c r="AF6" s="294">
        <f>AVERAGE(BF7:BF22)</f>
        <v>4.4361275858735907E-3</v>
      </c>
      <c r="AO6" s="983"/>
      <c r="AP6" s="1003" t="str">
        <f>Costs!E87</f>
        <v>Total cost change</v>
      </c>
      <c r="AQ6" s="1002" t="str">
        <f>Costs!F87</f>
        <v>Operating cost change</v>
      </c>
      <c r="AR6" s="1002" t="str">
        <f>Costs!G87</f>
        <v>Transaction cost change</v>
      </c>
      <c r="AS6" s="1002" t="str">
        <f>Costs!H87</f>
        <v>External cost change</v>
      </c>
      <c r="AT6" s="1003" t="str">
        <f>Costs!I87</f>
        <v>Total cost change</v>
      </c>
      <c r="AU6" s="1002" t="s">
        <v>508</v>
      </c>
      <c r="AV6" s="1002" t="str">
        <f>Costs!K87</f>
        <v>Transaction cost change</v>
      </c>
      <c r="AW6" s="1002" t="str">
        <f>AS6</f>
        <v>External cost change</v>
      </c>
      <c r="AX6" s="1003" t="str">
        <f>AT6</f>
        <v>Total cost change</v>
      </c>
      <c r="AY6" s="1002" t="str">
        <f>AU6</f>
        <v>Operating cost change</v>
      </c>
      <c r="AZ6" s="1002" t="str">
        <f>Costs!O87</f>
        <v>Transaction cost change</v>
      </c>
      <c r="BA6" s="997" t="str">
        <f>Costs!P87</f>
        <v>External cost change</v>
      </c>
      <c r="BB6" s="872"/>
      <c r="BC6" s="479">
        <f t="shared" ref="BC6:BC22" si="2">AO30</f>
        <v>2000</v>
      </c>
      <c r="BD6" s="4" t="s">
        <v>800</v>
      </c>
      <c r="BE6" s="4" t="s">
        <v>800</v>
      </c>
      <c r="BF6" s="97" t="s">
        <v>800</v>
      </c>
      <c r="BI6" s="479">
        <v>2001</v>
      </c>
      <c r="BJ6" s="726">
        <f>Costs!K18</f>
        <v>23.522233191283306</v>
      </c>
      <c r="BK6" s="726">
        <f>Costs!D18</f>
        <v>15.626066541874813</v>
      </c>
      <c r="BL6" s="774" t="s">
        <v>800</v>
      </c>
      <c r="BM6" s="774" t="s">
        <v>800</v>
      </c>
      <c r="BN6" s="774" t="s">
        <v>800</v>
      </c>
      <c r="BO6" s="774" t="s">
        <v>800</v>
      </c>
      <c r="BP6" s="726">
        <f>Costs!BQ18</f>
        <v>4.9135497569844624</v>
      </c>
      <c r="BQ6" s="726">
        <f>Costs!BD18</f>
        <v>1.578793101977177</v>
      </c>
      <c r="BR6" s="825" t="s">
        <v>800</v>
      </c>
      <c r="BU6" s="479">
        <v>2000</v>
      </c>
      <c r="BV6" s="619" t="s">
        <v>800</v>
      </c>
      <c r="BW6" s="619" t="s">
        <v>800</v>
      </c>
      <c r="BX6" s="619" t="s">
        <v>800</v>
      </c>
      <c r="BY6" s="619" t="s">
        <v>800</v>
      </c>
      <c r="BZ6" s="619" t="s">
        <v>800</v>
      </c>
      <c r="CA6" s="767" t="s">
        <v>800</v>
      </c>
      <c r="CD6" s="750"/>
      <c r="CE6" s="749" t="s">
        <v>440</v>
      </c>
      <c r="CF6" s="748" t="s">
        <v>828</v>
      </c>
      <c r="CG6" s="749" t="str">
        <f>CE6</f>
        <v>Intercept</v>
      </c>
      <c r="CH6" s="754" t="str">
        <f>CF6</f>
        <v>Variable X</v>
      </c>
    </row>
    <row r="7" spans="1:86" ht="15.75" customHeight="1" thickBot="1">
      <c r="A7" s="876"/>
      <c r="B7" s="487" t="s">
        <v>847</v>
      </c>
      <c r="C7" s="221">
        <f>Risk!I5</f>
        <v>4.6512920482174647E-2</v>
      </c>
      <c r="D7" s="221">
        <f>Risk!V5</f>
        <v>4.7894879300621807E-2</v>
      </c>
      <c r="E7" s="229">
        <f>Risk!AI5</f>
        <v>3.5759104502579762E-2</v>
      </c>
      <c r="F7" s="873"/>
      <c r="G7" s="6"/>
      <c r="H7" s="261"/>
      <c r="I7" s="6"/>
      <c r="J7" s="874"/>
      <c r="K7" s="479" t="str">
        <f>B7</f>
        <v xml:space="preserve">Sub-period 3: 2011-2016 </v>
      </c>
      <c r="L7" s="230">
        <f>Risk!I14</f>
        <v>1.0781909965950312E-2</v>
      </c>
      <c r="M7" s="221">
        <f>Risk!V14</f>
        <v>1.0880367996142013E-2</v>
      </c>
      <c r="N7" s="229">
        <f>Risk!AI14</f>
        <v>1.2852843382518769E-2</v>
      </c>
      <c r="O7" s="884"/>
      <c r="P7" s="479" t="str">
        <f>B7</f>
        <v xml:space="preserve">Sub-period 3: 2011-2016 </v>
      </c>
      <c r="Q7" s="763">
        <f>AVERAGE(Returns!E56:E79)</f>
        <v>2.7277865049292107E-2</v>
      </c>
      <c r="R7" s="532">
        <f>AVERAGE(Returns!N56:N79)</f>
        <v>2.0374179477580034E-2</v>
      </c>
      <c r="S7" s="533">
        <f>AVERAGE(Returns!V56:V79)</f>
        <v>2.5253621806333826E-2</v>
      </c>
      <c r="V7" s="6"/>
      <c r="W7" s="479" t="s">
        <v>797</v>
      </c>
      <c r="X7" s="532">
        <f>AVERAGE(Costs!L46:L78)</f>
        <v>0.10346799050380773</v>
      </c>
      <c r="Y7" s="532">
        <f>AVERAGE(Costs!AN14:AN22)</f>
        <v>0.12519685069851633</v>
      </c>
      <c r="Z7" s="801">
        <f>AVERAGE(Costs!BR46:BR78)</f>
        <v>0.2095044316087904</v>
      </c>
      <c r="AA7" s="872"/>
      <c r="AB7" s="31"/>
      <c r="AC7" s="482" t="str">
        <f>W7</f>
        <v>Overall: 2008-2016</v>
      </c>
      <c r="AD7" s="303">
        <f>AVERAGE(BD14:BD22)</f>
        <v>6.9246182006237674E-4</v>
      </c>
      <c r="AE7" s="303">
        <f>AVERAGE(BE14:BE22)</f>
        <v>5.6958829217312636E-3</v>
      </c>
      <c r="AF7" s="305">
        <f>AVERAGE(BF14:BF22)</f>
        <v>7.0167754687066354E-3</v>
      </c>
      <c r="AG7" s="877"/>
      <c r="AO7" s="983"/>
      <c r="AP7" s="1003"/>
      <c r="AQ7" s="1002"/>
      <c r="AR7" s="1002"/>
      <c r="AS7" s="1002"/>
      <c r="AT7" s="1003"/>
      <c r="AU7" s="1002"/>
      <c r="AV7" s="1002"/>
      <c r="AW7" s="1002"/>
      <c r="AX7" s="1003"/>
      <c r="AY7" s="1002"/>
      <c r="AZ7" s="1002"/>
      <c r="BA7" s="997"/>
      <c r="BB7" s="872"/>
      <c r="BC7" s="479">
        <f t="shared" si="2"/>
        <v>2001</v>
      </c>
      <c r="BD7" s="4" t="s">
        <v>800</v>
      </c>
      <c r="BE7" s="4" t="s">
        <v>800</v>
      </c>
      <c r="BF7" s="231">
        <f>Costs!CE18</f>
        <v>7.5046151907686462E-4</v>
      </c>
      <c r="BI7" s="479">
        <v>2002</v>
      </c>
      <c r="BJ7" s="726">
        <f>Costs!K22</f>
        <v>46.811612773899611</v>
      </c>
      <c r="BK7" s="726">
        <f>Costs!D22</f>
        <v>27.19617590909105</v>
      </c>
      <c r="BL7" s="773" t="s">
        <v>800</v>
      </c>
      <c r="BM7" s="773" t="s">
        <v>800</v>
      </c>
      <c r="BN7" s="773" t="s">
        <v>800</v>
      </c>
      <c r="BO7" s="773" t="s">
        <v>800</v>
      </c>
      <c r="BP7" s="726">
        <f>Costs!BQ22</f>
        <v>6.9073652618342471</v>
      </c>
      <c r="BQ7" s="726">
        <f>Costs!BD22</f>
        <v>1.6740792847358525</v>
      </c>
      <c r="BR7" s="826" t="s">
        <v>800</v>
      </c>
      <c r="BU7" s="479">
        <v>2001</v>
      </c>
      <c r="BV7" s="619" t="s">
        <v>800</v>
      </c>
      <c r="BW7" s="619" t="s">
        <v>800</v>
      </c>
      <c r="BX7" s="619" t="s">
        <v>800</v>
      </c>
      <c r="BY7" s="619" t="s">
        <v>800</v>
      </c>
      <c r="BZ7" s="710">
        <f>USD!CT19</f>
        <v>28015.945041267623</v>
      </c>
      <c r="CA7" s="827">
        <f>USD!CV19</f>
        <v>29816.02965968068</v>
      </c>
      <c r="CD7" s="750" t="s">
        <v>446</v>
      </c>
      <c r="CE7" s="790">
        <f>Regression!J41</f>
        <v>1.1926887003061364E-2</v>
      </c>
      <c r="CF7" s="790">
        <f>Regression!J42</f>
        <v>-19.099847011663229</v>
      </c>
      <c r="CG7" s="790">
        <f>Regression!J60</f>
        <v>-3.1504441703347481E-3</v>
      </c>
      <c r="CH7" s="791">
        <f>Regression!J61</f>
        <v>39.778118611530637</v>
      </c>
    </row>
    <row r="8" spans="1:86" ht="15.75" customHeight="1" thickBot="1">
      <c r="A8" s="876"/>
      <c r="B8" s="488" t="s">
        <v>493</v>
      </c>
      <c r="C8" s="274">
        <f>Returns!D81</f>
        <v>4.9141028942293129E-2</v>
      </c>
      <c r="D8" s="274">
        <f>Returns!N81</f>
        <v>3.9499982624432391E-2</v>
      </c>
      <c r="E8" s="275">
        <f>Returns!V81</f>
        <v>5.4363003840836643E-2</v>
      </c>
      <c r="F8" s="873"/>
      <c r="G8" s="6"/>
      <c r="H8" s="6"/>
      <c r="I8" s="6"/>
      <c r="J8" s="874"/>
      <c r="K8" s="494" t="s">
        <v>493</v>
      </c>
      <c r="L8" s="274">
        <f>Returns!D80</f>
        <v>1.4672048847367227E-2</v>
      </c>
      <c r="M8" s="274">
        <f>Returns!N80</f>
        <v>1.5527368054979498E-2</v>
      </c>
      <c r="N8" s="275">
        <f>Returns!V80</f>
        <v>1.3850474757553216E-2</v>
      </c>
      <c r="O8" s="884"/>
      <c r="P8" s="479" t="s">
        <v>767</v>
      </c>
      <c r="Q8" s="764">
        <f>AVERAGE(Returns!E16:E79)</f>
        <v>1.3721988775293454E-2</v>
      </c>
      <c r="R8" s="765">
        <f>AVERAGE(Returns!N16:N79)</f>
        <v>1.5527368054979498E-2</v>
      </c>
      <c r="S8" s="707">
        <f>AVERAGE(Returns!V16:V79)</f>
        <v>1.3850474757553216E-2</v>
      </c>
      <c r="V8" s="6"/>
      <c r="W8" s="479" t="s">
        <v>851</v>
      </c>
      <c r="X8" s="532">
        <f>AVERAGE(Costs!L46:L58)</f>
        <v>0.18321575513381794</v>
      </c>
      <c r="Y8" s="532">
        <f>AVERAGE(Costs!AN14:AN17)</f>
        <v>0.2733370804900217</v>
      </c>
      <c r="Z8" s="801">
        <f>AVERAGE(Costs!BR46:BR58)</f>
        <v>0.33777466485516289</v>
      </c>
      <c r="AA8" s="872"/>
      <c r="AB8" s="31"/>
      <c r="AC8" s="479" t="str">
        <f>W8</f>
        <v>Sub-period 1: 2008-2011</v>
      </c>
      <c r="AD8" s="237">
        <f>AVERAGE(BD14:BD17)</f>
        <v>8.7752002843986929E-4</v>
      </c>
      <c r="AE8" s="237">
        <f>AVERAGE(BE14:BE17)</f>
        <v>4.7882576983187593E-3</v>
      </c>
      <c r="AF8" s="821">
        <f>AVERAGE(BF14:BF17)</f>
        <v>6.5272249751254941E-3</v>
      </c>
      <c r="AG8" s="877"/>
      <c r="AO8" s="479">
        <f>Costs!D88</f>
        <v>2000</v>
      </c>
      <c r="AP8" s="135" t="s">
        <v>800</v>
      </c>
      <c r="AQ8" s="106" t="s">
        <v>800</v>
      </c>
      <c r="AR8" s="106" t="s">
        <v>800</v>
      </c>
      <c r="AS8" s="106" t="s">
        <v>800</v>
      </c>
      <c r="AT8" s="135" t="s">
        <v>800</v>
      </c>
      <c r="AU8" s="106" t="s">
        <v>800</v>
      </c>
      <c r="AV8" s="106" t="s">
        <v>800</v>
      </c>
      <c r="AW8" s="106" t="s">
        <v>800</v>
      </c>
      <c r="AX8" s="135" t="s">
        <v>800</v>
      </c>
      <c r="AY8" s="106" t="s">
        <v>800</v>
      </c>
      <c r="AZ8" s="106" t="s">
        <v>800</v>
      </c>
      <c r="BA8" s="231" t="s">
        <v>800</v>
      </c>
      <c r="BB8" s="872"/>
      <c r="BC8" s="479">
        <f t="shared" si="2"/>
        <v>2002</v>
      </c>
      <c r="BD8" s="4" t="s">
        <v>800</v>
      </c>
      <c r="BE8" s="4" t="s">
        <v>800</v>
      </c>
      <c r="BF8" s="231">
        <f>Costs!CE22</f>
        <v>7.3475182076972222E-4</v>
      </c>
      <c r="BI8" s="479">
        <v>2003</v>
      </c>
      <c r="BJ8" s="726">
        <f>Costs!K26</f>
        <v>49.356681075933516</v>
      </c>
      <c r="BK8" s="726">
        <f>Costs!D26</f>
        <v>59.39916510780813</v>
      </c>
      <c r="BL8" s="773" t="s">
        <v>800</v>
      </c>
      <c r="BM8" s="773" t="s">
        <v>800</v>
      </c>
      <c r="BN8" s="773" t="s">
        <v>800</v>
      </c>
      <c r="BO8" s="773" t="s">
        <v>800</v>
      </c>
      <c r="BP8" s="726">
        <f>Costs!BQ26</f>
        <v>10.982384783342658</v>
      </c>
      <c r="BQ8" s="726">
        <f>Costs!BD26</f>
        <v>2.014401027481989</v>
      </c>
      <c r="BR8" s="826" t="s">
        <v>800</v>
      </c>
      <c r="BU8" s="479">
        <v>2002</v>
      </c>
      <c r="BV8" s="619" t="s">
        <v>800</v>
      </c>
      <c r="BW8" s="619" t="s">
        <v>800</v>
      </c>
      <c r="BX8" s="619" t="s">
        <v>800</v>
      </c>
      <c r="BY8" s="619" t="s">
        <v>800</v>
      </c>
      <c r="BZ8" s="710">
        <f>USD!CT23</f>
        <v>42525.011727845376</v>
      </c>
      <c r="CA8" s="827">
        <f>USD!CV23</f>
        <v>48191.35536514283</v>
      </c>
      <c r="CD8" s="750" t="s">
        <v>824</v>
      </c>
      <c r="CE8" s="790">
        <f>Regression!K41</f>
        <v>2.017117678532182E-2</v>
      </c>
      <c r="CF8" s="790">
        <f>Regression!K42</f>
        <v>232.91316753200402</v>
      </c>
      <c r="CG8" s="790">
        <f>Regression!K60</f>
        <v>5.6671850788305028E-3</v>
      </c>
      <c r="CH8" s="791">
        <f>Regression!K61</f>
        <v>65.438027822999089</v>
      </c>
    </row>
    <row r="9" spans="1:86" ht="15.75" customHeight="1" thickBot="1">
      <c r="A9" s="876"/>
      <c r="B9" s="489" t="s">
        <v>808</v>
      </c>
      <c r="C9" s="219">
        <f>_xlfn.STDEV.S(Risk!C35:C78)</f>
        <v>6.5155577569805695E-2</v>
      </c>
      <c r="D9" s="219">
        <f>_xlfn.STDEV.S(Risk!P35:P78)</f>
        <v>6.8403207982563843E-2</v>
      </c>
      <c r="E9" s="220">
        <f>_xlfn.STDEV.S(Risk!AC35:AC78)</f>
        <v>6.2915388600733368E-2</v>
      </c>
      <c r="F9" s="873"/>
      <c r="G9" s="6"/>
      <c r="H9" s="6"/>
      <c r="I9" s="6"/>
      <c r="J9" s="874"/>
      <c r="K9" s="482" t="s">
        <v>808</v>
      </c>
      <c r="L9" s="219">
        <f>AVERAGE(Risk!C35:C78)</f>
        <v>1.2847893444707386E-2</v>
      </c>
      <c r="M9" s="219">
        <f>AVERAGE(Risk!P35:P78)</f>
        <v>1.5441976330241107E-2</v>
      </c>
      <c r="N9" s="220">
        <f>AVERAGE(Risk!AC35:AC78)</f>
        <v>1.5858680487459059E-2</v>
      </c>
      <c r="O9" s="884"/>
      <c r="P9" s="985" t="s">
        <v>768</v>
      </c>
      <c r="Q9" s="986"/>
      <c r="R9" s="986"/>
      <c r="S9" s="987"/>
      <c r="V9" s="6"/>
      <c r="W9" s="483" t="s">
        <v>852</v>
      </c>
      <c r="X9" s="765">
        <f>AVERAGE(Costs!L62:L78)</f>
        <v>3.9669778799799563E-2</v>
      </c>
      <c r="Y9" s="765">
        <f>AVERAGE(Costs!AN18:AN22)</f>
        <v>6.6846668653120387E-3</v>
      </c>
      <c r="Z9" s="802">
        <f>AVERAGE(Costs!BR62:BR78)</f>
        <v>0.10688824501169243</v>
      </c>
      <c r="AA9" s="872"/>
      <c r="AB9" s="31"/>
      <c r="AC9" s="483" t="str">
        <f>W9</f>
        <v>Sub-period 2: 2012-2016</v>
      </c>
      <c r="AD9" s="822">
        <f>AVERAGE(BD18:BD22)</f>
        <v>5.4441525336038272E-4</v>
      </c>
      <c r="AE9" s="822">
        <f>AVERAGE(BE18:BE22)</f>
        <v>6.4219831004612678E-3</v>
      </c>
      <c r="AF9" s="823">
        <f>AVERAGE(BF18:BF22)</f>
        <v>7.4084158635715491E-3</v>
      </c>
      <c r="AG9" s="877"/>
      <c r="AO9" s="479">
        <f>Costs!D89</f>
        <v>2001</v>
      </c>
      <c r="AP9" s="135" t="s">
        <v>800</v>
      </c>
      <c r="AQ9" s="106" t="s">
        <v>800</v>
      </c>
      <c r="AR9" s="106" t="s">
        <v>800</v>
      </c>
      <c r="AS9" s="106" t="s">
        <v>800</v>
      </c>
      <c r="AT9" s="135" t="s">
        <v>800</v>
      </c>
      <c r="AU9" s="106" t="s">
        <v>800</v>
      </c>
      <c r="AV9" s="106" t="s">
        <v>800</v>
      </c>
      <c r="AW9" s="106" t="s">
        <v>800</v>
      </c>
      <c r="AX9" s="135" t="s">
        <v>800</v>
      </c>
      <c r="AY9" s="106" t="s">
        <v>800</v>
      </c>
      <c r="AZ9" s="106" t="s">
        <v>800</v>
      </c>
      <c r="BA9" s="231" t="s">
        <v>800</v>
      </c>
      <c r="BB9" s="872"/>
      <c r="BC9" s="479">
        <f t="shared" si="2"/>
        <v>2003</v>
      </c>
      <c r="BD9" s="31" t="s">
        <v>800</v>
      </c>
      <c r="BE9" s="31" t="s">
        <v>800</v>
      </c>
      <c r="BF9" s="231">
        <f>Costs!CE26</f>
        <v>5.3992366028134608E-4</v>
      </c>
      <c r="BI9" s="479">
        <v>2004</v>
      </c>
      <c r="BJ9" s="726">
        <f>Costs!K30</f>
        <v>56.453752838527613</v>
      </c>
      <c r="BK9" s="726">
        <f>Costs!D30</f>
        <v>93.329842805874875</v>
      </c>
      <c r="BL9" s="773" t="s">
        <v>800</v>
      </c>
      <c r="BM9" s="773" t="s">
        <v>800</v>
      </c>
      <c r="BN9" s="773" t="s">
        <v>800</v>
      </c>
      <c r="BO9" s="773" t="s">
        <v>800</v>
      </c>
      <c r="BP9" s="726">
        <f>Costs!BQ30</f>
        <v>23.59430730918675</v>
      </c>
      <c r="BQ9" s="726">
        <f>Costs!BD30</f>
        <v>10.920126687916749</v>
      </c>
      <c r="BR9" s="826" t="s">
        <v>800</v>
      </c>
      <c r="BU9" s="479">
        <v>2003</v>
      </c>
      <c r="BV9" s="619" t="s">
        <v>800</v>
      </c>
      <c r="BW9" s="619" t="s">
        <v>800</v>
      </c>
      <c r="BX9" s="619" t="s">
        <v>800</v>
      </c>
      <c r="BY9" s="619" t="s">
        <v>800</v>
      </c>
      <c r="BZ9" s="710">
        <f>USD!CT27</f>
        <v>73511.671446805194</v>
      </c>
      <c r="CA9" s="827">
        <f>USD!CV27</f>
        <v>77952.45211102262</v>
      </c>
      <c r="CD9" s="750" t="s">
        <v>825</v>
      </c>
      <c r="CE9" s="790">
        <f>Regression!L41</f>
        <v>0.59128364844535652</v>
      </c>
      <c r="CF9" s="790">
        <f>Regression!L42</f>
        <v>-8.2004152938406821E-2</v>
      </c>
      <c r="CG9" s="790">
        <f>Regression!L60</f>
        <v>-0.55590987880439635</v>
      </c>
      <c r="CH9" s="791">
        <f>Regression!L61</f>
        <v>0.6078746553781389</v>
      </c>
    </row>
    <row r="10" spans="1:86" ht="15.75" thickBot="1">
      <c r="A10" s="874"/>
      <c r="B10" s="988" t="s">
        <v>873</v>
      </c>
      <c r="C10" s="989"/>
      <c r="D10" s="989"/>
      <c r="E10" s="990"/>
      <c r="F10" s="872"/>
      <c r="G10" s="6"/>
      <c r="H10" s="6"/>
      <c r="I10" s="6"/>
      <c r="J10" s="6"/>
      <c r="K10" s="967" t="s">
        <v>874</v>
      </c>
      <c r="L10" s="968"/>
      <c r="M10" s="968"/>
      <c r="N10" s="969"/>
      <c r="O10" s="883"/>
      <c r="P10" s="479" t="str">
        <f>P5</f>
        <v xml:space="preserve">Sub-period 1: 2001-2005 </v>
      </c>
      <c r="Q10" s="648">
        <f>'Return beyond inflation'!BC4</f>
        <v>1.2478712308741369E-3</v>
      </c>
      <c r="R10" s="649">
        <f>'Return beyond inflation'!BG4</f>
        <v>7.4081682569475896E-3</v>
      </c>
      <c r="S10" s="650">
        <f>'Return beyond inflation'!BE4</f>
        <v>-1.3717618255400712E-4</v>
      </c>
      <c r="V10" s="6"/>
      <c r="Y10" s="24"/>
      <c r="AB10" s="31"/>
      <c r="AC10" s="31"/>
      <c r="AD10" s="179"/>
      <c r="AE10" s="903"/>
      <c r="AF10" s="179"/>
      <c r="AG10" s="877"/>
      <c r="AO10" s="479">
        <f>Costs!D90</f>
        <v>2002</v>
      </c>
      <c r="AP10" s="135">
        <f>Costs!E90</f>
        <v>0.89044707400937173</v>
      </c>
      <c r="AQ10" s="106">
        <f>Costs!F90</f>
        <v>0.99010070146089313</v>
      </c>
      <c r="AR10" s="106" t="s">
        <v>800</v>
      </c>
      <c r="AS10" s="106">
        <f>Costs!H90</f>
        <v>0.74043645828658144</v>
      </c>
      <c r="AT10" s="135" t="s">
        <v>800</v>
      </c>
      <c r="AU10" s="106" t="s">
        <v>800</v>
      </c>
      <c r="AV10" s="106" t="s">
        <v>800</v>
      </c>
      <c r="AW10" s="106" t="s">
        <v>800</v>
      </c>
      <c r="AX10" s="135">
        <f>Costs!M90</f>
        <v>0.32177932265619513</v>
      </c>
      <c r="AY10" s="106">
        <f>Costs!N90</f>
        <v>0.40577904029884637</v>
      </c>
      <c r="AZ10" s="106" t="s">
        <v>800</v>
      </c>
      <c r="BA10" s="231">
        <f>Costs!P90</f>
        <v>6.0353812440240073E-2</v>
      </c>
      <c r="BB10" s="872"/>
      <c r="BC10" s="479">
        <f t="shared" si="2"/>
        <v>2004</v>
      </c>
      <c r="BD10" s="31" t="s">
        <v>800</v>
      </c>
      <c r="BE10" s="31" t="s">
        <v>800</v>
      </c>
      <c r="BF10" s="231">
        <f>Costs!CE30</f>
        <v>8.1270177350511346E-4</v>
      </c>
      <c r="BI10" s="479">
        <v>2005</v>
      </c>
      <c r="BJ10" s="726">
        <f>Costs!K34</f>
        <v>68.192545012778623</v>
      </c>
      <c r="BK10" s="726">
        <f>Costs!D34</f>
        <v>120.73079570038749</v>
      </c>
      <c r="BL10" s="773" t="s">
        <v>800</v>
      </c>
      <c r="BM10" s="773" t="s">
        <v>800</v>
      </c>
      <c r="BN10" s="773" t="s">
        <v>800</v>
      </c>
      <c r="BO10" s="773" t="s">
        <v>800</v>
      </c>
      <c r="BP10" s="726">
        <f>Costs!BQ34</f>
        <v>39.166005900717636</v>
      </c>
      <c r="BQ10" s="726">
        <f>Costs!BD34</f>
        <v>33.862433868451269</v>
      </c>
      <c r="BR10" s="826" t="s">
        <v>800</v>
      </c>
      <c r="BU10" s="479">
        <v>2004</v>
      </c>
      <c r="BV10" s="619" t="s">
        <v>800</v>
      </c>
      <c r="BW10" s="619" t="s">
        <v>800</v>
      </c>
      <c r="BX10" s="619" t="s">
        <v>800</v>
      </c>
      <c r="BY10" s="619" t="s">
        <v>800</v>
      </c>
      <c r="BZ10" s="710">
        <f>USD!CT31</f>
        <v>130899.69942336805</v>
      </c>
      <c r="CA10" s="827">
        <f>USD!CV31</f>
        <v>118103.55776841257</v>
      </c>
      <c r="CD10" s="756" t="s">
        <v>448</v>
      </c>
      <c r="CE10" s="792">
        <f>Regression!M41</f>
        <v>0.55783155861004707</v>
      </c>
      <c r="CF10" s="792">
        <f>Regression!M42</f>
        <v>0.93507383728388971</v>
      </c>
      <c r="CG10" s="792">
        <f>Regression!M60</f>
        <v>0.5815311457446124</v>
      </c>
      <c r="CH10" s="793">
        <f>Regression!M61</f>
        <v>0.54688666020324106</v>
      </c>
    </row>
    <row r="11" spans="1:86" ht="15.75" thickBot="1">
      <c r="A11" s="874"/>
      <c r="B11" s="484">
        <v>2001</v>
      </c>
      <c r="C11" s="276">
        <f>Risk!G6</f>
        <v>8.0433753620227227E-2</v>
      </c>
      <c r="D11" s="276">
        <f>Risk!T6</f>
        <v>8.6497697902813128E-2</v>
      </c>
      <c r="E11" s="278">
        <f>Risk!AG6</f>
        <v>0.28610821876736792</v>
      </c>
      <c r="F11" s="872"/>
      <c r="G11" s="172"/>
      <c r="H11" s="172"/>
      <c r="I11" s="6"/>
      <c r="J11" s="875"/>
      <c r="K11" s="490">
        <v>2001</v>
      </c>
      <c r="L11" s="276">
        <f>Returns!I8</f>
        <v>-6.8680816703550751E-2</v>
      </c>
      <c r="M11" s="276">
        <f>Returns!P8</f>
        <v>-5.6545375726027025E-2</v>
      </c>
      <c r="N11" s="278">
        <f>Returns!AA8</f>
        <v>-0.21113016069121571</v>
      </c>
      <c r="O11" s="877"/>
      <c r="P11" s="479" t="str">
        <f>P6</f>
        <v xml:space="preserve">Sub-period 2: 2006-2010 </v>
      </c>
      <c r="Q11" s="651">
        <f>'Return beyond inflation'!BC5</f>
        <v>1.2611219813700707E-4</v>
      </c>
      <c r="R11" s="530">
        <f>'Return beyond inflation'!BG5</f>
        <v>8.2036878656356373E-3</v>
      </c>
      <c r="S11" s="531">
        <f>'Return beyond inflation'!BE5</f>
        <v>4.2397952552712869E-3</v>
      </c>
      <c r="V11" s="6"/>
      <c r="W11" s="971" t="s">
        <v>862</v>
      </c>
      <c r="X11" s="972"/>
      <c r="Y11" s="973"/>
      <c r="Z11" s="872"/>
      <c r="AA11" s="6"/>
      <c r="AB11" s="31"/>
      <c r="AC11" s="31"/>
      <c r="AD11" s="179"/>
      <c r="AE11" s="179"/>
      <c r="AF11" s="179"/>
      <c r="AG11" s="877"/>
      <c r="AO11" s="479">
        <f>Costs!D91</f>
        <v>2003</v>
      </c>
      <c r="AP11" s="135">
        <f>Costs!E91</f>
        <v>0.4695189265766726</v>
      </c>
      <c r="AQ11" s="106">
        <f>Costs!F91</f>
        <v>5.4368310579825607E-2</v>
      </c>
      <c r="AR11" s="106" t="s">
        <v>800</v>
      </c>
      <c r="AS11" s="106">
        <f>Costs!H91</f>
        <v>1.1840999008964479</v>
      </c>
      <c r="AT11" s="135" t="s">
        <v>800</v>
      </c>
      <c r="AU11" s="106" t="s">
        <v>800</v>
      </c>
      <c r="AV11" s="106" t="s">
        <v>800</v>
      </c>
      <c r="AW11" s="106" t="s">
        <v>800</v>
      </c>
      <c r="AX11" s="135">
        <f>Costs!M91</f>
        <v>0.51452191298250649</v>
      </c>
      <c r="AY11" s="106">
        <f>Costs!N91</f>
        <v>0.58995280646651249</v>
      </c>
      <c r="AZ11" s="106" t="s">
        <v>800</v>
      </c>
      <c r="BA11" s="231">
        <f>Costs!P91</f>
        <v>0.20328890384653131</v>
      </c>
      <c r="BB11" s="872"/>
      <c r="BC11" s="479">
        <f t="shared" si="2"/>
        <v>2005</v>
      </c>
      <c r="BD11" s="31" t="s">
        <v>800</v>
      </c>
      <c r="BE11" s="31" t="s">
        <v>800</v>
      </c>
      <c r="BF11" s="231">
        <f>Costs!CE34</f>
        <v>1.0465157310639425E-3</v>
      </c>
      <c r="BI11" s="479">
        <v>2006</v>
      </c>
      <c r="BJ11" s="726">
        <f>Costs!K38</f>
        <v>91.506563097214908</v>
      </c>
      <c r="BK11" s="726">
        <f>Costs!D38</f>
        <v>147.62779097639296</v>
      </c>
      <c r="BL11" s="773" t="s">
        <v>800</v>
      </c>
      <c r="BM11" s="773" t="s">
        <v>800</v>
      </c>
      <c r="BN11" s="773" t="s">
        <v>800</v>
      </c>
      <c r="BO11" s="773" t="s">
        <v>800</v>
      </c>
      <c r="BP11" s="710">
        <f>Costs!BQ38</f>
        <v>69.315323081303021</v>
      </c>
      <c r="BQ11" s="710">
        <f>Costs!BD38</f>
        <v>16.323501626539851</v>
      </c>
      <c r="BR11" s="826" t="s">
        <v>800</v>
      </c>
      <c r="BU11" s="479">
        <v>2005</v>
      </c>
      <c r="BV11" s="619" t="s">
        <v>800</v>
      </c>
      <c r="BW11" s="619" t="s">
        <v>800</v>
      </c>
      <c r="BX11" s="619" t="s">
        <v>800</v>
      </c>
      <c r="BY11" s="619" t="s">
        <v>800</v>
      </c>
      <c r="BZ11" s="710">
        <f>USD!CT35</f>
        <v>239579.98552960966</v>
      </c>
      <c r="CA11" s="827">
        <f>USD!CV35</f>
        <v>198708.98376386822</v>
      </c>
      <c r="CD11" s="750"/>
      <c r="CE11" s="757"/>
      <c r="CF11" s="757"/>
      <c r="CG11" s="757"/>
      <c r="CH11" s="758"/>
    </row>
    <row r="12" spans="1:86">
      <c r="A12" s="874"/>
      <c r="B12" s="484">
        <v>2002</v>
      </c>
      <c r="C12" s="259">
        <f>Risk!G7</f>
        <v>0.10240174663511452</v>
      </c>
      <c r="D12" s="259">
        <f>Risk!T7</f>
        <v>0.12627154223736087</v>
      </c>
      <c r="E12" s="260">
        <f>Risk!AG7</f>
        <v>0.22269163027806421</v>
      </c>
      <c r="F12" s="872"/>
      <c r="G12" s="172"/>
      <c r="H12" s="172"/>
      <c r="I12" s="6"/>
      <c r="J12" s="875"/>
      <c r="K12" s="490">
        <v>2002</v>
      </c>
      <c r="L12" s="259">
        <f>Returns!I9</f>
        <v>5.0661719598872446E-2</v>
      </c>
      <c r="M12" s="259">
        <f>Returns!P9</f>
        <v>9.6880110748693071E-2</v>
      </c>
      <c r="N12" s="260">
        <f>Returns!AA9</f>
        <v>-0.18622153272931408</v>
      </c>
      <c r="O12" s="877"/>
      <c r="P12" s="479" t="str">
        <f>P7</f>
        <v xml:space="preserve">Sub-period 3: 2011-2016 </v>
      </c>
      <c r="Q12" s="651">
        <f>'Return beyond inflation'!BC6</f>
        <v>2.2135696719866548E-2</v>
      </c>
      <c r="R12" s="530">
        <f>'Return beyond inflation'!BG6</f>
        <v>1.6586250317056971E-2</v>
      </c>
      <c r="S12" s="531">
        <f>'Return beyond inflation'!BE6</f>
        <v>2.1440478121081685E-2</v>
      </c>
      <c r="V12" s="6"/>
      <c r="W12" s="479"/>
      <c r="X12" s="323" t="str">
        <f>Y5</f>
        <v>APG</v>
      </c>
      <c r="Y12" s="492" t="str">
        <f>Z5</f>
        <v>CPPIB</v>
      </c>
      <c r="Z12" s="872"/>
      <c r="AA12" s="6"/>
      <c r="AB12" s="31"/>
      <c r="AC12" s="971" t="s">
        <v>864</v>
      </c>
      <c r="AD12" s="972"/>
      <c r="AE12" s="972"/>
      <c r="AF12" s="972"/>
      <c r="AG12" s="972"/>
      <c r="AH12" s="972"/>
      <c r="AI12" s="972"/>
      <c r="AJ12" s="972"/>
      <c r="AK12" s="972"/>
      <c r="AL12" s="973"/>
      <c r="AO12" s="479">
        <f>Costs!D92</f>
        <v>2004</v>
      </c>
      <c r="AP12" s="135">
        <f>Costs!E92</f>
        <v>0.37724638169193225</v>
      </c>
      <c r="AQ12" s="106">
        <f>Costs!F92</f>
        <v>0.14379151125813139</v>
      </c>
      <c r="AR12" s="106" t="s">
        <v>800</v>
      </c>
      <c r="AS12" s="113">
        <f>Costs!H92</f>
        <v>0.5712315591723105</v>
      </c>
      <c r="AT12" s="106" t="s">
        <v>800</v>
      </c>
      <c r="AU12" s="106" t="s">
        <v>800</v>
      </c>
      <c r="AV12" s="106" t="s">
        <v>800</v>
      </c>
      <c r="AW12" s="106" t="s">
        <v>800</v>
      </c>
      <c r="AX12" s="135">
        <f>Costs!M92</f>
        <v>1.6556130492169396</v>
      </c>
      <c r="AY12" s="106">
        <f>Costs!N92</f>
        <v>1.1483774038743393</v>
      </c>
      <c r="AZ12" s="106" t="s">
        <v>800</v>
      </c>
      <c r="BA12" s="231">
        <f>Costs!P92</f>
        <v>4.4210291490800913</v>
      </c>
      <c r="BB12" s="872"/>
      <c r="BC12" s="479">
        <f t="shared" si="2"/>
        <v>2006</v>
      </c>
      <c r="BD12" s="31" t="s">
        <v>800</v>
      </c>
      <c r="BE12" s="31" t="s">
        <v>800</v>
      </c>
      <c r="BF12" s="231">
        <f>Costs!CE38</f>
        <v>9.0645886296880889E-4</v>
      </c>
      <c r="BI12" s="479">
        <v>2007</v>
      </c>
      <c r="BJ12" s="726">
        <f>Costs!K42</f>
        <v>146.82192755735164</v>
      </c>
      <c r="BK12" s="726">
        <f>Costs!D42</f>
        <v>167.14761298988702</v>
      </c>
      <c r="BL12" s="17" t="s">
        <v>800</v>
      </c>
      <c r="BM12" s="17" t="s">
        <v>800</v>
      </c>
      <c r="BN12" s="17" t="s">
        <v>800</v>
      </c>
      <c r="BO12" s="725" t="s">
        <v>800</v>
      </c>
      <c r="BP12" s="710">
        <f>Costs!BQ42</f>
        <v>143.94058841319247</v>
      </c>
      <c r="BQ12" s="710">
        <f>Costs!BD42</f>
        <v>159.80399924151655</v>
      </c>
      <c r="BR12" s="727">
        <f>Costs!BL42</f>
        <v>70.58509472070503</v>
      </c>
      <c r="BU12" s="479">
        <v>2006</v>
      </c>
      <c r="BV12" s="619" t="s">
        <v>800</v>
      </c>
      <c r="BW12" s="619" t="s">
        <v>800</v>
      </c>
      <c r="BX12" s="619" t="s">
        <v>800</v>
      </c>
      <c r="BY12" s="619" t="s">
        <v>800</v>
      </c>
      <c r="BZ12" s="710">
        <f>USD!CT39</f>
        <v>339879.17486753128</v>
      </c>
      <c r="CA12" s="827">
        <f>USD!CV39</f>
        <v>261858.79979944765</v>
      </c>
      <c r="CD12" s="750" t="s">
        <v>826</v>
      </c>
      <c r="CE12" s="790">
        <f>Regression!J29</f>
        <v>1.7693398090901604E-4</v>
      </c>
      <c r="CF12" s="794"/>
      <c r="CG12" s="790">
        <f>Regression!J48</f>
        <v>9.6303440225010452E-3</v>
      </c>
      <c r="CH12" s="759"/>
    </row>
    <row r="13" spans="1:86" ht="15.75" thickBot="1">
      <c r="A13" s="874"/>
      <c r="B13" s="484">
        <v>2003</v>
      </c>
      <c r="C13" s="259">
        <f>Risk!G8</f>
        <v>0.10291649808599844</v>
      </c>
      <c r="D13" s="259">
        <f>Risk!T8</f>
        <v>0.11529744594170639</v>
      </c>
      <c r="E13" s="260">
        <f>Risk!AG8</f>
        <v>0.15953340983992978</v>
      </c>
      <c r="F13" s="872"/>
      <c r="G13" s="172"/>
      <c r="H13" s="172"/>
      <c r="I13" s="6"/>
      <c r="J13" s="875"/>
      <c r="K13" s="490">
        <v>2003</v>
      </c>
      <c r="L13" s="259">
        <f>Returns!I10</f>
        <v>0.23254177609509608</v>
      </c>
      <c r="M13" s="259">
        <f>Returns!P10</f>
        <v>0.30402085757776676</v>
      </c>
      <c r="N13" s="260">
        <f>Returns!AA10</f>
        <v>0.44641942924210642</v>
      </c>
      <c r="O13" s="877"/>
      <c r="P13" s="479" t="str">
        <f>P8</f>
        <v>Overall: 2001-2016</v>
      </c>
      <c r="Q13" s="652">
        <f>'Return beyond inflation'!BC7</f>
        <v>8.7302560915159377E-3</v>
      </c>
      <c r="R13" s="653">
        <f>'Return beyond inflation'!BG7</f>
        <v>1.1098548907203621E-2</v>
      </c>
      <c r="S13" s="654">
        <f>'Return beyond inflation'!BE7</f>
        <v>9.3222477556297798E-3</v>
      </c>
      <c r="V13" s="6"/>
      <c r="W13" s="479" t="str">
        <f>W7</f>
        <v>Overall: 2008-2016</v>
      </c>
      <c r="X13" s="238" t="s">
        <v>800</v>
      </c>
      <c r="Y13" s="223">
        <f>AVERAGE(AZ16:AZ24)</f>
        <v>0.23067356234922354</v>
      </c>
      <c r="Z13" s="872"/>
      <c r="AA13" s="6"/>
      <c r="AB13" s="31"/>
      <c r="AC13" s="479"/>
      <c r="AD13" s="974" t="str">
        <f>AD5</f>
        <v>NBIM</v>
      </c>
      <c r="AE13" s="974"/>
      <c r="AF13" s="974"/>
      <c r="AG13" s="974" t="str">
        <f>AE5</f>
        <v>APG</v>
      </c>
      <c r="AH13" s="974"/>
      <c r="AI13" s="974"/>
      <c r="AJ13" s="974" t="str">
        <f>AF5</f>
        <v>CPPIB</v>
      </c>
      <c r="AK13" s="974"/>
      <c r="AL13" s="970"/>
      <c r="AO13" s="479">
        <f>Costs!D93</f>
        <v>2005</v>
      </c>
      <c r="AP13" s="135">
        <f>Costs!E93</f>
        <v>0.26130862261902355</v>
      </c>
      <c r="AQ13" s="106">
        <f>Costs!F93</f>
        <v>0.20793643618037239</v>
      </c>
      <c r="AR13" s="106" t="s">
        <v>800</v>
      </c>
      <c r="AS13" s="113">
        <f>Costs!H93</f>
        <v>0.29359261808151027</v>
      </c>
      <c r="AT13" s="106" t="s">
        <v>800</v>
      </c>
      <c r="AU13" s="106" t="s">
        <v>800</v>
      </c>
      <c r="AV13" s="106" t="s">
        <v>800</v>
      </c>
      <c r="AW13" s="106" t="s">
        <v>800</v>
      </c>
      <c r="AX13" s="135">
        <f>Costs!M93</f>
        <v>1.1158811346956341</v>
      </c>
      <c r="AY13" s="106">
        <f>Costs!N93</f>
        <v>0.65997693373553057</v>
      </c>
      <c r="AZ13" s="106" t="s">
        <v>800</v>
      </c>
      <c r="BA13" s="231">
        <f>Costs!P93</f>
        <v>2.100919507272792</v>
      </c>
      <c r="BB13" s="872"/>
      <c r="BC13" s="479">
        <f t="shared" si="2"/>
        <v>2007</v>
      </c>
      <c r="BD13" s="106">
        <f>Costs!S42</f>
        <v>6.1623528088335252E-4</v>
      </c>
      <c r="BE13" s="824" t="s">
        <v>800</v>
      </c>
      <c r="BF13" s="231">
        <f>Costs!CE42</f>
        <v>3.0362487879519303E-3</v>
      </c>
      <c r="BI13" s="479">
        <v>2008</v>
      </c>
      <c r="BJ13" s="710">
        <f>Costs!K46</f>
        <v>176.58079141152297</v>
      </c>
      <c r="BK13" s="710">
        <f>Costs!D46</f>
        <v>195.06375108968865</v>
      </c>
      <c r="BL13" s="619" t="s">
        <v>800</v>
      </c>
      <c r="BM13" s="710">
        <f>Costs!AM14</f>
        <v>289.13023231892174</v>
      </c>
      <c r="BN13" s="710">
        <f>Costs!AE14</f>
        <v>433.69534847838264</v>
      </c>
      <c r="BO13" s="619" t="s">
        <v>800</v>
      </c>
      <c r="BP13" s="710">
        <f>Costs!BQ46</f>
        <v>178.20189641248371</v>
      </c>
      <c r="BQ13" s="710">
        <f>Costs!BD46</f>
        <v>320.33153011616082</v>
      </c>
      <c r="BR13" s="728">
        <f>Costs!BL46</f>
        <v>91.851549170431184</v>
      </c>
      <c r="BU13" s="479">
        <v>2007</v>
      </c>
      <c r="BV13" s="710">
        <f>USD!P43</f>
        <v>1363119.5365552048</v>
      </c>
      <c r="BW13" s="710">
        <f>USD!R43</f>
        <v>1160596.9900559215</v>
      </c>
      <c r="BX13" s="619" t="s">
        <v>800</v>
      </c>
      <c r="BY13" s="619" t="s">
        <v>800</v>
      </c>
      <c r="BZ13" s="710">
        <f>USD!CT43</f>
        <v>456781.56939941563</v>
      </c>
      <c r="CA13" s="827">
        <f>USD!CV43</f>
        <v>329454.17919308465</v>
      </c>
      <c r="CD13" s="750" t="s">
        <v>827</v>
      </c>
      <c r="CE13" s="790">
        <f>Regression!L29</f>
        <v>1.3301653314870902E-2</v>
      </c>
      <c r="CF13" s="794"/>
      <c r="CG13" s="790">
        <f>Regression!L48</f>
        <v>9.8134316232911328E-2</v>
      </c>
      <c r="CH13" s="759"/>
    </row>
    <row r="14" spans="1:86" ht="15.75" thickBot="1">
      <c r="A14" s="874"/>
      <c r="B14" s="484">
        <v>2004</v>
      </c>
      <c r="C14" s="259">
        <f>Risk!G9</f>
        <v>9.719952513646439E-2</v>
      </c>
      <c r="D14" s="259">
        <f>Risk!T9</f>
        <v>0.13941464834630346</v>
      </c>
      <c r="E14" s="260">
        <f>Risk!AG9</f>
        <v>0.1200862646647191</v>
      </c>
      <c r="F14" s="872"/>
      <c r="G14" s="172"/>
      <c r="H14" s="172"/>
      <c r="I14" s="6"/>
      <c r="J14" s="875"/>
      <c r="K14" s="490">
        <v>2004</v>
      </c>
      <c r="L14" s="259">
        <f>Returns!I11</f>
        <v>0.1380218205494993</v>
      </c>
      <c r="M14" s="259">
        <f>Returns!P11</f>
        <v>0.19210386998337114</v>
      </c>
      <c r="N14" s="260">
        <f>Returns!AA11</f>
        <v>0.21758949600640776</v>
      </c>
      <c r="O14" s="877"/>
      <c r="P14" s="985" t="s">
        <v>769</v>
      </c>
      <c r="Q14" s="986"/>
      <c r="R14" s="986"/>
      <c r="S14" s="987"/>
      <c r="V14" s="6"/>
      <c r="W14" s="479" t="str">
        <f>W8</f>
        <v>Sub-period 1: 2008-2011</v>
      </c>
      <c r="X14" s="239" t="s">
        <v>800</v>
      </c>
      <c r="Y14" s="533">
        <f>AVERAGE(AZ16:AZ19)</f>
        <v>0.29747335056931146</v>
      </c>
      <c r="Z14" s="872"/>
      <c r="AA14" s="6"/>
      <c r="AB14" s="31"/>
      <c r="AC14" s="479"/>
      <c r="AD14" s="880" t="s">
        <v>531</v>
      </c>
      <c r="AE14" s="880" t="s">
        <v>383</v>
      </c>
      <c r="AF14" s="322" t="s">
        <v>533</v>
      </c>
      <c r="AG14" s="880" t="s">
        <v>531</v>
      </c>
      <c r="AH14" s="880" t="s">
        <v>383</v>
      </c>
      <c r="AI14" s="880" t="s">
        <v>533</v>
      </c>
      <c r="AJ14" s="880" t="s">
        <v>531</v>
      </c>
      <c r="AK14" s="880" t="s">
        <v>383</v>
      </c>
      <c r="AL14" s="879" t="s">
        <v>533</v>
      </c>
      <c r="AO14" s="479">
        <f>Costs!D94</f>
        <v>2006</v>
      </c>
      <c r="AP14" s="135">
        <f>Costs!E94</f>
        <v>0.26577453675602158</v>
      </c>
      <c r="AQ14" s="106">
        <f>Costs!F94</f>
        <v>0.34188514419087102</v>
      </c>
      <c r="AR14" s="106" t="s">
        <v>800</v>
      </c>
      <c r="AS14" s="113">
        <f>Costs!H94</f>
        <v>0.22278487539131775</v>
      </c>
      <c r="AT14" s="106" t="s">
        <v>800</v>
      </c>
      <c r="AU14" s="106" t="s">
        <v>800</v>
      </c>
      <c r="AV14" s="106" t="s">
        <v>800</v>
      </c>
      <c r="AW14" s="106" t="s">
        <v>800</v>
      </c>
      <c r="AX14" s="135">
        <f>Costs!M94</f>
        <v>0.17267772635610679</v>
      </c>
      <c r="AY14" s="106">
        <f>Costs!N94</f>
        <v>0.76978278706823566</v>
      </c>
      <c r="AZ14" s="106" t="s">
        <v>800</v>
      </c>
      <c r="BA14" s="231">
        <f>Costs!P94</f>
        <v>-0.51794659267690668</v>
      </c>
      <c r="BB14" s="872"/>
      <c r="BC14" s="479">
        <f t="shared" si="2"/>
        <v>2008</v>
      </c>
      <c r="BD14" s="106">
        <f>Costs!S46</f>
        <v>8.5359763166305703E-4</v>
      </c>
      <c r="BE14" s="124">
        <f>Costs!AV14</f>
        <v>2.0858905549271142E-3</v>
      </c>
      <c r="BF14" s="231">
        <f>Costs!CE46</f>
        <v>6.2587398239631522E-3</v>
      </c>
      <c r="BI14" s="479">
        <v>2009</v>
      </c>
      <c r="BJ14" s="710">
        <f>Costs!K50</f>
        <v>227.73930889358377</v>
      </c>
      <c r="BK14" s="710">
        <f>Costs!D50</f>
        <v>295.38441995285223</v>
      </c>
      <c r="BL14" s="619" t="s">
        <v>800</v>
      </c>
      <c r="BM14" s="710">
        <f>Costs!AM15</f>
        <v>329.99228105012151</v>
      </c>
      <c r="BN14" s="710">
        <f>Costs!AE15</f>
        <v>1086.1050293693131</v>
      </c>
      <c r="BO14" s="619" t="s">
        <v>800</v>
      </c>
      <c r="BP14" s="710">
        <f>Costs!BQ50</f>
        <v>199.6819573745891</v>
      </c>
      <c r="BQ14" s="710">
        <f>Costs!BD50</f>
        <v>404.70758152378812</v>
      </c>
      <c r="BR14" s="728">
        <f>Costs!BL50</f>
        <v>124.7449706345206</v>
      </c>
      <c r="BU14" s="479">
        <v>2008</v>
      </c>
      <c r="BV14" s="710">
        <f>USD!P47</f>
        <v>1456640.752600336</v>
      </c>
      <c r="BW14" s="710">
        <f>USD!R47</f>
        <v>1402990.3633621631</v>
      </c>
      <c r="BX14" s="710">
        <f>USD!AX15</f>
        <v>176735</v>
      </c>
      <c r="BY14" s="710">
        <f>USD!AY15</f>
        <v>786.00000000000102</v>
      </c>
      <c r="BZ14" s="710">
        <f>USD!CT47</f>
        <v>444085.92941091442</v>
      </c>
      <c r="CA14" s="827">
        <f>USD!CV47</f>
        <v>346121.97774992045</v>
      </c>
      <c r="CD14" s="751" t="s">
        <v>436</v>
      </c>
      <c r="CE14" s="755">
        <f>Regression!J32</f>
        <v>40</v>
      </c>
      <c r="CF14" s="752"/>
      <c r="CG14" s="755">
        <f>Regression!J51</f>
        <v>40</v>
      </c>
      <c r="CH14" s="753"/>
    </row>
    <row r="15" spans="1:86" ht="15.75" thickBot="1">
      <c r="A15" s="874"/>
      <c r="B15" s="484">
        <v>2005</v>
      </c>
      <c r="C15" s="259">
        <f>Risk!G10</f>
        <v>3.5977637472784756E-2</v>
      </c>
      <c r="D15" s="259">
        <f>Risk!T10</f>
        <v>6.6170510077797937E-2</v>
      </c>
      <c r="E15" s="260">
        <f>Risk!AG10</f>
        <v>9.3983766941799773E-2</v>
      </c>
      <c r="F15" s="872"/>
      <c r="G15" s="172"/>
      <c r="H15" s="172"/>
      <c r="I15" s="6"/>
      <c r="J15" s="875"/>
      <c r="K15" s="490">
        <v>2005</v>
      </c>
      <c r="L15" s="259">
        <f>Returns!I12</f>
        <v>2.2541971465570576E-2</v>
      </c>
      <c r="M15" s="259">
        <f>Returns!P12</f>
        <v>-1.9730742936255208E-2</v>
      </c>
      <c r="N15" s="260">
        <f>Returns!AA12</f>
        <v>0.18527045342482196</v>
      </c>
      <c r="O15" s="877"/>
      <c r="P15" s="479" t="str">
        <f>P5</f>
        <v xml:space="preserve">Sub-period 1: 2001-2005 </v>
      </c>
      <c r="Q15" s="648">
        <f t="shared" ref="Q15:S17" si="3">L5</f>
        <v>1.8754323550274381E-2</v>
      </c>
      <c r="R15" s="649">
        <f t="shared" si="3"/>
        <v>2.5836435982377438E-2</v>
      </c>
      <c r="S15" s="650">
        <f t="shared" si="3"/>
        <v>2.0017447683076582E-2</v>
      </c>
      <c r="V15" s="6"/>
      <c r="W15" s="483" t="str">
        <f>W9</f>
        <v>Sub-period 2: 2012-2016</v>
      </c>
      <c r="X15" s="765">
        <f>AVERAGE(AV20:AV24)</f>
        <v>-4.217561301690427E-2</v>
      </c>
      <c r="Y15" s="707">
        <f>AVERAGE(AZ20:AZ24)</f>
        <v>0.17723373177315316</v>
      </c>
      <c r="Z15" s="872"/>
      <c r="AA15" s="6"/>
      <c r="AB15" s="31"/>
      <c r="AC15" s="482" t="s">
        <v>499</v>
      </c>
      <c r="AD15" s="218">
        <f>AVERAGE(AD36:AD51)</f>
        <v>0.55376052672567122</v>
      </c>
      <c r="AE15" s="219">
        <f>AVERAGE(AE36:AE51)</f>
        <v>0.44623947327432884</v>
      </c>
      <c r="AF15" s="293" t="s">
        <v>800</v>
      </c>
      <c r="AG15" s="779" t="s">
        <v>800</v>
      </c>
      <c r="AH15" s="779" t="s">
        <v>800</v>
      </c>
      <c r="AI15" s="304" t="s">
        <v>800</v>
      </c>
      <c r="AJ15" s="219">
        <f>AVERAGE(AI36:AI51)</f>
        <v>0.48266132451349719</v>
      </c>
      <c r="AK15" s="219">
        <f>AVERAGE(AJ36:AJ51)</f>
        <v>0.41992749162723136</v>
      </c>
      <c r="AL15" s="782" t="s">
        <v>800</v>
      </c>
      <c r="AO15" s="479">
        <f>Costs!D95</f>
        <v>2007</v>
      </c>
      <c r="AP15" s="135">
        <f>Costs!E95</f>
        <v>0.31294201438993507</v>
      </c>
      <c r="AQ15" s="106">
        <f>Costs!F95</f>
        <v>0.60449614309490229</v>
      </c>
      <c r="AR15" s="106" t="s">
        <v>800</v>
      </c>
      <c r="AS15" s="113">
        <f>Costs!H95</f>
        <v>0.13222322087455374</v>
      </c>
      <c r="AT15" s="106" t="s">
        <v>800</v>
      </c>
      <c r="AU15" s="106" t="s">
        <v>800</v>
      </c>
      <c r="AV15" s="106" t="s">
        <v>800</v>
      </c>
      <c r="AW15" s="106" t="s">
        <v>800</v>
      </c>
      <c r="AX15" s="135">
        <f>Costs!M95</f>
        <v>3.3710277861990861</v>
      </c>
      <c r="AY15" s="106">
        <f>Costs!N95</f>
        <v>1.0766056048582238</v>
      </c>
      <c r="AZ15" s="106" t="s">
        <v>800</v>
      </c>
      <c r="BA15" s="231">
        <f>Costs!P95</f>
        <v>8.7898112119336211</v>
      </c>
      <c r="BB15" s="872"/>
      <c r="BC15" s="479">
        <f t="shared" si="2"/>
        <v>2009</v>
      </c>
      <c r="BD15" s="106">
        <f>Costs!S50</f>
        <v>1.0299302447275701E-3</v>
      </c>
      <c r="BE15" s="124">
        <f>Costs!AV15</f>
        <v>3.8364513408144785E-3</v>
      </c>
      <c r="BF15" s="231">
        <f>Costs!CE50</f>
        <v>5.9743963223661406E-3</v>
      </c>
      <c r="BI15" s="479">
        <v>2010</v>
      </c>
      <c r="BJ15" s="710">
        <f>Costs!K54</f>
        <v>252.8891745587531</v>
      </c>
      <c r="BK15" s="710">
        <f>Costs!D54</f>
        <v>239.14758603890874</v>
      </c>
      <c r="BL15" s="620" t="s">
        <v>800</v>
      </c>
      <c r="BM15" s="710">
        <f>Costs!AM16</f>
        <v>470.88432344252664</v>
      </c>
      <c r="BN15" s="710">
        <f>Costs!AE16</f>
        <v>1711.8187940531736</v>
      </c>
      <c r="BO15" s="620" t="s">
        <v>800</v>
      </c>
      <c r="BP15" s="710">
        <f>Costs!BQ54</f>
        <v>262.1155892321741</v>
      </c>
      <c r="BQ15" s="710">
        <f>Costs!BD54</f>
        <v>471.98687573408574</v>
      </c>
      <c r="BR15" s="728">
        <f>Costs!BL54</f>
        <v>191.1929561562994</v>
      </c>
      <c r="BU15" s="479">
        <v>2009</v>
      </c>
      <c r="BV15" s="710">
        <f>USD!P51</f>
        <v>1573000.8699450295</v>
      </c>
      <c r="BW15" s="710">
        <f>USD!R51</f>
        <v>1467226.3801453703</v>
      </c>
      <c r="BX15" s="710">
        <f>USD!AX16</f>
        <v>212419</v>
      </c>
      <c r="BY15" s="710">
        <f>USD!AY16</f>
        <v>519.00000000000045</v>
      </c>
      <c r="BZ15" s="710">
        <f>USD!CT51</f>
        <v>417849.39389021753</v>
      </c>
      <c r="CA15" s="827">
        <f>USD!CV51</f>
        <v>354611.76597503317</v>
      </c>
      <c r="CD15" s="979" t="str">
        <f>BM4</f>
        <v>APG</v>
      </c>
      <c r="CE15" s="980"/>
      <c r="CF15" s="980"/>
      <c r="CG15" s="980"/>
      <c r="CH15" s="981"/>
    </row>
    <row r="16" spans="1:86" ht="15.75" thickBot="1">
      <c r="A16" s="874"/>
      <c r="B16" s="484">
        <v>2006</v>
      </c>
      <c r="C16" s="259">
        <f>Risk!G11</f>
        <v>2.9731901073595551E-2</v>
      </c>
      <c r="D16" s="259">
        <f>Risk!T11</f>
        <v>4.8255711756969556E-2</v>
      </c>
      <c r="E16" s="260">
        <f>Risk!AG11</f>
        <v>2.4988612165459712E-2</v>
      </c>
      <c r="F16" s="872"/>
      <c r="G16" s="172"/>
      <c r="H16" s="172"/>
      <c r="I16" s="6"/>
      <c r="J16" s="875"/>
      <c r="K16" s="490">
        <v>2006</v>
      </c>
      <c r="L16" s="259">
        <f>Returns!I13</f>
        <v>0.14397423298343881</v>
      </c>
      <c r="M16" s="259">
        <f>Returns!P13</f>
        <v>0.20868661304458969</v>
      </c>
      <c r="N16" s="260">
        <f>Returns!AA13</f>
        <v>0.15261002993067896</v>
      </c>
      <c r="O16" s="877"/>
      <c r="P16" s="479" t="str">
        <f>P6</f>
        <v xml:space="preserve">Sub-period 2: 2006-2010 </v>
      </c>
      <c r="Q16" s="651">
        <f t="shared" si="3"/>
        <v>1.5327073619215875E-2</v>
      </c>
      <c r="R16" s="530">
        <f t="shared" si="3"/>
        <v>2.0915906331160018E-2</v>
      </c>
      <c r="S16" s="531">
        <f t="shared" si="3"/>
        <v>1.9465685013387406E-2</v>
      </c>
      <c r="V16" s="6"/>
      <c r="Z16" s="6"/>
      <c r="AA16" s="6"/>
      <c r="AB16" s="31"/>
      <c r="AC16" s="482" t="str">
        <f>W7</f>
        <v>Overall: 2008-2016</v>
      </c>
      <c r="AD16" s="218">
        <f>AVERAGE(AD43:AD51)</f>
        <v>0.62053575487724588</v>
      </c>
      <c r="AE16" s="219">
        <f>AVERAGE(AE43:AE51)</f>
        <v>0.37946424512275406</v>
      </c>
      <c r="AF16" s="293" t="s">
        <v>800</v>
      </c>
      <c r="AG16" s="219">
        <f>AVERAGE(AF43:AF51)</f>
        <v>0.24433196989080563</v>
      </c>
      <c r="AH16" s="219">
        <f>AVERAGE(AG43:AG51)</f>
        <v>0.69656412159687908</v>
      </c>
      <c r="AI16" s="304" t="s">
        <v>800</v>
      </c>
      <c r="AJ16" s="219">
        <f>AVERAGE(AI43:AI51)</f>
        <v>0.32244372619536366</v>
      </c>
      <c r="AK16" s="219">
        <f>AVERAGE(AJ43:AJ51)</f>
        <v>0.52533238915995406</v>
      </c>
      <c r="AL16" s="220">
        <f>AVERAGE(AK43:AK51)</f>
        <v>0.15222388464468234</v>
      </c>
      <c r="AO16" s="479">
        <f>Costs!D96</f>
        <v>2008</v>
      </c>
      <c r="AP16" s="135">
        <f>Costs!E96</f>
        <v>0.18369616955022861</v>
      </c>
      <c r="AQ16" s="106">
        <f>Costs!F96</f>
        <v>0.20268678084577596</v>
      </c>
      <c r="AR16" s="106" t="s">
        <v>800</v>
      </c>
      <c r="AS16" s="113">
        <f>Costs!H96</f>
        <v>0.16701487745140975</v>
      </c>
      <c r="AT16" s="135">
        <f>Costs!I96</f>
        <v>2.3585373340606841E-2</v>
      </c>
      <c r="AU16" s="106">
        <f>Costs!J96</f>
        <v>0.30103088243029741</v>
      </c>
      <c r="AV16" s="106" t="s">
        <v>800</v>
      </c>
      <c r="AW16" s="809">
        <f>Costs!L96</f>
        <v>-0.10382162781236282</v>
      </c>
      <c r="AX16" s="106">
        <f>Costs!M96</f>
        <v>0.57717916450713203</v>
      </c>
      <c r="AY16" s="106">
        <f>Costs!N96</f>
        <v>0.23802395402846011</v>
      </c>
      <c r="AZ16" s="106">
        <f>Costs!O96</f>
        <v>0.30128817612095626</v>
      </c>
      <c r="BA16" s="231">
        <f>Costs!P96</f>
        <v>1.0045276190618622</v>
      </c>
      <c r="BB16" s="872"/>
      <c r="BC16" s="479">
        <f t="shared" si="2"/>
        <v>2010</v>
      </c>
      <c r="BD16" s="106">
        <f>Costs!S54</f>
        <v>8.3604183272458681E-4</v>
      </c>
      <c r="BE16" s="124">
        <f>Costs!AV16</f>
        <v>6.2434763922146501E-3</v>
      </c>
      <c r="BF16" s="231">
        <f>Costs!CE54</f>
        <v>6.3793663456359175E-3</v>
      </c>
      <c r="BI16" s="479">
        <v>2011</v>
      </c>
      <c r="BJ16" s="710">
        <f>Costs!K58</f>
        <v>285.7713936756092</v>
      </c>
      <c r="BK16" s="710">
        <f>Costs!D58</f>
        <v>161.58428510486021</v>
      </c>
      <c r="BL16" s="620" t="s">
        <v>800</v>
      </c>
      <c r="BM16" s="710">
        <f>Costs!AM17</f>
        <v>576.37860285307409</v>
      </c>
      <c r="BN16" s="710">
        <f>Costs!AE17</f>
        <v>1535.7114576017718</v>
      </c>
      <c r="BO16" s="710">
        <f>Costs!AI17</f>
        <v>318.04675157433144</v>
      </c>
      <c r="BP16" s="710">
        <f>Costs!BQ58</f>
        <v>440.32052422117283</v>
      </c>
      <c r="BQ16" s="710">
        <f>Costs!BD58</f>
        <v>557.25448785645904</v>
      </c>
      <c r="BR16" s="728">
        <f>Costs!BL58</f>
        <v>190.77606486454414</v>
      </c>
      <c r="BU16" s="479">
        <v>2010</v>
      </c>
      <c r="BV16" s="710">
        <f>USD!P55</f>
        <v>1919650.2496394087</v>
      </c>
      <c r="BW16" s="710">
        <f>USD!R55</f>
        <v>1605389.9074427553</v>
      </c>
      <c r="BX16" s="710">
        <f>USD!AX17</f>
        <v>237596.99999999997</v>
      </c>
      <c r="BY16" s="710">
        <f>USD!AY17</f>
        <v>1062.9999999999995</v>
      </c>
      <c r="BZ16" s="710">
        <f>USD!CT55</f>
        <v>523960.40244190296</v>
      </c>
      <c r="CA16" s="827">
        <f>USD!CV55</f>
        <v>412518.90300942364</v>
      </c>
      <c r="CD16" s="750"/>
      <c r="CE16" s="975" t="s">
        <v>822</v>
      </c>
      <c r="CF16" s="975"/>
      <c r="CG16" s="975" t="s">
        <v>823</v>
      </c>
      <c r="CH16" s="982"/>
    </row>
    <row r="17" spans="1:86">
      <c r="A17" s="874"/>
      <c r="B17" s="484">
        <v>2007</v>
      </c>
      <c r="C17" s="259">
        <f>Risk!G12</f>
        <v>3.2567274805238661E-2</v>
      </c>
      <c r="D17" s="259">
        <f>Risk!T12</f>
        <v>4.7717479323646762E-2</v>
      </c>
      <c r="E17" s="260">
        <f>Risk!AG12</f>
        <v>7.6482514994238193E-2</v>
      </c>
      <c r="F17" s="872"/>
      <c r="G17" s="172"/>
      <c r="H17" s="172"/>
      <c r="I17" s="6"/>
      <c r="J17" s="875"/>
      <c r="K17" s="490">
        <v>2007</v>
      </c>
      <c r="L17" s="259">
        <f>Returns!I14</f>
        <v>9.7812411217770734E-2</v>
      </c>
      <c r="M17" s="259">
        <f>Returns!P14</f>
        <v>0.14358951561793143</v>
      </c>
      <c r="N17" s="260">
        <f>Returns!AA14</f>
        <v>0.21301464748413879</v>
      </c>
      <c r="O17" s="877"/>
      <c r="P17" s="479" t="str">
        <f>P7</f>
        <v xml:space="preserve">Sub-period 3: 2011-2016 </v>
      </c>
      <c r="Q17" s="651">
        <f t="shared" si="3"/>
        <v>1.0781909965950312E-2</v>
      </c>
      <c r="R17" s="530">
        <f t="shared" si="3"/>
        <v>1.0880367996142013E-2</v>
      </c>
      <c r="S17" s="531">
        <f t="shared" si="3"/>
        <v>1.2852843382518769E-2</v>
      </c>
      <c r="V17" s="6"/>
      <c r="Z17" s="6"/>
      <c r="AA17" s="6"/>
      <c r="AB17" s="6"/>
      <c r="AC17" s="479" t="s">
        <v>876</v>
      </c>
      <c r="AD17" s="306">
        <f>AVERAGE(AD36:AD42)</f>
        <v>0.46790666195936098</v>
      </c>
      <c r="AE17" s="217">
        <f>AVERAGE(AE36:AE42)</f>
        <v>0.53209333804063907</v>
      </c>
      <c r="AF17" s="17" t="s">
        <v>800</v>
      </c>
      <c r="AG17" s="780" t="s">
        <v>800</v>
      </c>
      <c r="AH17" s="780" t="s">
        <v>800</v>
      </c>
      <c r="AI17" s="300" t="s">
        <v>800</v>
      </c>
      <c r="AJ17" s="217">
        <f>AVERAGE(AI36:AI42)</f>
        <v>0.68865537949395461</v>
      </c>
      <c r="AK17" s="217">
        <f>AVERAGE(AJ36:AJ42)</f>
        <v>0.28440690908515959</v>
      </c>
      <c r="AL17" s="781" t="s">
        <v>800</v>
      </c>
      <c r="AO17" s="479">
        <f>Costs!D97</f>
        <v>2009</v>
      </c>
      <c r="AP17" s="135">
        <f>Costs!E97</f>
        <v>0.40759158018506514</v>
      </c>
      <c r="AQ17" s="106">
        <f>Costs!F97</f>
        <v>0.28971734169451913</v>
      </c>
      <c r="AR17" s="106" t="s">
        <v>800</v>
      </c>
      <c r="AS17" s="113">
        <f>Costs!H97</f>
        <v>0.51429683015291228</v>
      </c>
      <c r="AT17" s="135">
        <f>Costs!I97</f>
        <v>0.95911344042005919</v>
      </c>
      <c r="AU17" s="106">
        <f>Costs!J97</f>
        <v>0.14132748555373253</v>
      </c>
      <c r="AV17" s="106" t="s">
        <v>800</v>
      </c>
      <c r="AW17" s="810">
        <f>Costs!L97</f>
        <v>1.5043040769976104</v>
      </c>
      <c r="AX17" s="106">
        <f>Costs!M97</f>
        <v>0.23501535361655934</v>
      </c>
      <c r="AY17" s="106">
        <f>Costs!N97</f>
        <v>0.12053777986955616</v>
      </c>
      <c r="AZ17" s="106">
        <f>Costs!O97</f>
        <v>0.3581150428182267</v>
      </c>
      <c r="BA17" s="231">
        <f>Costs!P97</f>
        <v>0.26340226757269347</v>
      </c>
      <c r="BB17" s="872"/>
      <c r="BC17" s="479">
        <f t="shared" si="2"/>
        <v>2011</v>
      </c>
      <c r="BD17" s="106">
        <f>Costs!S58</f>
        <v>7.9051040464426321E-4</v>
      </c>
      <c r="BE17" s="124">
        <f>Costs!AV17</f>
        <v>6.9872125053187916E-3</v>
      </c>
      <c r="BF17" s="231">
        <f>Costs!CE58</f>
        <v>7.4963974085367662E-3</v>
      </c>
      <c r="BI17" s="479">
        <v>2012</v>
      </c>
      <c r="BJ17" s="710">
        <f>Costs!K62</f>
        <v>281.87619179385922</v>
      </c>
      <c r="BK17" s="710">
        <f>Costs!D62</f>
        <v>101.3178948809477</v>
      </c>
      <c r="BL17" s="620" t="s">
        <v>800</v>
      </c>
      <c r="BM17" s="710">
        <f>Costs!AM18</f>
        <v>627.5585204912361</v>
      </c>
      <c r="BN17" s="710">
        <f>Costs!AE18</f>
        <v>1886.6307622331065</v>
      </c>
      <c r="BO17" s="710">
        <f>Costs!AI18</f>
        <v>204.35203923559155</v>
      </c>
      <c r="BP17" s="710">
        <f>Costs!BQ62</f>
        <v>499.38928418974558</v>
      </c>
      <c r="BQ17" s="710">
        <f>Costs!BD62</f>
        <v>819.23415239144686</v>
      </c>
      <c r="BR17" s="728">
        <f>Costs!BL62</f>
        <v>193.10291118767762</v>
      </c>
      <c r="BU17" s="479">
        <v>2011</v>
      </c>
      <c r="BV17" s="710">
        <f>USD!P59</f>
        <v>2214704.6753157796</v>
      </c>
      <c r="BW17" s="710">
        <f>USD!R59</f>
        <v>1866262.8492299407</v>
      </c>
      <c r="BX17" s="710">
        <f>USD!AX18</f>
        <v>246545</v>
      </c>
      <c r="BY17" s="710">
        <f>USD!AY18</f>
        <v>1568.9999999999986</v>
      </c>
      <c r="BZ17" s="710">
        <f>USD!CT59</f>
        <v>607343.20274633938</v>
      </c>
      <c r="CA17" s="827">
        <f>USD!CV59</f>
        <v>443908.55003570556</v>
      </c>
      <c r="CD17" s="750"/>
      <c r="CE17" s="749" t="str">
        <f>CE6</f>
        <v>Intercept</v>
      </c>
      <c r="CF17" s="748" t="str">
        <f>CF6</f>
        <v>Variable X</v>
      </c>
      <c r="CG17" s="748" t="str">
        <f>CG6</f>
        <v>Intercept</v>
      </c>
      <c r="CH17" s="754" t="str">
        <f>CH6</f>
        <v>Variable X</v>
      </c>
    </row>
    <row r="18" spans="1:86" ht="15.75" customHeight="1" thickBot="1">
      <c r="A18" s="874"/>
      <c r="B18" s="484">
        <v>2008</v>
      </c>
      <c r="C18" s="259">
        <f>Risk!G13</f>
        <v>0.12597187231411344</v>
      </c>
      <c r="D18" s="259">
        <f>Risk!T13</f>
        <v>0.17913822159640999</v>
      </c>
      <c r="E18" s="260">
        <f>Risk!AG13</f>
        <v>0.19259197340655748</v>
      </c>
      <c r="F18" s="872"/>
      <c r="G18" s="172"/>
      <c r="H18" s="172"/>
      <c r="I18" s="6"/>
      <c r="J18" s="875"/>
      <c r="K18" s="490">
        <v>2008</v>
      </c>
      <c r="L18" s="259">
        <f>Returns!I15</f>
        <v>-0.28102700300051109</v>
      </c>
      <c r="M18" s="259">
        <f>Returns!P15</f>
        <v>-0.25453543596623374</v>
      </c>
      <c r="N18" s="260">
        <f>Returns!AA15</f>
        <v>-0.32111718322328797</v>
      </c>
      <c r="O18" s="877"/>
      <c r="P18" s="479" t="str">
        <f>P8</f>
        <v>Overall: 2001-2016</v>
      </c>
      <c r="Q18" s="764">
        <f>L4</f>
        <v>1.4693652852697072E-2</v>
      </c>
      <c r="R18" s="765">
        <f>M4</f>
        <v>1.8690244971533709E-2</v>
      </c>
      <c r="S18" s="707">
        <f>N4</f>
        <v>1.7158295236089534E-2</v>
      </c>
      <c r="V18" s="6"/>
      <c r="Z18" s="6"/>
      <c r="AA18" s="6"/>
      <c r="AB18" s="6"/>
      <c r="AC18" s="479" t="s">
        <v>877</v>
      </c>
      <c r="AD18" s="297">
        <f>AVERAGE(AD43:AD46)</f>
        <v>0.51581096620684219</v>
      </c>
      <c r="AE18" s="216">
        <f>AVERAGE(AE43:AE46)</f>
        <v>0.48418903379315775</v>
      </c>
      <c r="AF18" s="619" t="s">
        <v>800</v>
      </c>
      <c r="AG18" s="216">
        <f>AVERAGE(AF43:AF46)</f>
        <v>0.27148583744606314</v>
      </c>
      <c r="AH18" s="216">
        <f>AVERAGE(AG43:AG46)</f>
        <v>0.69579514545991983</v>
      </c>
      <c r="AI18" s="299" t="s">
        <v>800</v>
      </c>
      <c r="AJ18" s="216">
        <f>AVERAGE(AI43:AI46)</f>
        <v>0.30737754664646877</v>
      </c>
      <c r="AK18" s="216">
        <f>AVERAGE(AJ43:AJ46)</f>
        <v>0.51916420211023417</v>
      </c>
      <c r="AL18" s="223">
        <f>AVERAGE(AK43:AK46)</f>
        <v>0.17345825124329697</v>
      </c>
      <c r="AO18" s="479">
        <f>Costs!D98</f>
        <v>2010</v>
      </c>
      <c r="AP18" s="135">
        <f>Costs!E98</f>
        <v>-5.9425651207460017E-2</v>
      </c>
      <c r="AQ18" s="106">
        <f>Costs!F98</f>
        <v>0.11043269511685905</v>
      </c>
      <c r="AR18" s="106" t="s">
        <v>800</v>
      </c>
      <c r="AS18" s="113">
        <f>Costs!H98</f>
        <v>-0.19038524077512187</v>
      </c>
      <c r="AT18" s="135">
        <f>Costs!I98</f>
        <v>0.54135107907888358</v>
      </c>
      <c r="AU18" s="106">
        <f>Costs!J98</f>
        <v>0.42695556982136029</v>
      </c>
      <c r="AV18" s="106" t="s">
        <v>800</v>
      </c>
      <c r="AW18" s="809">
        <f>Costs!L98</f>
        <v>0.57610797092727228</v>
      </c>
      <c r="AX18" s="106">
        <f>Costs!M98</f>
        <v>0.26903254341277449</v>
      </c>
      <c r="AY18" s="106">
        <f>Costs!N98</f>
        <v>0.31266536385390076</v>
      </c>
      <c r="AZ18" s="106">
        <f>Costs!O98</f>
        <v>0.53267065745246711</v>
      </c>
      <c r="BA18" s="231">
        <f>Costs!P98</f>
        <v>0.16624174411801329</v>
      </c>
      <c r="BB18" s="872"/>
      <c r="BC18" s="479">
        <f t="shared" si="2"/>
        <v>2012</v>
      </c>
      <c r="BD18" s="106">
        <f>Costs!S62</f>
        <v>5.5000136454270542E-4</v>
      </c>
      <c r="BE18" s="124">
        <f>Costs!AV18</f>
        <v>6.5477778201171099E-3</v>
      </c>
      <c r="BF18" s="231">
        <f>Costs!CE62</f>
        <v>7.7618572263309918E-3</v>
      </c>
      <c r="BI18" s="479">
        <v>2013</v>
      </c>
      <c r="BJ18" s="710">
        <f>Costs!K66</f>
        <v>314.84582255679982</v>
      </c>
      <c r="BK18" s="710">
        <f>Costs!D66</f>
        <v>165.18416594836739</v>
      </c>
      <c r="BL18" s="620" t="s">
        <v>800</v>
      </c>
      <c r="BM18" s="710">
        <f>Costs!AM19</f>
        <v>693.10859895606552</v>
      </c>
      <c r="BN18" s="710">
        <f>Costs!AE19</f>
        <v>2314.9551615232413</v>
      </c>
      <c r="BO18" s="710">
        <f>Costs!AI19</f>
        <v>272.83400117952482</v>
      </c>
      <c r="BP18" s="710">
        <f>Costs!BQ66</f>
        <v>460.60463714409104</v>
      </c>
      <c r="BQ18" s="710">
        <f>Costs!BD66</f>
        <v>870.59268005122624</v>
      </c>
      <c r="BR18" s="728">
        <f>Costs!BL66</f>
        <v>194.45909371174287</v>
      </c>
      <c r="BU18" s="479">
        <v>2012</v>
      </c>
      <c r="BV18" s="710">
        <f>USD!P63</f>
        <v>2547131.2793148602</v>
      </c>
      <c r="BW18" s="710">
        <f>USD!R63</f>
        <v>2060718.4556230761</v>
      </c>
      <c r="BX18" s="710">
        <f>USD!AX19</f>
        <v>281574</v>
      </c>
      <c r="BY18" s="710">
        <f>USD!AY19</f>
        <v>1444.9999999999998</v>
      </c>
      <c r="BZ18" s="710">
        <f>USD!CT63</f>
        <v>670545.05523289926</v>
      </c>
      <c r="CA18" s="827">
        <f>USD!CV63</f>
        <v>460132.23157306726</v>
      </c>
      <c r="CD18" s="750" t="str">
        <f>CD7</f>
        <v>Coefficients</v>
      </c>
      <c r="CE18" s="790">
        <f>Regression!J126</f>
        <v>-0.23328028331540504</v>
      </c>
      <c r="CF18" s="790">
        <f>Regression!J127</f>
        <v>51.489238146873447</v>
      </c>
      <c r="CG18" s="790">
        <f>Regression!J148</f>
        <v>-9.160545998683077E-2</v>
      </c>
      <c r="CH18" s="791">
        <f>Regression!J149</f>
        <v>15.835521547612036</v>
      </c>
    </row>
    <row r="19" spans="1:86" ht="15.75" customHeight="1" thickBot="1">
      <c r="A19" s="874"/>
      <c r="B19" s="484">
        <v>2009</v>
      </c>
      <c r="C19" s="259">
        <f>Risk!G14</f>
        <v>0.24286244882650884</v>
      </c>
      <c r="D19" s="259">
        <f>Risk!T14</f>
        <v>0.23083118567329225</v>
      </c>
      <c r="E19" s="260">
        <f>Risk!AG14</f>
        <v>0.21159271264344831</v>
      </c>
      <c r="F19" s="872"/>
      <c r="G19" s="172"/>
      <c r="H19" s="172"/>
      <c r="I19" s="6"/>
      <c r="J19" s="875"/>
      <c r="K19" s="490">
        <v>2009</v>
      </c>
      <c r="L19" s="259">
        <f>Returns!I16</f>
        <v>0.28762640426230202</v>
      </c>
      <c r="M19" s="259">
        <f>Returns!P16</f>
        <v>0.24112412195647193</v>
      </c>
      <c r="N19" s="260">
        <f>Returns!AA16</f>
        <v>0.25901781745407937</v>
      </c>
      <c r="O19" s="877"/>
      <c r="P19" s="985" t="s">
        <v>770</v>
      </c>
      <c r="Q19" s="986"/>
      <c r="R19" s="986"/>
      <c r="S19" s="987"/>
      <c r="V19" s="885" t="s">
        <v>879</v>
      </c>
      <c r="W19" s="991" t="s">
        <v>880</v>
      </c>
      <c r="X19" s="992"/>
      <c r="Y19" s="993"/>
      <c r="Z19" s="872"/>
      <c r="AA19" s="886"/>
      <c r="AB19" s="6"/>
      <c r="AC19" s="483" t="s">
        <v>878</v>
      </c>
      <c r="AD19" s="298">
        <f>AVERAGE(AD47:AD51)</f>
        <v>0.70431558581356879</v>
      </c>
      <c r="AE19" s="301">
        <f>AVERAGE(AE47:AE51)</f>
        <v>0.2956844141864311</v>
      </c>
      <c r="AF19" s="708" t="s">
        <v>800</v>
      </c>
      <c r="AG19" s="301">
        <f t="shared" ref="AG19:AL19" si="4">AVERAGE(AF47:AF51)</f>
        <v>0.22260887584659955</v>
      </c>
      <c r="AH19" s="301">
        <f t="shared" si="4"/>
        <v>0.69717930250644655</v>
      </c>
      <c r="AI19" s="301">
        <f t="shared" si="4"/>
        <v>8.0211821646953854E-2</v>
      </c>
      <c r="AJ19" s="301">
        <f t="shared" si="4"/>
        <v>0.33449666983447957</v>
      </c>
      <c r="AK19" s="301">
        <f t="shared" si="4"/>
        <v>0.53026693879972986</v>
      </c>
      <c r="AL19" s="302">
        <f t="shared" si="4"/>
        <v>0.13523639136579063</v>
      </c>
      <c r="AO19" s="479">
        <f>Costs!D99</f>
        <v>2011</v>
      </c>
      <c r="AP19" s="135">
        <f>Costs!E99</f>
        <v>-9.0808422043344272E-2</v>
      </c>
      <c r="AQ19" s="106">
        <f>Costs!F99</f>
        <v>0.13002620287811761</v>
      </c>
      <c r="AR19" s="106" t="s">
        <v>800</v>
      </c>
      <c r="AS19" s="113">
        <f>Costs!H99</f>
        <v>-0.32433235985676712</v>
      </c>
      <c r="AT19" s="135">
        <f>Costs!I99</f>
        <v>0.11336113122767122</v>
      </c>
      <c r="AU19" s="106">
        <f>Costs!J99</f>
        <v>0.22403438415469656</v>
      </c>
      <c r="AV19" s="106" t="s">
        <v>800</v>
      </c>
      <c r="AW19" s="809">
        <f>Costs!L99</f>
        <v>-0.10287732385179749</v>
      </c>
      <c r="AX19" s="106">
        <f>Costs!M99</f>
        <v>0.28429369670983595</v>
      </c>
      <c r="AY19" s="106">
        <f>Costs!N99</f>
        <v>0.67987156166873453</v>
      </c>
      <c r="AZ19" s="106">
        <f>Costs!O99</f>
        <v>-2.1804741144043627E-3</v>
      </c>
      <c r="BA19" s="231">
        <f>Costs!P99</f>
        <v>0.18065674387609976</v>
      </c>
      <c r="BB19" s="872"/>
      <c r="BC19" s="479">
        <f t="shared" si="2"/>
        <v>2013</v>
      </c>
      <c r="BD19" s="106">
        <f>Costs!S66</f>
        <v>5.6395665987397632E-4</v>
      </c>
      <c r="BE19" s="124">
        <f>Costs!AV19</f>
        <v>7.3209278299798319E-3</v>
      </c>
      <c r="BF19" s="231">
        <f>Costs!CE66</f>
        <v>6.7048713904715772E-3</v>
      </c>
      <c r="BI19" s="479">
        <v>2014</v>
      </c>
      <c r="BJ19" s="710">
        <f>Costs!K70</f>
        <v>324.55861826703818</v>
      </c>
      <c r="BK19" s="710">
        <f>Costs!D70</f>
        <v>163.35309957609573</v>
      </c>
      <c r="BL19" s="620" t="s">
        <v>800</v>
      </c>
      <c r="BM19" s="710">
        <f>Costs!AM20</f>
        <v>631.64620068440445</v>
      </c>
      <c r="BN19" s="710">
        <f>Costs!AE20</f>
        <v>2230.1225054815277</v>
      </c>
      <c r="BO19" s="710">
        <f>Costs!AI20</f>
        <v>206.91858298282216</v>
      </c>
      <c r="BP19" s="710">
        <f>Costs!BQ70</f>
        <v>633.81903538262884</v>
      </c>
      <c r="BQ19" s="710">
        <f>Costs!BD70</f>
        <v>945.12630586809325</v>
      </c>
      <c r="BR19" s="728">
        <f>Costs!BL70</f>
        <v>171.7148014739773</v>
      </c>
      <c r="BU19" s="479">
        <v>2013</v>
      </c>
      <c r="BV19" s="710">
        <f>USD!P67</f>
        <v>3050081.2873118389</v>
      </c>
      <c r="BW19" s="710">
        <f>USD!R67</f>
        <v>2137507.0043100016</v>
      </c>
      <c r="BX19" s="710">
        <f>USD!AX20</f>
        <v>300878</v>
      </c>
      <c r="BY19" s="710">
        <f>USD!AY20</f>
        <v>1900.9999999999989</v>
      </c>
      <c r="BZ19" s="710">
        <f>USD!CT67</f>
        <v>736733.62995846511</v>
      </c>
      <c r="CA19" s="827">
        <f>USD!CV67</f>
        <v>462587.50183989265</v>
      </c>
      <c r="CD19" s="750" t="str">
        <f>CD8</f>
        <v>Standard error</v>
      </c>
      <c r="CE19" s="790">
        <f>Regression!K126</f>
        <v>0.13533507171328632</v>
      </c>
      <c r="CF19" s="790">
        <f>Regression!K127</f>
        <v>25.551194334926102</v>
      </c>
      <c r="CG19" s="790">
        <f>Regression!K148</f>
        <v>5.2580835715927685E-2</v>
      </c>
      <c r="CH19" s="791">
        <f>Regression!K149</f>
        <v>9.9272356726330742</v>
      </c>
    </row>
    <row r="20" spans="1:86">
      <c r="A20" s="874"/>
      <c r="B20" s="484">
        <v>2010</v>
      </c>
      <c r="C20" s="259">
        <f>Risk!G15</f>
        <v>0.18608108501748538</v>
      </c>
      <c r="D20" s="259">
        <f>Risk!T15</f>
        <v>0.23166295673541609</v>
      </c>
      <c r="E20" s="260">
        <f>Risk!AG15</f>
        <v>0.13567656892044261</v>
      </c>
      <c r="F20" s="872"/>
      <c r="G20" s="172"/>
      <c r="H20" s="172"/>
      <c r="I20" s="6"/>
      <c r="J20" s="875"/>
      <c r="K20" s="490">
        <v>2010</v>
      </c>
      <c r="L20" s="259">
        <f>Returns!I17</f>
        <v>8.5661343411318258E-2</v>
      </c>
      <c r="M20" s="259">
        <f>Returns!P17</f>
        <v>7.9453311970441032E-2</v>
      </c>
      <c r="N20" s="260">
        <f>Returns!AA17</f>
        <v>0.14541199550368389</v>
      </c>
      <c r="O20" s="877"/>
      <c r="P20" s="493" t="str">
        <f>P5</f>
        <v xml:space="preserve">Sub-period 1: 2001-2005 </v>
      </c>
      <c r="Q20" s="661">
        <f>'Return beyond inflation'!BB4</f>
        <v>1.4467344937238391E-2</v>
      </c>
      <c r="R20" s="640">
        <f>'Return beyond inflation'!BF4</f>
        <v>1.9976076127745844E-2</v>
      </c>
      <c r="S20" s="641">
        <f>'Return beyond inflation'!BD4</f>
        <v>1.449374857359852E-2</v>
      </c>
      <c r="V20" s="885"/>
      <c r="W20" s="497"/>
      <c r="X20" s="499" t="str">
        <f>X12</f>
        <v>APG</v>
      </c>
      <c r="Y20" s="499" t="str">
        <f>Y12</f>
        <v>CPPIB</v>
      </c>
      <c r="Z20" s="872"/>
      <c r="AA20" s="886"/>
      <c r="AB20" s="6"/>
      <c r="AF20" s="4"/>
      <c r="AG20" s="877"/>
      <c r="AH20" s="870"/>
      <c r="AI20" s="6"/>
      <c r="AJ20" s="6"/>
      <c r="AO20" s="479">
        <f>Costs!D100</f>
        <v>2012</v>
      </c>
      <c r="AP20" s="135">
        <f>Costs!E100</f>
        <v>-0.14342411452241433</v>
      </c>
      <c r="AQ20" s="106">
        <f>Costs!F100</f>
        <v>-1.3630482154458057E-2</v>
      </c>
      <c r="AR20" s="106" t="s">
        <v>800</v>
      </c>
      <c r="AS20" s="113">
        <f>Costs!H100</f>
        <v>-0.37297185295465207</v>
      </c>
      <c r="AT20" s="135">
        <f>Costs!I100</f>
        <v>0.1186783017742683</v>
      </c>
      <c r="AU20" s="106">
        <f>Costs!J100</f>
        <v>8.8795658591109161E-2</v>
      </c>
      <c r="AV20" s="106">
        <f>Costs!K100</f>
        <v>-0.35747798641536521</v>
      </c>
      <c r="AW20" s="809">
        <f>Costs!L100</f>
        <v>0.22850601452133734</v>
      </c>
      <c r="AX20" s="106">
        <f>Costs!M100</f>
        <v>0.27212098941231422</v>
      </c>
      <c r="AY20" s="106">
        <f>Costs!N100</f>
        <v>0.13414945867683992</v>
      </c>
      <c r="AZ20" s="106">
        <f>Costs!O100</f>
        <v>1.2196741372066722E-2</v>
      </c>
      <c r="BA20" s="231">
        <f>Costs!P100</f>
        <v>0.47012571499015032</v>
      </c>
      <c r="BB20" s="872"/>
      <c r="BC20" s="479">
        <f t="shared" si="2"/>
        <v>2014</v>
      </c>
      <c r="BD20" s="106">
        <f>Costs!S70</f>
        <v>5.6422593701965958E-4</v>
      </c>
      <c r="BE20" s="124">
        <f>Costs!AV20</f>
        <v>6.470510190543257E-3</v>
      </c>
      <c r="BF20" s="231">
        <f>Costs!CE70</f>
        <v>7.0022173848707887E-3</v>
      </c>
      <c r="BI20" s="479">
        <v>2015</v>
      </c>
      <c r="BJ20" s="710">
        <f>Costs!K74</f>
        <v>328.28624386382722</v>
      </c>
      <c r="BK20" s="710">
        <f>Costs!D74</f>
        <v>142.37623214590195</v>
      </c>
      <c r="BL20" s="620" t="s">
        <v>800</v>
      </c>
      <c r="BM20" s="710">
        <f>Costs!AM21</f>
        <v>611.58691051929486</v>
      </c>
      <c r="BN20" s="710">
        <f>Costs!AE21</f>
        <v>1738.0800298949766</v>
      </c>
      <c r="BO20" s="710">
        <f>Costs!AI21</f>
        <v>236.81340407319055</v>
      </c>
      <c r="BP20" s="710">
        <f>Costs!BQ74</f>
        <v>720.83428345130665</v>
      </c>
      <c r="BQ20" s="710">
        <f>Costs!BD74</f>
        <v>1104.6865672295046</v>
      </c>
      <c r="BR20" s="728">
        <f>Costs!BL74</f>
        <v>369.97872685427961</v>
      </c>
      <c r="BU20" s="479">
        <v>2014</v>
      </c>
      <c r="BV20" s="710">
        <f>USD!P71</f>
        <v>3464399.4757549288</v>
      </c>
      <c r="BW20" s="710">
        <f>USD!R71</f>
        <v>2103484.6544142794</v>
      </c>
      <c r="BX20" s="710">
        <f>USD!AX21</f>
        <v>344788</v>
      </c>
      <c r="BY20" s="710">
        <f>USD!AY21</f>
        <v>553.99999999999932</v>
      </c>
      <c r="BZ20" s="710">
        <f>USD!CT71</f>
        <v>827356.14604423044</v>
      </c>
      <c r="CA20" s="827">
        <f>USD!CV71</f>
        <v>453883.82178012317</v>
      </c>
      <c r="CD20" s="750" t="str">
        <f>CD9</f>
        <v>tStat</v>
      </c>
      <c r="CE20" s="790">
        <f>Regression!L126</f>
        <v>-1.7237237942993833</v>
      </c>
      <c r="CF20" s="790">
        <f>Regression!L127</f>
        <v>2.0151401719994144</v>
      </c>
      <c r="CG20" s="790">
        <f>Regression!L148</f>
        <v>-1.7421834160593577</v>
      </c>
      <c r="CH20" s="791">
        <f>Regression!L149</f>
        <v>1.5951592235557215</v>
      </c>
    </row>
    <row r="21" spans="1:86" ht="15.75" thickBot="1">
      <c r="A21" s="874"/>
      <c r="B21" s="484">
        <v>2011</v>
      </c>
      <c r="C21" s="259">
        <f>Risk!G16</f>
        <v>0.15987592973513176</v>
      </c>
      <c r="D21" s="259">
        <f>Risk!T16</f>
        <v>0.14533530616989168</v>
      </c>
      <c r="E21" s="260">
        <f>Risk!AG16</f>
        <v>0.1244066962351036</v>
      </c>
      <c r="F21" s="872"/>
      <c r="G21" s="172"/>
      <c r="H21" s="172"/>
      <c r="I21" s="6"/>
      <c r="J21" s="875"/>
      <c r="K21" s="490">
        <v>2011</v>
      </c>
      <c r="L21" s="259">
        <f>Returns!I18</f>
        <v>-4.2001448113343498E-2</v>
      </c>
      <c r="M21" s="259">
        <f>Returns!P18</f>
        <v>7.8858906190838463E-3</v>
      </c>
      <c r="N21" s="260">
        <f>Returns!AA18</f>
        <v>2.7237956981805533E-2</v>
      </c>
      <c r="O21" s="877"/>
      <c r="P21" s="479" t="str">
        <f>P6</f>
        <v xml:space="preserve">Sub-period 2: 2006-2010 </v>
      </c>
      <c r="Q21" s="662">
        <f>'Return beyond inflation'!BB5</f>
        <v>9.8111096394744857E-3</v>
      </c>
      <c r="R21" s="621">
        <f>'Return beyond inflation'!BF5</f>
        <v>1.7149559905536477E-2</v>
      </c>
      <c r="S21" s="642">
        <f>'Return beyond inflation'!BD5</f>
        <v>1.5074830139013057E-2</v>
      </c>
      <c r="V21" s="885"/>
      <c r="W21" s="497" t="s">
        <v>804</v>
      </c>
      <c r="X21" s="238" t="s">
        <v>219</v>
      </c>
      <c r="Y21" s="533">
        <f>AVERAGE(Costs!BN46:BN78)</f>
        <v>1.0635498425252661E-3</v>
      </c>
      <c r="Z21" s="872"/>
      <c r="AA21" s="886"/>
      <c r="AB21" s="6"/>
      <c r="AC21" s="6"/>
      <c r="AD21" s="6"/>
      <c r="AE21" s="6"/>
      <c r="AF21" s="6"/>
      <c r="AG21" s="6"/>
      <c r="AH21" s="6"/>
      <c r="AI21" s="6"/>
      <c r="AJ21" s="6"/>
      <c r="AK21" s="6"/>
      <c r="AL21" s="6"/>
      <c r="AO21" s="479">
        <f>Costs!D101</f>
        <v>2013</v>
      </c>
      <c r="AP21" s="135">
        <f>Costs!E101</f>
        <v>0.25270719251087748</v>
      </c>
      <c r="AQ21" s="106">
        <f>Costs!F101</f>
        <v>0.11696493610589087</v>
      </c>
      <c r="AR21" s="106" t="s">
        <v>800</v>
      </c>
      <c r="AS21" s="113">
        <f>Costs!H101</f>
        <v>0.63035529056801787</v>
      </c>
      <c r="AT21" s="135">
        <f>Costs!I101</f>
        <v>0.20685962547498327</v>
      </c>
      <c r="AU21" s="106">
        <f>Costs!J101</f>
        <v>0.10445253522096798</v>
      </c>
      <c r="AV21" s="106">
        <f>Costs!K101</f>
        <v>0.33511758532041069</v>
      </c>
      <c r="AW21" s="809">
        <f>Costs!L101</f>
        <v>0.22703138730927375</v>
      </c>
      <c r="AX21" s="106">
        <f>Costs!M101</f>
        <v>9.2146724562611748E-3</v>
      </c>
      <c r="AY21" s="106">
        <f>Costs!N101</f>
        <v>-7.7664155546673941E-2</v>
      </c>
      <c r="AZ21" s="106">
        <f>Costs!O101</f>
        <v>7.0231076047690966E-3</v>
      </c>
      <c r="BA21" s="231">
        <f>Costs!P101</f>
        <v>6.2690901630330531E-2</v>
      </c>
      <c r="BB21" s="872"/>
      <c r="BC21" s="479">
        <f t="shared" si="2"/>
        <v>2015</v>
      </c>
      <c r="BD21" s="106">
        <f>Costs!S74</f>
        <v>5.4413444214751591E-4</v>
      </c>
      <c r="BE21" s="124">
        <f>Costs!AV21</f>
        <v>6.0024251713628107E-3</v>
      </c>
      <c r="BF21" s="231">
        <f>Costs!CE74</f>
        <v>8.3020104998570727E-3</v>
      </c>
      <c r="BI21" s="483">
        <v>2016</v>
      </c>
      <c r="BJ21" s="816">
        <f>Costs!K78</f>
        <v>345.58031506191344</v>
      </c>
      <c r="BK21" s="816">
        <f>Costs!D78</f>
        <v>104.74821686978282</v>
      </c>
      <c r="BL21" s="817" t="s">
        <v>800</v>
      </c>
      <c r="BM21" s="816">
        <f>Costs!AM22</f>
        <v>587.49572826265808</v>
      </c>
      <c r="BN21" s="816">
        <f>Costs!AE22</f>
        <v>1766.7061846318713</v>
      </c>
      <c r="BO21" s="816">
        <f>Costs!AI22</f>
        <v>215.16899203874732</v>
      </c>
      <c r="BP21" s="816">
        <f>Costs!BQ78</f>
        <v>695.32393867069209</v>
      </c>
      <c r="BQ21" s="816">
        <f>Costs!BD78</f>
        <v>985.26261997866595</v>
      </c>
      <c r="BR21" s="818">
        <f>Costs!BL78</f>
        <v>306.82295335925005</v>
      </c>
      <c r="BU21" s="479">
        <v>2015</v>
      </c>
      <c r="BV21" s="710">
        <f>USD!P75</f>
        <v>3413051.0090257637</v>
      </c>
      <c r="BW21" s="710">
        <f>USD!R75</f>
        <v>1673023.5607545804</v>
      </c>
      <c r="BX21" s="710">
        <f>USD!AX22</f>
        <v>352350</v>
      </c>
      <c r="BY21" s="710">
        <f>USD!AY22</f>
        <v>-1996.9999999999995</v>
      </c>
      <c r="BZ21" s="710">
        <f>USD!CT75</f>
        <v>831125.45545945421</v>
      </c>
      <c r="CA21" s="827">
        <f>USD!CV75</f>
        <v>399960.79214653902</v>
      </c>
      <c r="CD21" s="756" t="str">
        <f>CD10</f>
        <v>P-value</v>
      </c>
      <c r="CE21" s="792">
        <f>Regression!M126</f>
        <v>0.1284187156812347</v>
      </c>
      <c r="CF21" s="792">
        <f>Regression!M127</f>
        <v>8.3728479743594611E-2</v>
      </c>
      <c r="CG21" s="792">
        <f>Regression!M148</f>
        <v>0.1250102213643558</v>
      </c>
      <c r="CH21" s="793">
        <f>Regression!M149</f>
        <v>0.1547065983604016</v>
      </c>
    </row>
    <row r="22" spans="1:86" ht="15.75" thickBot="1">
      <c r="A22" s="874"/>
      <c r="B22" s="484">
        <v>2012</v>
      </c>
      <c r="C22" s="259">
        <f>Risk!G17</f>
        <v>0.11085390073911501</v>
      </c>
      <c r="D22" s="259">
        <f>Risk!T17</f>
        <v>0.11597445381561003</v>
      </c>
      <c r="E22" s="260">
        <f>Risk!AG17</f>
        <v>7.1527927621791249E-2</v>
      </c>
      <c r="F22" s="872"/>
      <c r="G22" s="172"/>
      <c r="H22" s="172"/>
      <c r="I22" s="6"/>
      <c r="J22" s="875"/>
      <c r="K22" s="490">
        <v>2012</v>
      </c>
      <c r="L22" s="259">
        <f>Returns!I19</f>
        <v>0.1429318766513461</v>
      </c>
      <c r="M22" s="259">
        <f>Returns!P19</f>
        <v>0.15166410161585953</v>
      </c>
      <c r="N22" s="260">
        <f>Returns!AA19</f>
        <v>0.12039747139089818</v>
      </c>
      <c r="O22" s="877"/>
      <c r="P22" s="479" t="str">
        <f>P7</f>
        <v xml:space="preserve">Sub-period 3: 2011-2016 </v>
      </c>
      <c r="Q22" s="662">
        <f>'Return beyond inflation'!BB6</f>
        <v>5.6397416365247532E-3</v>
      </c>
      <c r="R22" s="621">
        <f>'Return beyond inflation'!BF6</f>
        <v>7.0924388356189512E-3</v>
      </c>
      <c r="S22" s="642">
        <f>'Return beyond inflation'!BD6</f>
        <v>9.0396996972666264E-3</v>
      </c>
      <c r="V22" s="885"/>
      <c r="W22" s="497" t="s">
        <v>802</v>
      </c>
      <c r="X22" s="239" t="s">
        <v>219</v>
      </c>
      <c r="Y22" s="533">
        <f>AVERAGE(Costs!BN46:BN54)</f>
        <v>1.1046764639125229E-3</v>
      </c>
      <c r="Z22" s="872"/>
      <c r="AA22" s="886"/>
      <c r="AB22" s="6"/>
      <c r="AC22" s="971" t="s">
        <v>865</v>
      </c>
      <c r="AD22" s="972"/>
      <c r="AE22" s="972"/>
      <c r="AF22" s="972"/>
      <c r="AG22" s="972"/>
      <c r="AH22" s="972"/>
      <c r="AI22" s="972"/>
      <c r="AJ22" s="972"/>
      <c r="AK22" s="972"/>
      <c r="AL22" s="973"/>
      <c r="AO22" s="479">
        <f>Costs!D102</f>
        <v>2014</v>
      </c>
      <c r="AP22" s="135">
        <f>Costs!E102</f>
        <v>1.641924364457048E-2</v>
      </c>
      <c r="AQ22" s="106">
        <f>Costs!F102</f>
        <v>3.0849371388709246E-2</v>
      </c>
      <c r="AR22" s="106" t="s">
        <v>800</v>
      </c>
      <c r="AS22" s="113">
        <f>Costs!H102</f>
        <v>-1.10849993506279E-2</v>
      </c>
      <c r="AT22" s="135">
        <f>Costs!I102</f>
        <v>-6.4680611200387816E-2</v>
      </c>
      <c r="AU22" s="106">
        <f>Costs!J102</f>
        <v>-8.8676433049934E-2</v>
      </c>
      <c r="AV22" s="106">
        <f>Costs!K102</f>
        <v>-0.24159532137393058</v>
      </c>
      <c r="AW22" s="809">
        <f>Costs!L102</f>
        <v>-3.6645485602362027E-2</v>
      </c>
      <c r="AX22" s="106">
        <f>Costs!M102</f>
        <v>0.14747995040630824</v>
      </c>
      <c r="AY22" s="106">
        <f>Costs!N102</f>
        <v>0.37605873729914507</v>
      </c>
      <c r="AZ22" s="106">
        <f>Costs!O102</f>
        <v>-0.11696183399620619</v>
      </c>
      <c r="BA22" s="231">
        <f>Costs!P102</f>
        <v>8.5612511481811815E-2</v>
      </c>
      <c r="BB22" s="872"/>
      <c r="BC22" s="483">
        <f t="shared" si="2"/>
        <v>2016</v>
      </c>
      <c r="BD22" s="232">
        <f>Costs!S78</f>
        <v>4.9975786321805593E-4</v>
      </c>
      <c r="BE22" s="812">
        <f>Costs!AV22</f>
        <v>5.7682744903033312E-3</v>
      </c>
      <c r="BF22" s="233">
        <f>Costs!CE78</f>
        <v>7.2711228163273136E-3</v>
      </c>
      <c r="BI22" s="967" t="s">
        <v>365</v>
      </c>
      <c r="BJ22" s="968"/>
      <c r="BK22" s="968"/>
      <c r="BL22" s="968"/>
      <c r="BM22" s="968"/>
      <c r="BN22" s="968"/>
      <c r="BO22" s="968"/>
      <c r="BP22" s="968"/>
      <c r="BQ22" s="968"/>
      <c r="BR22" s="969"/>
      <c r="BU22" s="483">
        <v>2016</v>
      </c>
      <c r="BV22" s="816">
        <f>USD!P79</f>
        <v>3475593.9155571209</v>
      </c>
      <c r="BW22" s="816">
        <f>USD!R79</f>
        <v>1654433.8201811453</v>
      </c>
      <c r="BX22" s="816">
        <f>USD!AX23</f>
        <v>383097</v>
      </c>
      <c r="BY22" s="816">
        <f>USD!AY23</f>
        <v>-2157.0000000000009</v>
      </c>
      <c r="BZ22" s="816">
        <f>USD!CT79</f>
        <v>887809.22616508417</v>
      </c>
      <c r="CA22" s="828">
        <f>USD!CV79</f>
        <v>413149.04122614174</v>
      </c>
      <c r="CD22" s="750"/>
      <c r="CE22" s="757"/>
      <c r="CF22" s="757"/>
      <c r="CG22" s="757"/>
      <c r="CH22" s="758"/>
    </row>
    <row r="23" spans="1:86" ht="15.75" thickBot="1">
      <c r="A23" s="874"/>
      <c r="B23" s="484">
        <v>2013</v>
      </c>
      <c r="C23" s="259">
        <f>Risk!G18</f>
        <v>6.9486496482936408E-2</v>
      </c>
      <c r="D23" s="259">
        <f>Risk!T18</f>
        <v>6.339424210908215E-2</v>
      </c>
      <c r="E23" s="260">
        <f>Risk!AG18</f>
        <v>6.0136843704656752E-2</v>
      </c>
      <c r="F23" s="872"/>
      <c r="G23" s="172"/>
      <c r="H23" s="172"/>
      <c r="I23" s="6"/>
      <c r="J23" s="875"/>
      <c r="K23" s="490">
        <v>2013</v>
      </c>
      <c r="L23" s="259">
        <f>Returns!I20</f>
        <v>0.1408783560914233</v>
      </c>
      <c r="M23" s="259">
        <f>Returns!P20</f>
        <v>0.10716551706609978</v>
      </c>
      <c r="N23" s="260">
        <f>Returns!AA20</f>
        <v>6.083766145985936E-2</v>
      </c>
      <c r="O23" s="877"/>
      <c r="P23" s="483" t="str">
        <f>P8</f>
        <v>Overall: 2001-2016</v>
      </c>
      <c r="Q23" s="663">
        <f>'Return beyond inflation'!BB7</f>
        <v>9.7019201689195565E-3</v>
      </c>
      <c r="R23" s="643">
        <f>'Return beyond inflation'!BF7</f>
        <v>1.4261425823757832E-2</v>
      </c>
      <c r="S23" s="644">
        <f>'Return beyond inflation'!BD7</f>
        <v>1.2630068234166103E-2</v>
      </c>
      <c r="V23" s="885"/>
      <c r="W23" s="498" t="s">
        <v>803</v>
      </c>
      <c r="X23" s="765">
        <f>AVERAGE(Costs!AL17:AL22)</f>
        <v>7.18225651189606E-4</v>
      </c>
      <c r="Y23" s="707">
        <f>AVERAGE(Costs!BN58:BN78)</f>
        <v>1.0429865318316376E-3</v>
      </c>
      <c r="Z23" s="872"/>
      <c r="AA23" s="886"/>
      <c r="AB23" s="6"/>
      <c r="AC23" s="479"/>
      <c r="AD23" s="974" t="str">
        <f>AD13</f>
        <v>NBIM</v>
      </c>
      <c r="AE23" s="974"/>
      <c r="AF23" s="974"/>
      <c r="AG23" s="974" t="str">
        <f>AG13</f>
        <v>APG</v>
      </c>
      <c r="AH23" s="974"/>
      <c r="AI23" s="974"/>
      <c r="AJ23" s="974" t="str">
        <f>AJ13</f>
        <v>CPPIB</v>
      </c>
      <c r="AK23" s="974"/>
      <c r="AL23" s="970"/>
      <c r="AO23" s="479">
        <f>Costs!D103</f>
        <v>2015</v>
      </c>
      <c r="AP23" s="135">
        <f>Costs!E103</f>
        <v>-3.535320264423425E-2</v>
      </c>
      <c r="AQ23" s="106">
        <f>Costs!F103</f>
        <v>1.1485215264633863E-2</v>
      </c>
      <c r="AR23" s="106" t="s">
        <v>800</v>
      </c>
      <c r="AS23" s="113">
        <f>Costs!H103</f>
        <v>-0.12841426018011981</v>
      </c>
      <c r="AT23" s="135">
        <f>Costs!I103</f>
        <v>-0.15713785707863859</v>
      </c>
      <c r="AU23" s="106">
        <f>Costs!J103</f>
        <v>-3.1757161118637023E-2</v>
      </c>
      <c r="AV23" s="106">
        <f>Costs!K103</f>
        <v>0.14447625080078086</v>
      </c>
      <c r="AW23" s="809">
        <f>Costs!L103</f>
        <v>-0.22063472942725604</v>
      </c>
      <c r="AX23" s="106">
        <f>Costs!M103</f>
        <v>0.25409811073784461</v>
      </c>
      <c r="AY23" s="106">
        <f>Costs!N103</f>
        <v>0.1372872116662569</v>
      </c>
      <c r="AZ23" s="106">
        <f>Costs!O103</f>
        <v>1.1546117380588674</v>
      </c>
      <c r="BA23" s="231">
        <f>Costs!P103</f>
        <v>0.16882427287309087</v>
      </c>
      <c r="BB23" s="872"/>
      <c r="BF23" s="4"/>
      <c r="BG23" s="4"/>
      <c r="BH23" s="4"/>
      <c r="BI23" s="479" t="str">
        <f>BC47</f>
        <v>Sub-period 1: 2008-2011</v>
      </c>
      <c r="BJ23" s="724">
        <f>AVERAGE(BJ13:BJ16)</f>
        <v>235.74516713486724</v>
      </c>
      <c r="BK23" s="724">
        <f>AVERAGE(BK13:BK16)</f>
        <v>222.79501054657746</v>
      </c>
      <c r="BL23" s="725" t="s">
        <v>800</v>
      </c>
      <c r="BM23" s="724">
        <f t="shared" ref="BM23:BR23" si="5">AVERAGE(BM13:BM16)</f>
        <v>416.59635991616096</v>
      </c>
      <c r="BN23" s="724">
        <f t="shared" si="5"/>
        <v>1191.8326573756603</v>
      </c>
      <c r="BO23" s="724">
        <f t="shared" si="5"/>
        <v>318.04675157433144</v>
      </c>
      <c r="BP23" s="724">
        <f t="shared" si="5"/>
        <v>270.07999181010496</v>
      </c>
      <c r="BQ23" s="724">
        <f t="shared" si="5"/>
        <v>438.57011880762343</v>
      </c>
      <c r="BR23" s="729">
        <f t="shared" si="5"/>
        <v>149.64138520644883</v>
      </c>
      <c r="CD23" s="750" t="str">
        <f>CD12</f>
        <v>R-Square</v>
      </c>
      <c r="CE23" s="790">
        <f>Regression!J114</f>
        <v>0.3671338073336316</v>
      </c>
      <c r="CF23" s="790"/>
      <c r="CG23" s="790">
        <f>Regression!J136</f>
        <v>0.26659585777805384</v>
      </c>
      <c r="CH23" s="758"/>
    </row>
    <row r="24" spans="1:86" ht="15.75" thickBot="1">
      <c r="A24" s="874"/>
      <c r="B24" s="484">
        <v>2014</v>
      </c>
      <c r="C24" s="259">
        <f>Risk!G19</f>
        <v>6.9917607603138171E-2</v>
      </c>
      <c r="D24" s="259">
        <f>Risk!T19</f>
        <v>8.6479631957767242E-2</v>
      </c>
      <c r="E24" s="260">
        <f>Risk!AG19</f>
        <v>6.2035629200519818E-2</v>
      </c>
      <c r="F24" s="872"/>
      <c r="G24" s="172"/>
      <c r="H24" s="172"/>
      <c r="I24" s="6"/>
      <c r="J24" s="875"/>
      <c r="K24" s="490">
        <v>2014</v>
      </c>
      <c r="L24" s="259">
        <f>Returns!I21</f>
        <v>-6.4005948394656453E-3</v>
      </c>
      <c r="M24" s="259">
        <f>Returns!P21</f>
        <v>8.3570545908545624E-3</v>
      </c>
      <c r="N24" s="260">
        <f>Returns!AA21</f>
        <v>5.751997867743408E-2</v>
      </c>
      <c r="O24" s="877"/>
      <c r="V24" s="6"/>
      <c r="AA24" s="6"/>
      <c r="AB24" s="6"/>
      <c r="AC24" s="479"/>
      <c r="AD24" s="771" t="s">
        <v>531</v>
      </c>
      <c r="AE24" s="771" t="s">
        <v>383</v>
      </c>
      <c r="AF24" s="322" t="s">
        <v>533</v>
      </c>
      <c r="AG24" s="771" t="s">
        <v>531</v>
      </c>
      <c r="AH24" s="771" t="s">
        <v>383</v>
      </c>
      <c r="AI24" s="771" t="s">
        <v>533</v>
      </c>
      <c r="AJ24" s="771" t="s">
        <v>531</v>
      </c>
      <c r="AK24" s="771" t="s">
        <v>383</v>
      </c>
      <c r="AL24" s="772" t="s">
        <v>533</v>
      </c>
      <c r="AM24" s="6"/>
      <c r="AO24" s="483">
        <f>Costs!D104</f>
        <v>2016</v>
      </c>
      <c r="AP24" s="807">
        <f>Costs!E104</f>
        <v>-4.3202815423961205E-2</v>
      </c>
      <c r="AQ24" s="232">
        <f>Costs!F104</f>
        <v>5.2679853394221876E-2</v>
      </c>
      <c r="AR24" s="232" t="s">
        <v>800</v>
      </c>
      <c r="AS24" s="808">
        <f>Costs!H104</f>
        <v>-0.26428579201027957</v>
      </c>
      <c r="AT24" s="807">
        <f>Costs!I104</f>
        <v>-6.6149505410513232E-3</v>
      </c>
      <c r="AU24" s="232">
        <f>Costs!J104</f>
        <v>-3.9391265316945923E-2</v>
      </c>
      <c r="AV24" s="232">
        <f>Costs!K104</f>
        <v>-9.1398593416417095E-2</v>
      </c>
      <c r="AW24" s="811">
        <f>Costs!L104</f>
        <v>1.646998656248555E-2</v>
      </c>
      <c r="AX24" s="232">
        <f>Costs!M104</f>
        <v>-9.4780280377055437E-2</v>
      </c>
      <c r="AY24" s="232">
        <f>Costs!N104</f>
        <v>-3.5390027037105809E-2</v>
      </c>
      <c r="AZ24" s="232">
        <f>Costs!O104</f>
        <v>-0.17070109417373125</v>
      </c>
      <c r="BA24" s="233">
        <f>Costs!P104</f>
        <v>-0.10810663476278848</v>
      </c>
      <c r="BB24" s="872"/>
      <c r="BI24" s="479" t="str">
        <f>BC48</f>
        <v>Sub-period 2: 2012-2016</v>
      </c>
      <c r="BJ24" s="711">
        <f>AVERAGE(BJ17:BJ21)</f>
        <v>319.02943830868753</v>
      </c>
      <c r="BK24" s="711">
        <f>AVERAGE(BK17:BK21)</f>
        <v>135.39592188421915</v>
      </c>
      <c r="BL24" s="620" t="s">
        <v>800</v>
      </c>
      <c r="BM24" s="711">
        <f t="shared" ref="BM24:BR24" si="6">AVERAGE(BM17:BM21)</f>
        <v>630.27919178273191</v>
      </c>
      <c r="BN24" s="711">
        <f t="shared" si="6"/>
        <v>1987.2989287529447</v>
      </c>
      <c r="BO24" s="711">
        <f t="shared" si="6"/>
        <v>227.21740390197527</v>
      </c>
      <c r="BP24" s="711">
        <f t="shared" si="6"/>
        <v>601.99423576769277</v>
      </c>
      <c r="BQ24" s="711">
        <f t="shared" si="6"/>
        <v>944.98046510378731</v>
      </c>
      <c r="BR24" s="730">
        <f t="shared" si="6"/>
        <v>247.21569731738549</v>
      </c>
      <c r="CD24" s="750" t="str">
        <f>CD13</f>
        <v>Correlation</v>
      </c>
      <c r="CE24" s="790">
        <f>Regression!L114</f>
        <v>0.60591567675183289</v>
      </c>
      <c r="CF24" s="790"/>
      <c r="CG24" s="790">
        <f>Regression!L136</f>
        <v>0.516329214530859</v>
      </c>
      <c r="CH24" s="758"/>
    </row>
    <row r="25" spans="1:86" ht="15.75" customHeight="1" thickBot="1">
      <c r="A25" s="874"/>
      <c r="B25" s="484">
        <v>2015</v>
      </c>
      <c r="C25" s="259">
        <f>Risk!G20</f>
        <v>7.7360275972074816E-2</v>
      </c>
      <c r="D25" s="259">
        <f>Risk!T20</f>
        <v>2.7850193960510309E-2</v>
      </c>
      <c r="E25" s="260">
        <f>Risk!AG20</f>
        <v>6.2153228387941829E-2</v>
      </c>
      <c r="F25" s="873"/>
      <c r="G25" s="172"/>
      <c r="H25" s="172"/>
      <c r="I25" s="6"/>
      <c r="J25" s="875"/>
      <c r="K25" s="490">
        <v>2015</v>
      </c>
      <c r="L25" s="259">
        <f>Returns!I22</f>
        <v>-2.7145714893200168E-2</v>
      </c>
      <c r="M25" s="259">
        <f>Returns!P22</f>
        <v>-7.9814161411178031E-2</v>
      </c>
      <c r="N25" s="260">
        <f>Returns!AA22</f>
        <v>-3.7494525570549109E-2</v>
      </c>
      <c r="O25" s="877"/>
      <c r="P25" s="6"/>
      <c r="Q25" s="6"/>
      <c r="R25" s="6"/>
      <c r="S25" s="6"/>
      <c r="V25" s="6"/>
      <c r="W25" s="31"/>
      <c r="X25" s="292"/>
      <c r="Y25" s="292"/>
      <c r="Z25" s="292"/>
      <c r="AA25" s="6"/>
      <c r="AB25" s="6"/>
      <c r="AC25" s="482" t="s">
        <v>499</v>
      </c>
      <c r="AD25" s="218" t="s">
        <v>800</v>
      </c>
      <c r="AE25" s="779" t="s">
        <v>800</v>
      </c>
      <c r="AF25" s="293" t="s">
        <v>800</v>
      </c>
      <c r="AG25" s="779" t="s">
        <v>800</v>
      </c>
      <c r="AH25" s="779" t="s">
        <v>800</v>
      </c>
      <c r="AI25" s="775" t="s">
        <v>800</v>
      </c>
      <c r="AJ25" s="534">
        <f>AVERAGE(Costs!BS18:BS78)</f>
        <v>1.5710515750558692E-3</v>
      </c>
      <c r="AK25" s="534">
        <f>AVERAGE(Costs!BG18:BG78)</f>
        <v>2.2310462771745693E-3</v>
      </c>
      <c r="AL25" s="220" t="s">
        <v>800</v>
      </c>
      <c r="AM25" s="872"/>
      <c r="AO25" s="4"/>
      <c r="AP25" s="106"/>
      <c r="AQ25" s="106"/>
      <c r="AR25" s="252"/>
      <c r="AS25" s="106"/>
      <c r="AT25" s="252"/>
      <c r="AU25" s="252"/>
      <c r="AV25" s="6"/>
      <c r="BB25" s="6"/>
      <c r="BI25" s="483" t="str">
        <f>BC49</f>
        <v>Overall: 2008-2016</v>
      </c>
      <c r="BJ25" s="731">
        <f>AVERAGE(BJ13:BJ21)</f>
        <v>282.01420667587854</v>
      </c>
      <c r="BK25" s="731">
        <f>AVERAGE(BK13:BK21)</f>
        <v>174.23996128971172</v>
      </c>
      <c r="BL25" s="708" t="s">
        <v>800</v>
      </c>
      <c r="BM25" s="731">
        <f t="shared" ref="BM25:BR25" si="7">AVERAGE(BM13:BM21)</f>
        <v>535.30904428647818</v>
      </c>
      <c r="BN25" s="731">
        <f>AVERAGE(BN13:BN21)</f>
        <v>1633.7583636963739</v>
      </c>
      <c r="BO25" s="731">
        <f t="shared" si="7"/>
        <v>242.35562851403463</v>
      </c>
      <c r="BP25" s="731">
        <f t="shared" si="7"/>
        <v>454.47679400876484</v>
      </c>
      <c r="BQ25" s="731">
        <f t="shared" si="7"/>
        <v>719.90920008326998</v>
      </c>
      <c r="BR25" s="732">
        <f t="shared" si="7"/>
        <v>203.84933637919141</v>
      </c>
      <c r="CD25" s="751" t="str">
        <f>CD14</f>
        <v>Observations</v>
      </c>
      <c r="CE25" s="760">
        <f>Regression!J117</f>
        <v>9</v>
      </c>
      <c r="CF25" s="760"/>
      <c r="CG25" s="760">
        <f>Regression!J139</f>
        <v>9</v>
      </c>
      <c r="CH25" s="753"/>
    </row>
    <row r="26" spans="1:86" ht="15.75" customHeight="1" thickBot="1">
      <c r="A26" s="874"/>
      <c r="B26" s="485">
        <v>2016</v>
      </c>
      <c r="C26" s="271">
        <f>Risk!G21</f>
        <v>5.0628542491852759E-2</v>
      </c>
      <c r="D26" s="271">
        <f>Risk!T21</f>
        <v>0.11036419575412008</v>
      </c>
      <c r="E26" s="272">
        <f>Risk!AG21</f>
        <v>5.3926264138750388E-2</v>
      </c>
      <c r="F26" s="873"/>
      <c r="G26" s="172"/>
      <c r="H26" s="172"/>
      <c r="I26" s="6"/>
      <c r="J26" s="875"/>
      <c r="K26" s="491">
        <v>2016</v>
      </c>
      <c r="L26" s="271">
        <f>Returns!I23</f>
        <v>4.4550656697121216E-2</v>
      </c>
      <c r="M26" s="271">
        <f>Returns!P23</f>
        <v>6.5870429426688637E-2</v>
      </c>
      <c r="N26" s="272">
        <f>Returns!AA23</f>
        <v>7.7382946542327913E-2</v>
      </c>
      <c r="O26" s="877"/>
      <c r="P26" s="971" t="s">
        <v>856</v>
      </c>
      <c r="Q26" s="972"/>
      <c r="R26" s="972"/>
      <c r="S26" s="973"/>
      <c r="V26" s="6"/>
      <c r="W26" s="971" t="s">
        <v>863</v>
      </c>
      <c r="X26" s="972"/>
      <c r="Y26" s="972"/>
      <c r="Z26" s="973"/>
      <c r="AA26" s="872"/>
      <c r="AB26" s="6"/>
      <c r="AC26" s="482" t="str">
        <f>AC16</f>
        <v>Overall: 2008-2016</v>
      </c>
      <c r="AD26" s="529">
        <f>AVERAGE(Costs!N46:N78)</f>
        <v>4.1127349689753102E-4</v>
      </c>
      <c r="AE26" s="534">
        <f>AVERAGE(Costs!H46:H78)</f>
        <v>2.8118832316484572E-4</v>
      </c>
      <c r="AF26" s="293" t="s">
        <v>800</v>
      </c>
      <c r="AG26" s="534">
        <f>AVERAGE(Costs!AP14:AP22)</f>
        <v>1.3178584747394429E-3</v>
      </c>
      <c r="AH26" s="534">
        <f>AVERAGE(Costs!AH14:AH22)</f>
        <v>3.9908712770543612E-3</v>
      </c>
      <c r="AI26" s="776" t="s">
        <v>800</v>
      </c>
      <c r="AJ26" s="534">
        <f>AVERAGE(Costs!BS46:BS78)</f>
        <v>2.2781301560332382E-3</v>
      </c>
      <c r="AK26" s="534">
        <f>AVERAGE(Costs!BG46:BG78)</f>
        <v>3.6750954701481328E-3</v>
      </c>
      <c r="AL26" s="535">
        <f>AVERAGE(Costs!BN46:BN78)</f>
        <v>1.0635498425252661E-3</v>
      </c>
      <c r="AM26" s="872"/>
      <c r="AV26" s="6"/>
      <c r="BA26" s="886"/>
      <c r="BB26" s="6"/>
      <c r="CD26" s="979" t="str">
        <f>BP4</f>
        <v>CPPIB</v>
      </c>
      <c r="CE26" s="980"/>
      <c r="CF26" s="980"/>
      <c r="CG26" s="980"/>
      <c r="CH26" s="981"/>
    </row>
    <row r="27" spans="1:86" ht="15.75" thickBot="1">
      <c r="A27" s="6"/>
      <c r="C27" s="24"/>
      <c r="D27" s="24"/>
      <c r="E27" s="24"/>
      <c r="F27" s="761"/>
      <c r="K27" s="31"/>
      <c r="L27" s="228"/>
      <c r="M27" s="228"/>
      <c r="N27" s="228">
        <f>SUM(N11:N26)</f>
        <v>1.2067464818838756</v>
      </c>
      <c r="O27" s="6"/>
      <c r="P27" s="479"/>
      <c r="Q27" s="833" t="str">
        <f>Q3</f>
        <v>NBIM</v>
      </c>
      <c r="R27" s="833" t="str">
        <f>R3</f>
        <v>APG</v>
      </c>
      <c r="S27" s="481" t="str">
        <f>S3</f>
        <v>CPPIB</v>
      </c>
      <c r="V27" s="6"/>
      <c r="W27" s="479"/>
      <c r="X27" s="323" t="str">
        <f>X5</f>
        <v>NBIM</v>
      </c>
      <c r="Y27" s="323" t="str">
        <f>Y5</f>
        <v>APG</v>
      </c>
      <c r="Z27" s="492" t="str">
        <f>Z5</f>
        <v>CPPIB</v>
      </c>
      <c r="AA27" s="872"/>
      <c r="AB27" s="6"/>
      <c r="AC27" s="479" t="s">
        <v>876</v>
      </c>
      <c r="AD27" s="306" t="s">
        <v>800</v>
      </c>
      <c r="AE27" s="217" t="s">
        <v>800</v>
      </c>
      <c r="AF27" s="17" t="s">
        <v>800</v>
      </c>
      <c r="AG27" s="780" t="s">
        <v>800</v>
      </c>
      <c r="AH27" s="780" t="s">
        <v>800</v>
      </c>
      <c r="AI27" s="777" t="s">
        <v>800</v>
      </c>
      <c r="AJ27" s="530">
        <f>AVERAGE(Costs!BS18:BS42)</f>
        <v>6.619505423706805E-4</v>
      </c>
      <c r="AK27" s="530">
        <f>AVERAGE(Costs!BG18:BG42)</f>
        <v>3.7441160049427453E-4</v>
      </c>
      <c r="AL27" s="222" t="s">
        <v>800</v>
      </c>
      <c r="AM27" s="872"/>
      <c r="AO27" s="971" t="s">
        <v>869</v>
      </c>
      <c r="AP27" s="972"/>
      <c r="AQ27" s="972"/>
      <c r="AR27" s="972"/>
      <c r="AS27" s="972"/>
      <c r="AT27" s="972"/>
      <c r="AU27" s="972"/>
      <c r="AV27" s="972"/>
      <c r="AW27" s="972"/>
      <c r="AX27" s="973"/>
      <c r="BA27" s="886"/>
      <c r="BB27" s="6"/>
      <c r="BC27" s="971" t="s">
        <v>859</v>
      </c>
      <c r="BD27" s="972"/>
      <c r="BE27" s="972"/>
      <c r="BF27" s="972"/>
      <c r="BG27" s="972"/>
      <c r="BH27" s="972"/>
      <c r="BI27" s="972"/>
      <c r="BJ27" s="972"/>
      <c r="BK27" s="972"/>
      <c r="BL27" s="973"/>
      <c r="CD27" s="750"/>
      <c r="CE27" s="975" t="s">
        <v>822</v>
      </c>
      <c r="CF27" s="975"/>
      <c r="CG27" s="975" t="s">
        <v>823</v>
      </c>
      <c r="CH27" s="982"/>
    </row>
    <row r="28" spans="1:86" ht="15.75" customHeight="1" thickBot="1">
      <c r="A28" s="6"/>
      <c r="B28" s="971" t="s">
        <v>452</v>
      </c>
      <c r="C28" s="972"/>
      <c r="D28" s="972"/>
      <c r="E28" s="973"/>
      <c r="F28" s="873"/>
      <c r="J28" s="31"/>
      <c r="K28" s="156"/>
      <c r="L28" s="156"/>
      <c r="M28" s="156"/>
      <c r="N28" s="156"/>
      <c r="O28" s="892"/>
      <c r="P28" s="985" t="s">
        <v>832</v>
      </c>
      <c r="Q28" s="994"/>
      <c r="R28" s="994"/>
      <c r="S28" s="995"/>
      <c r="V28" s="6"/>
      <c r="W28" s="479" t="s">
        <v>519</v>
      </c>
      <c r="X28" s="256">
        <f>AVERAGE(AS10:AS24)</f>
        <v>0.21097074171649957</v>
      </c>
      <c r="Y28" s="239" t="s">
        <v>800</v>
      </c>
      <c r="Z28" s="804">
        <f>AVERAGE(BA10:BA24)</f>
        <v>1.1567620755158423</v>
      </c>
      <c r="AA28" s="872"/>
      <c r="AB28" s="6"/>
      <c r="AC28" s="479" t="s">
        <v>877</v>
      </c>
      <c r="AD28" s="763">
        <f>AVERAGE(Costs!N46:N58)</f>
        <v>4.471555873548764E-4</v>
      </c>
      <c r="AE28" s="216">
        <f>AVERAGE(Costs!H46:H58)</f>
        <v>4.3036444108499294E-4</v>
      </c>
      <c r="AF28" s="619" t="s">
        <v>800</v>
      </c>
      <c r="AG28" s="532">
        <f>AVERAGE(Costs!AP14:AP17)</f>
        <v>1.1831296806362464E-3</v>
      </c>
      <c r="AH28" s="532">
        <f>AVERAGE(Costs!AH14:AH17)</f>
        <v>3.3765132922814571E-3</v>
      </c>
      <c r="AI28" s="778" t="s">
        <v>800</v>
      </c>
      <c r="AJ28" s="532">
        <f>AVERAGE(Costs!BS46:BS58)</f>
        <v>2.0275186255689164E-3</v>
      </c>
      <c r="AK28" s="532">
        <f>AVERAGE(Costs!BG46:BG58)</f>
        <v>3.3703339571899082E-3</v>
      </c>
      <c r="AL28" s="533">
        <f>AVERAGE(Costs!BN46:BN58)</f>
        <v>1.1293723923666698E-3</v>
      </c>
      <c r="AM28" s="872"/>
      <c r="AO28" s="983" t="str">
        <f>AO5</f>
        <v>Date</v>
      </c>
      <c r="AP28" s="974" t="str">
        <f>BD5</f>
        <v>NBIM</v>
      </c>
      <c r="AQ28" s="974"/>
      <c r="AR28" s="974"/>
      <c r="AS28" s="974" t="str">
        <f>BE5</f>
        <v>APG</v>
      </c>
      <c r="AT28" s="974"/>
      <c r="AU28" s="974"/>
      <c r="AV28" s="974" t="str">
        <f>BF5</f>
        <v>CPPIB</v>
      </c>
      <c r="AW28" s="974"/>
      <c r="AX28" s="970"/>
      <c r="BA28" s="886"/>
      <c r="BB28" s="6"/>
      <c r="BC28" s="747"/>
      <c r="BD28" s="965" t="str">
        <f>C70</f>
        <v>NBIM</v>
      </c>
      <c r="BE28" s="965"/>
      <c r="BF28" s="965"/>
      <c r="BG28" s="965" t="str">
        <f>D70</f>
        <v>APG</v>
      </c>
      <c r="BH28" s="965"/>
      <c r="BI28" s="965"/>
      <c r="BJ28" s="965" t="str">
        <f>E70</f>
        <v>CPPIB</v>
      </c>
      <c r="BK28" s="965"/>
      <c r="BL28" s="966"/>
      <c r="CD28" s="750"/>
      <c r="CE28" s="749" t="str">
        <f>CE17</f>
        <v>Intercept</v>
      </c>
      <c r="CF28" s="748" t="str">
        <f>CF17</f>
        <v>Variable X</v>
      </c>
      <c r="CG28" s="749" t="str">
        <f>CG17</f>
        <v>Intercept</v>
      </c>
      <c r="CH28" s="754" t="str">
        <f>CH17</f>
        <v>Variable X</v>
      </c>
    </row>
    <row r="29" spans="1:86" ht="15.75" thickBot="1">
      <c r="A29" s="6"/>
      <c r="B29" s="479"/>
      <c r="C29" s="480" t="s">
        <v>239</v>
      </c>
      <c r="D29" s="480" t="s">
        <v>833</v>
      </c>
      <c r="E29" s="481" t="s">
        <v>266</v>
      </c>
      <c r="F29" s="873"/>
      <c r="J29" s="31"/>
      <c r="K29" s="31"/>
      <c r="L29" s="31"/>
      <c r="M29" s="31"/>
      <c r="N29" s="31"/>
      <c r="O29" s="892"/>
      <c r="P29" s="490" t="str">
        <f>P33</f>
        <v>Sub-period 1: 2006-2010</v>
      </c>
      <c r="Q29" s="766">
        <f>AVERAGE(Returns!C36:C55)</f>
        <v>1.5327073619215875E-2</v>
      </c>
      <c r="R29" s="766">
        <f>AVERAGE(Returns!M36:M55)</f>
        <v>2.0915906331160018E-2</v>
      </c>
      <c r="S29" s="834">
        <f>AVERAGE(Returns!U36:U55)</f>
        <v>1.9465685013387406E-2</v>
      </c>
      <c r="V29" s="6"/>
      <c r="W29" s="479" t="str">
        <f>W7</f>
        <v>Overall: 2008-2016</v>
      </c>
      <c r="X29" s="803">
        <f>AVERAGE(AS16:AS24)</f>
        <v>2.2436103383079503E-3</v>
      </c>
      <c r="Y29" s="803">
        <f>AVERAGE(AW16:AW24)</f>
        <v>0.2320489188471335</v>
      </c>
      <c r="Z29" s="733">
        <f>AVERAGE(BA16:BA24)</f>
        <v>0.25488612676014039</v>
      </c>
      <c r="AA29" s="872"/>
      <c r="AB29" s="6"/>
      <c r="AC29" s="483" t="s">
        <v>878</v>
      </c>
      <c r="AD29" s="764">
        <f>AVERAGE(Costs!N62:N78)</f>
        <v>3.8256782453165476E-4</v>
      </c>
      <c r="AE29" s="764">
        <f>AVERAGE(Costs!H62:H78)</f>
        <v>1.6184742882872786E-4</v>
      </c>
      <c r="AF29" s="708" t="s">
        <v>800</v>
      </c>
      <c r="AG29" s="765">
        <f>AVERAGE(Costs!AP18:AP22)</f>
        <v>1.425641510022E-3</v>
      </c>
      <c r="AH29" s="765">
        <f>AVERAGE(Costs!AH18:AH22)</f>
        <v>4.4823576648726849E-3</v>
      </c>
      <c r="AI29" s="765">
        <f>AVERAGE(Costs!AL18:AL22)</f>
        <v>6.2444981562878913E-4</v>
      </c>
      <c r="AJ29" s="765">
        <f>AVERAGE(Costs!BS62:BS78)</f>
        <v>2.4786193804046952E-3</v>
      </c>
      <c r="AK29" s="765">
        <f>AVERAGE(Costs!BG62:BG78)</f>
        <v>3.9189046805147105E-3</v>
      </c>
      <c r="AL29" s="707">
        <f>AVERAGE(Costs!BN62:BN78)</f>
        <v>1.010891802652143E-3</v>
      </c>
      <c r="AM29" s="872"/>
      <c r="AO29" s="983"/>
      <c r="AP29" s="322" t="s">
        <v>531</v>
      </c>
      <c r="AQ29" s="322" t="s">
        <v>383</v>
      </c>
      <c r="AR29" s="322" t="s">
        <v>533</v>
      </c>
      <c r="AS29" s="322" t="s">
        <v>531</v>
      </c>
      <c r="AT29" s="322" t="s">
        <v>383</v>
      </c>
      <c r="AU29" s="322" t="s">
        <v>533</v>
      </c>
      <c r="AV29" s="322" t="s">
        <v>531</v>
      </c>
      <c r="AW29" s="322" t="s">
        <v>383</v>
      </c>
      <c r="AX29" s="495" t="s">
        <v>533</v>
      </c>
      <c r="BA29" s="886"/>
      <c r="BB29" s="6"/>
      <c r="BC29" s="479"/>
      <c r="BD29" s="322" t="s">
        <v>222</v>
      </c>
      <c r="BE29" s="322" t="s">
        <v>144</v>
      </c>
      <c r="BF29" s="322" t="s">
        <v>798</v>
      </c>
      <c r="BG29" s="322" t="s">
        <v>222</v>
      </c>
      <c r="BH29" s="322" t="s">
        <v>144</v>
      </c>
      <c r="BI29" s="322" t="s">
        <v>798</v>
      </c>
      <c r="BJ29" s="322" t="s">
        <v>222</v>
      </c>
      <c r="BK29" s="322" t="s">
        <v>144</v>
      </c>
      <c r="BL29" s="495" t="s">
        <v>798</v>
      </c>
      <c r="CD29" s="750" t="str">
        <f>CD18</f>
        <v>Coefficients</v>
      </c>
      <c r="CE29" s="790">
        <f>Regression!J82</f>
        <v>3.0454399269531134E-2</v>
      </c>
      <c r="CF29" s="790">
        <f>Regression!J83</f>
        <v>-18.324526526665888</v>
      </c>
      <c r="CG29" s="790">
        <f>Regression!J104</f>
        <v>1.7585422438985691E-2</v>
      </c>
      <c r="CH29" s="791">
        <f>Regression!J105</f>
        <v>-18.637882195949459</v>
      </c>
    </row>
    <row r="30" spans="1:86">
      <c r="A30" s="6"/>
      <c r="B30" s="479" t="s">
        <v>807</v>
      </c>
      <c r="C30" s="829">
        <f>Risk!K3</f>
        <v>1.1967145239382919</v>
      </c>
      <c r="D30" s="829">
        <f>Risk!X3</f>
        <v>1.310074033288904</v>
      </c>
      <c r="E30" s="830">
        <f>Risk!AK3</f>
        <v>1.0034990505391101</v>
      </c>
      <c r="F30" s="873"/>
      <c r="J30" s="31"/>
      <c r="K30" s="117"/>
      <c r="L30" s="893"/>
      <c r="M30" s="893"/>
      <c r="N30" s="893"/>
      <c r="O30" s="892"/>
      <c r="P30" s="490" t="str">
        <f>P34</f>
        <v>Sub-period 2: 2011-2016</v>
      </c>
      <c r="Q30" s="766">
        <f>AVERAGE(Returns!C56:C79)</f>
        <v>1.0781909965950312E-2</v>
      </c>
      <c r="R30" s="766">
        <f>AVERAGE(Returns!M56:M79)</f>
        <v>1.0880367996142013E-2</v>
      </c>
      <c r="S30" s="834">
        <f>AVERAGE(Returns!U56:U79)</f>
        <v>1.2852843382518769E-2</v>
      </c>
      <c r="V30" s="6"/>
      <c r="W30" s="479" t="str">
        <f>W8</f>
        <v>Sub-period 1: 2008-2011</v>
      </c>
      <c r="X30" s="803">
        <f>AVERAGE(AS16:AS19)</f>
        <v>4.1648526743108261E-2</v>
      </c>
      <c r="Y30" s="803">
        <f>AVERAGE(AW16:AW19)</f>
        <v>0.46842827406518056</v>
      </c>
      <c r="Z30" s="733">
        <f>AVERAGE(BA16:BA19)</f>
        <v>0.40370709365716717</v>
      </c>
      <c r="AA30" s="872"/>
      <c r="AB30" s="6"/>
      <c r="AM30" s="886"/>
      <c r="AO30" s="479">
        <f t="shared" ref="AO30:AO46" si="8">AO8</f>
        <v>2000</v>
      </c>
      <c r="AP30" s="4" t="s">
        <v>800</v>
      </c>
      <c r="AQ30" s="4" t="s">
        <v>800</v>
      </c>
      <c r="AR30" s="4" t="s">
        <v>800</v>
      </c>
      <c r="AS30" s="4" t="s">
        <v>800</v>
      </c>
      <c r="AT30" s="4" t="s">
        <v>800</v>
      </c>
      <c r="AU30" s="4" t="s">
        <v>800</v>
      </c>
      <c r="AV30" s="695" t="s">
        <v>800</v>
      </c>
      <c r="AW30" s="31" t="s">
        <v>800</v>
      </c>
      <c r="AX30" s="97" t="s">
        <v>800</v>
      </c>
      <c r="BA30" s="886"/>
      <c r="BB30" s="6"/>
      <c r="BC30" s="479">
        <v>2001</v>
      </c>
      <c r="BD30" s="620" t="s">
        <v>800</v>
      </c>
      <c r="BE30" s="710">
        <f>Costs!P18</f>
        <v>39.148299733158126</v>
      </c>
      <c r="BF30" s="620" t="s">
        <v>800</v>
      </c>
      <c r="BG30" s="620" t="s">
        <v>800</v>
      </c>
      <c r="BH30" s="620" t="s">
        <v>800</v>
      </c>
      <c r="BI30" s="620" t="s">
        <v>800</v>
      </c>
      <c r="BJ30" s="710">
        <f>USD!CP19</f>
        <v>8651.1335943617833</v>
      </c>
      <c r="BK30" s="710">
        <f>Costs!CD18</f>
        <v>6.4923428589616394</v>
      </c>
      <c r="BL30" s="804">
        <f t="shared" ref="BL30:BL35" si="9">BK30/BJ30</f>
        <v>7.5046151907686462E-4</v>
      </c>
      <c r="CD30" s="750" t="str">
        <f>CD19</f>
        <v>Standard error</v>
      </c>
      <c r="CE30" s="790">
        <f>Regression!K82</f>
        <v>2.4397470490654674E-2</v>
      </c>
      <c r="CF30" s="790">
        <f>Regression!K83</f>
        <v>28.186684929523295</v>
      </c>
      <c r="CG30" s="790">
        <f>Regression!K104</f>
        <v>8.9080464583669774E-3</v>
      </c>
      <c r="CH30" s="791">
        <f>Regression!K105</f>
        <v>10.291570962478422</v>
      </c>
    </row>
    <row r="31" spans="1:86" ht="15.75" thickBot="1">
      <c r="A31" s="6"/>
      <c r="B31" s="479" t="s">
        <v>848</v>
      </c>
      <c r="C31" s="829">
        <f>Risk!K5</f>
        <v>1.2516509409901011</v>
      </c>
      <c r="D31" s="829">
        <f>Risk!X5</f>
        <v>1.4085315969447476</v>
      </c>
      <c r="E31" s="830">
        <f>Risk!AK5</f>
        <v>1.1301967283443095</v>
      </c>
      <c r="F31" s="873"/>
      <c r="J31" s="31"/>
      <c r="K31" s="117"/>
      <c r="L31" s="893"/>
      <c r="M31" s="893"/>
      <c r="N31" s="893"/>
      <c r="O31" s="892"/>
      <c r="P31" s="479" t="s">
        <v>807</v>
      </c>
      <c r="Q31" s="762">
        <f>AVERAGE(Returns!C36:C79)</f>
        <v>1.2847893444707386E-2</v>
      </c>
      <c r="R31" s="762">
        <f>AVERAGE(Returns!M36:M79)</f>
        <v>1.5441976330241107E-2</v>
      </c>
      <c r="S31" s="835">
        <f>AVERAGE(Returns!U36:U79)</f>
        <v>1.5858680487459059E-2</v>
      </c>
      <c r="V31" s="6"/>
      <c r="W31" s="483" t="str">
        <f>W9</f>
        <v>Sub-period 2: 2012-2016</v>
      </c>
      <c r="X31" s="254">
        <f>AVERAGE(AS20:AS24)</f>
        <v>-2.9280322785532296E-2</v>
      </c>
      <c r="Y31" s="254">
        <f>AVERAGE(AW20:AW24)</f>
        <v>4.2945434672695716E-2</v>
      </c>
      <c r="Z31" s="255">
        <f>AVERAGE(BA20:BA24)</f>
        <v>0.13582935324251902</v>
      </c>
      <c r="AA31" s="872"/>
      <c r="AB31" s="6"/>
      <c r="AM31" s="886"/>
      <c r="AO31" s="479">
        <f t="shared" si="8"/>
        <v>2001</v>
      </c>
      <c r="AP31" s="4" t="s">
        <v>800</v>
      </c>
      <c r="AQ31" s="4" t="s">
        <v>800</v>
      </c>
      <c r="AR31" s="4" t="s">
        <v>800</v>
      </c>
      <c r="AS31" s="4" t="s">
        <v>800</v>
      </c>
      <c r="AT31" s="4" t="s">
        <v>800</v>
      </c>
      <c r="AU31" s="4" t="s">
        <v>800</v>
      </c>
      <c r="AV31" s="695">
        <f>Costs!BS18</f>
        <v>5.679660016100986E-4</v>
      </c>
      <c r="AW31" s="695">
        <f>Costs!BG18</f>
        <v>1.8249551746676602E-4</v>
      </c>
      <c r="AX31" s="97" t="s">
        <v>800</v>
      </c>
      <c r="BA31" s="886"/>
      <c r="BB31" s="6"/>
      <c r="BC31" s="479">
        <v>2002</v>
      </c>
      <c r="BD31" s="620" t="s">
        <v>800</v>
      </c>
      <c r="BE31" s="710">
        <f>Costs!P22</f>
        <v>74.00778868299065</v>
      </c>
      <c r="BF31" s="620" t="s">
        <v>800</v>
      </c>
      <c r="BG31" s="620" t="s">
        <v>800</v>
      </c>
      <c r="BH31" s="620" t="s">
        <v>800</v>
      </c>
      <c r="BI31" s="620" t="s">
        <v>800</v>
      </c>
      <c r="BJ31" s="710">
        <f>USD!CP23</f>
        <v>11679.378402329407</v>
      </c>
      <c r="BK31" s="710">
        <f>Costs!CD22</f>
        <v>8.5814445465701006</v>
      </c>
      <c r="BL31" s="804">
        <f t="shared" si="9"/>
        <v>7.3475182076972222E-4</v>
      </c>
      <c r="CD31" s="750" t="str">
        <f>CD20</f>
        <v>tStat</v>
      </c>
      <c r="CE31" s="790">
        <f>Regression!L82</f>
        <v>1.2482605227946288</v>
      </c>
      <c r="CF31" s="790">
        <f>Regression!L83</f>
        <v>-0.65011286614526331</v>
      </c>
      <c r="CG31" s="790">
        <f>Regression!L104</f>
        <v>1.9741053800262118</v>
      </c>
      <c r="CH31" s="791">
        <f>Regression!L105</f>
        <v>-1.8109851512369179</v>
      </c>
    </row>
    <row r="32" spans="1:86" ht="15.75" thickBot="1">
      <c r="A32" s="6"/>
      <c r="B32" s="483" t="s">
        <v>849</v>
      </c>
      <c r="C32" s="831">
        <f>Risk!K7</f>
        <v>1.0954443781075041</v>
      </c>
      <c r="D32" s="831">
        <f>Risk!X7</f>
        <v>1.1000501190434406</v>
      </c>
      <c r="E32" s="832">
        <f>Risk!AK7</f>
        <v>0.72338294929893088</v>
      </c>
      <c r="F32" s="873"/>
      <c r="G32" s="6"/>
      <c r="J32" s="31"/>
      <c r="K32" s="117"/>
      <c r="L32" s="893"/>
      <c r="M32" s="893"/>
      <c r="N32" s="893"/>
      <c r="O32" s="892"/>
      <c r="P32" s="985" t="s">
        <v>829</v>
      </c>
      <c r="Q32" s="986"/>
      <c r="R32" s="986"/>
      <c r="S32" s="987"/>
      <c r="W32" s="31"/>
      <c r="X32" s="292"/>
      <c r="Y32" s="292"/>
      <c r="Z32" s="292"/>
      <c r="AA32" s="6"/>
      <c r="AB32" s="6"/>
      <c r="AC32" s="967" t="s">
        <v>868</v>
      </c>
      <c r="AD32" s="968"/>
      <c r="AE32" s="968"/>
      <c r="AF32" s="968"/>
      <c r="AG32" s="968"/>
      <c r="AH32" s="968"/>
      <c r="AI32" s="968"/>
      <c r="AJ32" s="968"/>
      <c r="AK32" s="969"/>
      <c r="AM32" s="886"/>
      <c r="AO32" s="479">
        <f t="shared" si="8"/>
        <v>2002</v>
      </c>
      <c r="AP32" s="4" t="s">
        <v>800</v>
      </c>
      <c r="AQ32" s="4" t="s">
        <v>800</v>
      </c>
      <c r="AR32" s="4" t="s">
        <v>800</v>
      </c>
      <c r="AS32" s="4" t="s">
        <v>800</v>
      </c>
      <c r="AT32" s="4" t="s">
        <v>800</v>
      </c>
      <c r="AU32" s="4" t="s">
        <v>800</v>
      </c>
      <c r="AV32" s="695">
        <f>Costs!BS22</f>
        <v>5.9141548667149962E-4</v>
      </c>
      <c r="AW32" s="695">
        <f>Costs!BG22</f>
        <v>1.4333633409822254E-4</v>
      </c>
      <c r="AX32" s="97" t="s">
        <v>800</v>
      </c>
      <c r="BA32" s="886"/>
      <c r="BB32" s="6"/>
      <c r="BC32" s="479">
        <v>2003</v>
      </c>
      <c r="BD32" s="620" t="s">
        <v>800</v>
      </c>
      <c r="BE32" s="726">
        <f>Costs!P26</f>
        <v>108.75584618374164</v>
      </c>
      <c r="BF32" s="620" t="s">
        <v>800</v>
      </c>
      <c r="BG32" s="620" t="s">
        <v>800</v>
      </c>
      <c r="BH32" s="620" t="s">
        <v>800</v>
      </c>
      <c r="BI32" s="620" t="s">
        <v>800</v>
      </c>
      <c r="BJ32" s="726">
        <f>USD!CP27</f>
        <v>24071.524859740759</v>
      </c>
      <c r="BK32" s="726">
        <f>Costs!CD26</f>
        <v>12.996785810824647</v>
      </c>
      <c r="BL32" s="906">
        <f t="shared" si="9"/>
        <v>5.3992366028134608E-4</v>
      </c>
      <c r="CD32" s="756" t="str">
        <f>CD21</f>
        <v>P-value</v>
      </c>
      <c r="CE32" s="792">
        <f>Regression!M82</f>
        <v>0.21884965904967901</v>
      </c>
      <c r="CF32" s="792">
        <f>Regression!M83</f>
        <v>0.51915971174721931</v>
      </c>
      <c r="CG32" s="792">
        <f>Regression!M104</f>
        <v>5.4970551843226079E-2</v>
      </c>
      <c r="CH32" s="793">
        <f>Regression!M105</f>
        <v>7.7299621979240368E-2</v>
      </c>
    </row>
    <row r="33" spans="1:86" ht="15.75" thickBot="1">
      <c r="A33" s="6"/>
      <c r="B33" s="31"/>
      <c r="C33" s="124"/>
      <c r="D33" s="124"/>
      <c r="E33" s="124"/>
      <c r="F33" s="761"/>
      <c r="J33" s="31"/>
      <c r="K33" s="117"/>
      <c r="L33" s="893"/>
      <c r="M33" s="893"/>
      <c r="N33" s="893"/>
      <c r="O33" s="892"/>
      <c r="P33" s="479" t="s">
        <v>850</v>
      </c>
      <c r="Q33" s="648">
        <f>'Return beyond inflation'!AT24</f>
        <v>9.8111096394744857E-3</v>
      </c>
      <c r="R33" s="649">
        <f>'Return beyond inflation'!AX24</f>
        <v>1.7149559905536477E-2</v>
      </c>
      <c r="S33" s="650">
        <f>'Return beyond inflation'!AV24</f>
        <v>1.5074830139013057E-2</v>
      </c>
      <c r="V33" s="31"/>
      <c r="W33" s="996"/>
      <c r="X33" s="996"/>
      <c r="Y33" s="996"/>
      <c r="Z33" s="996"/>
      <c r="AA33" s="877"/>
      <c r="AB33" s="6"/>
      <c r="AC33" s="786" t="s">
        <v>226</v>
      </c>
      <c r="AD33" s="974" t="str">
        <f>BD5</f>
        <v>NBIM</v>
      </c>
      <c r="AE33" s="974"/>
      <c r="AF33" s="974" t="str">
        <f>BE5</f>
        <v>APG</v>
      </c>
      <c r="AG33" s="974"/>
      <c r="AH33" s="974"/>
      <c r="AI33" s="974" t="str">
        <f>BF5</f>
        <v>CPPIB</v>
      </c>
      <c r="AJ33" s="974"/>
      <c r="AK33" s="970"/>
      <c r="AM33" s="31"/>
      <c r="AO33" s="479">
        <f t="shared" si="8"/>
        <v>2003</v>
      </c>
      <c r="AP33" s="31" t="s">
        <v>800</v>
      </c>
      <c r="AQ33" s="31" t="s">
        <v>800</v>
      </c>
      <c r="AR33" s="31" t="s">
        <v>800</v>
      </c>
      <c r="AS33" s="31" t="s">
        <v>800</v>
      </c>
      <c r="AT33" s="31" t="s">
        <v>800</v>
      </c>
      <c r="AU33" s="31" t="s">
        <v>800</v>
      </c>
      <c r="AV33" s="695">
        <f>Costs!BS26</f>
        <v>4.5623967934455706E-4</v>
      </c>
      <c r="AW33" s="695">
        <f>Costs!BG26</f>
        <v>8.3683980936789036E-5</v>
      </c>
      <c r="AX33" s="787" t="s">
        <v>800</v>
      </c>
      <c r="BA33" s="886"/>
      <c r="BB33" s="6"/>
      <c r="BC33" s="479">
        <v>2004</v>
      </c>
      <c r="BD33" s="620" t="s">
        <v>800</v>
      </c>
      <c r="BE33" s="726">
        <f>Costs!P30</f>
        <v>149.78359564440251</v>
      </c>
      <c r="BF33" s="620" t="s">
        <v>800</v>
      </c>
      <c r="BG33" s="620" t="s">
        <v>800</v>
      </c>
      <c r="BH33" s="620" t="s">
        <v>800</v>
      </c>
      <c r="BI33" s="620" t="s">
        <v>800</v>
      </c>
      <c r="BJ33" s="726">
        <f>USD!CP31</f>
        <v>42468.756833451567</v>
      </c>
      <c r="BK33" s="726">
        <f>Costs!CD30</f>
        <v>34.514433997103495</v>
      </c>
      <c r="BL33" s="906">
        <f t="shared" si="9"/>
        <v>8.1270177350511346E-4</v>
      </c>
      <c r="CD33" s="750"/>
      <c r="CE33" s="757"/>
      <c r="CF33" s="757"/>
      <c r="CG33" s="757"/>
      <c r="CH33" s="758"/>
    </row>
    <row r="34" spans="1:86" ht="15.75" customHeight="1">
      <c r="A34" s="31"/>
      <c r="B34" s="971" t="s">
        <v>521</v>
      </c>
      <c r="C34" s="972"/>
      <c r="D34" s="972"/>
      <c r="E34" s="973"/>
      <c r="F34" s="877"/>
      <c r="J34" s="31"/>
      <c r="K34" s="117"/>
      <c r="L34" s="893"/>
      <c r="M34" s="438"/>
      <c r="N34" s="893"/>
      <c r="O34" s="892"/>
      <c r="P34" s="479" t="s">
        <v>849</v>
      </c>
      <c r="Q34" s="651">
        <f>'Return beyond inflation'!AT25</f>
        <v>5.6397416365247532E-3</v>
      </c>
      <c r="R34" s="530">
        <f>'Return beyond inflation'!AX25</f>
        <v>7.0924388356189512E-3</v>
      </c>
      <c r="S34" s="531">
        <f>'Return beyond inflation'!AV25</f>
        <v>9.0396996972666264E-3</v>
      </c>
      <c r="V34" s="31"/>
      <c r="W34" s="971" t="s">
        <v>881</v>
      </c>
      <c r="X34" s="972"/>
      <c r="Y34" s="972"/>
      <c r="Z34" s="973"/>
      <c r="AA34" s="877"/>
      <c r="AB34" s="6"/>
      <c r="AC34" s="786"/>
      <c r="AD34" s="813" t="s">
        <v>531</v>
      </c>
      <c r="AE34" s="813" t="s">
        <v>383</v>
      </c>
      <c r="AF34" s="813" t="s">
        <v>531</v>
      </c>
      <c r="AG34" s="813" t="s">
        <v>383</v>
      </c>
      <c r="AH34" s="813" t="s">
        <v>532</v>
      </c>
      <c r="AI34" s="813" t="s">
        <v>531</v>
      </c>
      <c r="AJ34" s="813" t="s">
        <v>383</v>
      </c>
      <c r="AK34" s="814" t="s">
        <v>532</v>
      </c>
      <c r="AM34" s="886"/>
      <c r="AO34" s="479">
        <f t="shared" si="8"/>
        <v>2004</v>
      </c>
      <c r="AP34" s="31" t="s">
        <v>800</v>
      </c>
      <c r="AQ34" s="31" t="s">
        <v>800</v>
      </c>
      <c r="AR34" s="31" t="s">
        <v>800</v>
      </c>
      <c r="AS34" s="31" t="s">
        <v>800</v>
      </c>
      <c r="AT34" s="31" t="s">
        <v>800</v>
      </c>
      <c r="AU34" s="31" t="s">
        <v>800</v>
      </c>
      <c r="AV34" s="695">
        <f>Costs!BS30</f>
        <v>5.5556858896802246E-4</v>
      </c>
      <c r="AW34" s="695">
        <f>Costs!BG30</f>
        <v>2.5713318453709106E-4</v>
      </c>
      <c r="AX34" s="787" t="s">
        <v>800</v>
      </c>
      <c r="BA34" s="886"/>
      <c r="BB34" s="6"/>
      <c r="BC34" s="479">
        <v>2005</v>
      </c>
      <c r="BD34" s="620" t="s">
        <v>800</v>
      </c>
      <c r="BE34" s="726">
        <f>Costs!P34</f>
        <v>188.92334071316611</v>
      </c>
      <c r="BF34" s="620" t="s">
        <v>800</v>
      </c>
      <c r="BG34" s="620" t="s">
        <v>800</v>
      </c>
      <c r="BH34" s="620" t="s">
        <v>800</v>
      </c>
      <c r="BI34" s="620" t="s">
        <v>800</v>
      </c>
      <c r="BJ34" s="726">
        <f>USD!CP35</f>
        <v>69782.45773231177</v>
      </c>
      <c r="BK34" s="726">
        <f>Costs!CD34</f>
        <v>73.028439769168912</v>
      </c>
      <c r="BL34" s="906">
        <f t="shared" si="9"/>
        <v>1.0465157310639425E-3</v>
      </c>
      <c r="CD34" s="750" t="str">
        <f>CD23</f>
        <v>R-Square</v>
      </c>
      <c r="CE34" s="790">
        <f>Regression!J70</f>
        <v>9.96276213812438E-3</v>
      </c>
      <c r="CF34" s="790"/>
      <c r="CG34" s="790">
        <f>Regression!J92</f>
        <v>7.243134544718581E-2</v>
      </c>
      <c r="CH34" s="758"/>
    </row>
    <row r="35" spans="1:86" ht="15.75" thickBot="1">
      <c r="A35" s="31"/>
      <c r="B35" s="479"/>
      <c r="C35" s="797" t="str">
        <f>C29</f>
        <v>NBIM</v>
      </c>
      <c r="D35" s="797" t="str">
        <f>D29</f>
        <v>APG</v>
      </c>
      <c r="E35" s="913" t="str">
        <f>E29</f>
        <v>CPPIB</v>
      </c>
      <c r="F35" s="877"/>
      <c r="J35" s="31"/>
      <c r="K35" s="228"/>
      <c r="L35" s="31"/>
      <c r="M35" s="31"/>
      <c r="N35" s="31"/>
      <c r="O35" s="31"/>
      <c r="P35" s="479" t="s">
        <v>807</v>
      </c>
      <c r="Q35" s="652">
        <f>'Return beyond inflation'!AT23</f>
        <v>7.5358180015019042E-3</v>
      </c>
      <c r="R35" s="653">
        <f>'Return beyond inflation'!AX23</f>
        <v>1.1663857503763281E-2</v>
      </c>
      <c r="S35" s="654">
        <f>'Return beyond inflation'!AV23</f>
        <v>1.1782940807151367E-2</v>
      </c>
      <c r="T35" s="31"/>
      <c r="U35" s="6"/>
      <c r="V35" s="31"/>
      <c r="W35" s="479"/>
      <c r="X35" s="323" t="str">
        <f>X27</f>
        <v>NBIM</v>
      </c>
      <c r="Y35" s="323" t="str">
        <f>Y27</f>
        <v>APG</v>
      </c>
      <c r="Z35" s="492" t="str">
        <f>Z27</f>
        <v>CPPIB</v>
      </c>
      <c r="AA35" s="877"/>
      <c r="AB35" s="6"/>
      <c r="AC35" s="479">
        <f t="shared" ref="AC35:AC51" si="10">AO30</f>
        <v>2000</v>
      </c>
      <c r="AD35" s="4" t="s">
        <v>800</v>
      </c>
      <c r="AE35" s="4" t="s">
        <v>800</v>
      </c>
      <c r="AF35" s="4" t="s">
        <v>800</v>
      </c>
      <c r="AG35" s="4" t="s">
        <v>800</v>
      </c>
      <c r="AH35" s="4" t="s">
        <v>800</v>
      </c>
      <c r="AI35" s="4" t="s">
        <v>800</v>
      </c>
      <c r="AJ35" s="4" t="s">
        <v>800</v>
      </c>
      <c r="AK35" s="97" t="s">
        <v>800</v>
      </c>
      <c r="AM35" s="886"/>
      <c r="AO35" s="479">
        <f t="shared" si="8"/>
        <v>2005</v>
      </c>
      <c r="AP35" s="31" t="s">
        <v>800</v>
      </c>
      <c r="AQ35" s="31" t="s">
        <v>800</v>
      </c>
      <c r="AR35" s="31" t="s">
        <v>800</v>
      </c>
      <c r="AS35" s="31" t="s">
        <v>800</v>
      </c>
      <c r="AT35" s="31" t="s">
        <v>800</v>
      </c>
      <c r="AU35" s="31" t="s">
        <v>800</v>
      </c>
      <c r="AV35" s="695">
        <f>Costs!BS34</f>
        <v>5.6125861962271319E-4</v>
      </c>
      <c r="AW35" s="695">
        <f>Costs!BG34</f>
        <v>4.8525711144122908E-4</v>
      </c>
      <c r="AX35" s="787" t="s">
        <v>800</v>
      </c>
      <c r="BA35" s="886"/>
      <c r="BB35" s="172"/>
      <c r="BC35" s="479">
        <v>2006</v>
      </c>
      <c r="BD35" s="620" t="s">
        <v>800</v>
      </c>
      <c r="BE35" s="726">
        <f>Costs!P38</f>
        <v>239.13435407360788</v>
      </c>
      <c r="BF35" s="620" t="s">
        <v>800</v>
      </c>
      <c r="BG35" s="620" t="s">
        <v>800</v>
      </c>
      <c r="BH35" s="620" t="s">
        <v>800</v>
      </c>
      <c r="BI35" s="620" t="s">
        <v>800</v>
      </c>
      <c r="BJ35" s="726">
        <f>USD!CP39</f>
        <v>94476.239580647918</v>
      </c>
      <c r="BK35" s="726">
        <f>Costs!CD38</f>
        <v>85.638824707842886</v>
      </c>
      <c r="BL35" s="906">
        <f t="shared" si="9"/>
        <v>9.0645886296880889E-4</v>
      </c>
      <c r="CD35" s="750" t="str">
        <f>CD24</f>
        <v>Correlation</v>
      </c>
      <c r="CE35" s="790">
        <f>Regression!L70</f>
        <v>9.9813637034847996E-2</v>
      </c>
      <c r="CF35" s="790"/>
      <c r="CG35" s="790">
        <f>Regression!L92</f>
        <v>0.26913072185684378</v>
      </c>
      <c r="CH35" s="758"/>
    </row>
    <row r="36" spans="1:86" ht="15.75" customHeight="1" thickBot="1">
      <c r="A36" s="31"/>
      <c r="B36" s="483" t="s">
        <v>807</v>
      </c>
      <c r="C36" s="279">
        <f>'Benchmark finished'!F81</f>
        <v>8.2462562777654652E-2</v>
      </c>
      <c r="D36" s="279">
        <f>'Benchmark finished'!G81</f>
        <v>0.14504015614402219</v>
      </c>
      <c r="E36" s="280">
        <f>'Benchmark finished'!H81</f>
        <v>0.1154571961544632</v>
      </c>
      <c r="F36" s="877"/>
      <c r="J36" s="31"/>
      <c r="K36" s="894"/>
      <c r="L36" s="894"/>
      <c r="M36" s="894"/>
      <c r="N36" s="894"/>
      <c r="O36" s="894"/>
      <c r="P36" s="985" t="s">
        <v>830</v>
      </c>
      <c r="Q36" s="986"/>
      <c r="R36" s="986"/>
      <c r="S36" s="987"/>
      <c r="T36" s="894"/>
      <c r="U36" s="895"/>
      <c r="V36" s="31"/>
      <c r="W36" s="479" t="s">
        <v>519</v>
      </c>
      <c r="X36" s="256">
        <f>AVERAGE(AP10:AP24)</f>
        <v>0.20436250240615231</v>
      </c>
      <c r="Y36" s="239" t="s">
        <v>800</v>
      </c>
      <c r="Z36" s="804">
        <f>AVERAGE(AX10:AX24)</f>
        <v>0.60701034219922956</v>
      </c>
      <c r="AA36" s="877"/>
      <c r="AB36" s="6"/>
      <c r="AC36" s="479">
        <f t="shared" si="10"/>
        <v>2001</v>
      </c>
      <c r="AD36" s="106">
        <f>Costs!Q18</f>
        <v>0.60084942006715725</v>
      </c>
      <c r="AE36" s="106">
        <f>Costs!R18</f>
        <v>0.39915057993284259</v>
      </c>
      <c r="AF36" s="4" t="s">
        <v>800</v>
      </c>
      <c r="AG36" s="4" t="s">
        <v>800</v>
      </c>
      <c r="AH36" s="4" t="s">
        <v>800</v>
      </c>
      <c r="AI36" s="106">
        <f>Costs!CA18</f>
        <v>0.75682228491708414</v>
      </c>
      <c r="AJ36" s="106">
        <f>Costs!BI18</f>
        <v>0.24317771508291589</v>
      </c>
      <c r="AK36" s="97" t="s">
        <v>800</v>
      </c>
      <c r="AM36" s="886"/>
      <c r="AO36" s="479">
        <f t="shared" si="8"/>
        <v>2006</v>
      </c>
      <c r="AP36" s="31" t="s">
        <v>800</v>
      </c>
      <c r="AQ36" s="31" t="s">
        <v>800</v>
      </c>
      <c r="AR36" s="31" t="s">
        <v>800</v>
      </c>
      <c r="AS36" s="31" t="s">
        <v>800</v>
      </c>
      <c r="AT36" s="31" t="s">
        <v>800</v>
      </c>
      <c r="AU36" s="31" t="s">
        <v>800</v>
      </c>
      <c r="AV36" s="695">
        <f>Costs!BS38</f>
        <v>7.3367995370024507E-4</v>
      </c>
      <c r="AW36" s="695">
        <f>Costs!BG38</f>
        <v>1.7277890926856369E-4</v>
      </c>
      <c r="AX36" s="787" t="s">
        <v>800</v>
      </c>
      <c r="BA36" s="886"/>
      <c r="BB36" s="6"/>
      <c r="BC36" s="479">
        <v>2007</v>
      </c>
      <c r="BD36" s="726">
        <f>USD!L43</f>
        <v>509496.21076088655</v>
      </c>
      <c r="BE36" s="726">
        <f>Costs!P42</f>
        <v>313.96954054723869</v>
      </c>
      <c r="BF36" s="769">
        <f>BE36/BD36</f>
        <v>6.1623528088335252E-4</v>
      </c>
      <c r="BG36" s="17" t="s">
        <v>800</v>
      </c>
      <c r="BH36" s="17" t="s">
        <v>800</v>
      </c>
      <c r="BI36" s="17" t="s">
        <v>800</v>
      </c>
      <c r="BJ36" s="726">
        <f>USD!CP43</f>
        <v>123286.89396625968</v>
      </c>
      <c r="BK36" s="726">
        <f>Costs!CD42</f>
        <v>374.32968237541411</v>
      </c>
      <c r="BL36" s="906">
        <f>BK36/BJ36</f>
        <v>3.0362487879519303E-3</v>
      </c>
      <c r="CD36" s="751" t="str">
        <f>CD25</f>
        <v>Observations</v>
      </c>
      <c r="CE36" s="760">
        <f>Regression!J73</f>
        <v>44</v>
      </c>
      <c r="CF36" s="760"/>
      <c r="CG36" s="760">
        <f>Regression!J95</f>
        <v>44</v>
      </c>
      <c r="CH36" s="753"/>
    </row>
    <row r="37" spans="1:86" ht="15.75" thickBot="1">
      <c r="A37" s="31"/>
      <c r="F37" s="877"/>
      <c r="J37" s="31"/>
      <c r="K37" s="50"/>
      <c r="L37" s="894"/>
      <c r="M37" s="894"/>
      <c r="N37" s="894"/>
      <c r="O37" s="894"/>
      <c r="P37" s="479" t="str">
        <f>P33</f>
        <v>Sub-period 1: 2006-2010</v>
      </c>
      <c r="Q37" s="648">
        <f>'Return beyond inflation'!AU24</f>
        <v>3.0169009433711879E-3</v>
      </c>
      <c r="R37" s="649">
        <f>'Return beyond inflation'!AY24</f>
        <v>9.2619651961716003E-3</v>
      </c>
      <c r="S37" s="650">
        <f>'Return beyond inflation'!AW24</f>
        <v>8.5902037536845811E-3</v>
      </c>
      <c r="T37" s="894"/>
      <c r="U37" s="895"/>
      <c r="V37" s="31"/>
      <c r="W37" s="479" t="str">
        <f>W13</f>
        <v>Overall: 2008-2016</v>
      </c>
      <c r="X37" s="803">
        <f>AVERAGE(AP16:AP24)</f>
        <v>5.4244442227703069E-2</v>
      </c>
      <c r="Y37" s="803">
        <f>AVERAGE(AT16:AT24)</f>
        <v>0.19272394805515494</v>
      </c>
      <c r="Z37" s="733">
        <f>AVERAGE(AX16:AX24)</f>
        <v>0.21707268898688609</v>
      </c>
      <c r="AA37" s="6"/>
      <c r="AB37" s="6"/>
      <c r="AC37" s="479">
        <f t="shared" si="10"/>
        <v>2002</v>
      </c>
      <c r="AD37" s="106">
        <f>Costs!Q22</f>
        <v>0.63252278722196731</v>
      </c>
      <c r="AE37" s="106">
        <f>Costs!R22</f>
        <v>0.36747721277803291</v>
      </c>
      <c r="AF37" s="4" t="s">
        <v>800</v>
      </c>
      <c r="AG37" s="4" t="s">
        <v>800</v>
      </c>
      <c r="AH37" s="4" t="s">
        <v>800</v>
      </c>
      <c r="AI37" s="106">
        <f>Costs!CA22</f>
        <v>0.80491870854016501</v>
      </c>
      <c r="AJ37" s="106">
        <f>Costs!BI22</f>
        <v>0.19508129145983491</v>
      </c>
      <c r="AK37" s="97" t="s">
        <v>800</v>
      </c>
      <c r="AM37" s="886"/>
      <c r="AO37" s="479">
        <f t="shared" si="8"/>
        <v>2007</v>
      </c>
      <c r="AP37" s="695">
        <f>Costs!N42</f>
        <v>2.8817079392619299E-4</v>
      </c>
      <c r="AQ37" s="695">
        <f>Costs!H42</f>
        <v>3.2806448695715942E-4</v>
      </c>
      <c r="AR37" s="4" t="s">
        <v>800</v>
      </c>
      <c r="AS37" s="31" t="s">
        <v>800</v>
      </c>
      <c r="AT37" s="31" t="s">
        <v>800</v>
      </c>
      <c r="AU37" s="4" t="s">
        <v>800</v>
      </c>
      <c r="AV37" s="695">
        <f>Costs!BS42</f>
        <v>1.1675254666776271E-3</v>
      </c>
      <c r="AW37" s="695">
        <f>Costs!BG42</f>
        <v>1.2961961657112606E-3</v>
      </c>
      <c r="AX37" s="290">
        <f>AVERAGE(Costs!BN42)</f>
        <v>5.7252715556304202E-4</v>
      </c>
      <c r="BA37" s="886"/>
      <c r="BB37" s="6"/>
      <c r="BC37" s="479">
        <v>2008</v>
      </c>
      <c r="BD37" s="710">
        <f>USD!L47</f>
        <v>435386.09845617739</v>
      </c>
      <c r="BE37" s="710">
        <f>Costs!P46</f>
        <v>371.64454250121162</v>
      </c>
      <c r="BF37" s="734">
        <f t="shared" ref="BF37:BF45" si="11">BE37/BD37</f>
        <v>8.5359763166305703E-4</v>
      </c>
      <c r="BG37" s="710">
        <f>USD!BO15</f>
        <v>346530.92372939078</v>
      </c>
      <c r="BH37" s="710">
        <f>Costs!AT14</f>
        <v>722.82558079730438</v>
      </c>
      <c r="BI37" s="734">
        <f>BH37/BG37</f>
        <v>2.0858905549271142E-3</v>
      </c>
      <c r="BJ37" s="710">
        <f>USD!CP47</f>
        <v>94329.688132847295</v>
      </c>
      <c r="BK37" s="710">
        <f>Costs!CD46</f>
        <v>590.38497569907577</v>
      </c>
      <c r="BL37" s="804">
        <f t="shared" ref="BL37:BL45" si="12">BK37/BJ37</f>
        <v>6.2587398239631522E-3</v>
      </c>
    </row>
    <row r="38" spans="1:86">
      <c r="A38" s="31"/>
      <c r="B38" s="971" t="s">
        <v>475</v>
      </c>
      <c r="C38" s="972"/>
      <c r="D38" s="972"/>
      <c r="E38" s="973"/>
      <c r="F38" s="877"/>
      <c r="J38" s="31"/>
      <c r="K38" s="896"/>
      <c r="L38" s="50"/>
      <c r="M38" s="50"/>
      <c r="N38" s="50"/>
      <c r="O38" s="50"/>
      <c r="P38" s="479" t="str">
        <f>P34</f>
        <v>Sub-period 2: 2011-2016</v>
      </c>
      <c r="Q38" s="651">
        <f>'Return beyond inflation'!AU25</f>
        <v>8.3914867728393568E-3</v>
      </c>
      <c r="R38" s="530">
        <f>'Return beyond inflation'!AY25</f>
        <v>4.3849943392836642E-3</v>
      </c>
      <c r="S38" s="531">
        <f>'Return beyond inflation'!AW25</f>
        <v>9.4200165807853641E-3</v>
      </c>
      <c r="T38" s="50"/>
      <c r="U38" s="895"/>
      <c r="V38" s="31"/>
      <c r="W38" s="479" t="str">
        <f>W14</f>
        <v>Sub-period 1: 2008-2011</v>
      </c>
      <c r="X38" s="803">
        <f>AVERAGE(AP16:AP19)</f>
        <v>0.11026341912112236</v>
      </c>
      <c r="Y38" s="803">
        <f>AVERAGE(AT16:AT19)</f>
        <v>0.40935275601680521</v>
      </c>
      <c r="Z38" s="733">
        <f>AVERAGE(AX16:AX19)</f>
        <v>0.34138018956157545</v>
      </c>
      <c r="AA38" s="886"/>
      <c r="AB38" s="6"/>
      <c r="AC38" s="479">
        <f t="shared" si="10"/>
        <v>2003</v>
      </c>
      <c r="AD38" s="106">
        <f>Costs!Q26</f>
        <v>0.45383014162333879</v>
      </c>
      <c r="AE38" s="106">
        <f>Costs!R26</f>
        <v>0.54616985837666132</v>
      </c>
      <c r="AF38" s="4" t="s">
        <v>800</v>
      </c>
      <c r="AG38" s="4" t="s">
        <v>800</v>
      </c>
      <c r="AH38" s="4" t="s">
        <v>800</v>
      </c>
      <c r="AI38" s="106">
        <f>Costs!CA26</f>
        <v>0.84500775370136105</v>
      </c>
      <c r="AJ38" s="106">
        <f>Costs!BI26</f>
        <v>0.15499224629863889</v>
      </c>
      <c r="AK38" s="97" t="s">
        <v>800</v>
      </c>
      <c r="AM38" s="886"/>
      <c r="AO38" s="479">
        <f t="shared" si="8"/>
        <v>2008</v>
      </c>
      <c r="AP38" s="695">
        <f>Costs!N46</f>
        <v>4.0557287436979622E-4</v>
      </c>
      <c r="AQ38" s="695">
        <f>Costs!H46</f>
        <v>4.4802475729326092E-4</v>
      </c>
      <c r="AR38" s="4" t="s">
        <v>800</v>
      </c>
      <c r="AS38" s="695">
        <f>Costs!AP14</f>
        <v>8.3435622197084564E-4</v>
      </c>
      <c r="AT38" s="695">
        <f>Costs!AH14</f>
        <v>1.2515343329562686E-3</v>
      </c>
      <c r="AU38" s="4" t="s">
        <v>800</v>
      </c>
      <c r="AV38" s="695">
        <f>Costs!BS46</f>
        <v>1.8891390392547116E-3</v>
      </c>
      <c r="AW38" s="695">
        <f>Costs!BG46</f>
        <v>3.395871824202667E-3</v>
      </c>
      <c r="AX38" s="290">
        <f>AVERAGE(Costs!BN46)</f>
        <v>9.7372896050577343E-4</v>
      </c>
      <c r="BA38" s="886"/>
      <c r="BB38" s="172"/>
      <c r="BC38" s="479">
        <v>2009</v>
      </c>
      <c r="BD38" s="710">
        <f>USD!L51</f>
        <v>507921.51364076993</v>
      </c>
      <c r="BE38" s="710">
        <f>Costs!P50</f>
        <v>523.12372884643605</v>
      </c>
      <c r="BF38" s="734">
        <f t="shared" si="11"/>
        <v>1.0299302447275701E-3</v>
      </c>
      <c r="BG38" s="710">
        <f>USD!BO16</f>
        <v>369116.45284123352</v>
      </c>
      <c r="BH38" s="710">
        <f>Costs!AT15</f>
        <v>1416.0973104194345</v>
      </c>
      <c r="BI38" s="734">
        <f t="shared" ref="BI38:BI45" si="13">BH38/BG38</f>
        <v>3.8364513408144785E-3</v>
      </c>
      <c r="BJ38" s="710">
        <f>USD!CP51</f>
        <v>122043.21075976534</v>
      </c>
      <c r="BK38" s="710">
        <f>Costs!CD50</f>
        <v>729.13450953289782</v>
      </c>
      <c r="BL38" s="804">
        <f t="shared" si="12"/>
        <v>5.9743963223661406E-3</v>
      </c>
    </row>
    <row r="39" spans="1:86" ht="15.75" thickBot="1">
      <c r="A39" s="31"/>
      <c r="B39" s="479"/>
      <c r="C39" s="795" t="str">
        <f>C35</f>
        <v>NBIM</v>
      </c>
      <c r="D39" s="795" t="str">
        <f>D35</f>
        <v>APG</v>
      </c>
      <c r="E39" s="796" t="str">
        <f>E35</f>
        <v>CPPIB</v>
      </c>
      <c r="F39" s="877"/>
      <c r="J39" s="31"/>
      <c r="K39" s="897"/>
      <c r="L39" s="453"/>
      <c r="M39" s="453"/>
      <c r="N39" s="453"/>
      <c r="O39" s="453"/>
      <c r="P39" s="479" t="str">
        <f>P35</f>
        <v>Overall: 2006-2016</v>
      </c>
      <c r="Q39" s="652">
        <f>'Return beyond inflation'!AU23</f>
        <v>5.9484932139901884E-3</v>
      </c>
      <c r="R39" s="653">
        <f>'Return beyond inflation'!AY23</f>
        <v>6.6017992742327279E-3</v>
      </c>
      <c r="S39" s="707">
        <f>'Return beyond inflation'!AW23</f>
        <v>9.0428289321031891E-3</v>
      </c>
      <c r="T39" s="453"/>
      <c r="U39" s="895"/>
      <c r="V39" s="31"/>
      <c r="W39" s="483" t="str">
        <f>W15</f>
        <v>Sub-period 2: 2012-2016</v>
      </c>
      <c r="X39" s="254">
        <f>AVERAGE(AP20:AP24)</f>
        <v>9.4292607129676347E-3</v>
      </c>
      <c r="Y39" s="254">
        <f>AVERAGE(AT20:AT24)</f>
        <v>1.9420901685834768E-2</v>
      </c>
      <c r="Z39" s="255">
        <f>AVERAGE(AX20:AX24)</f>
        <v>0.11762668852713457</v>
      </c>
      <c r="AA39" s="886"/>
      <c r="AB39" s="6"/>
      <c r="AC39" s="479">
        <f t="shared" si="10"/>
        <v>2004</v>
      </c>
      <c r="AD39" s="106">
        <f>Costs!Q30</f>
        <v>0.37690210730788609</v>
      </c>
      <c r="AE39" s="106">
        <f>Costs!R30</f>
        <v>0.6230978926921138</v>
      </c>
      <c r="AF39" s="4" t="s">
        <v>800</v>
      </c>
      <c r="AG39" s="4" t="s">
        <v>800</v>
      </c>
      <c r="AH39" s="4" t="s">
        <v>800</v>
      </c>
      <c r="AI39" s="106">
        <f>Costs!CA30</f>
        <v>0.68360696024065815</v>
      </c>
      <c r="AJ39" s="106">
        <f>Costs!BI30</f>
        <v>0.31639303975934191</v>
      </c>
      <c r="AK39" s="97" t="s">
        <v>800</v>
      </c>
      <c r="AM39" s="886"/>
      <c r="AO39" s="479">
        <f t="shared" si="8"/>
        <v>2009</v>
      </c>
      <c r="AP39" s="695">
        <f>Costs!N50</f>
        <v>4.4837500042310387E-4</v>
      </c>
      <c r="AQ39" s="695">
        <f>Costs!H50</f>
        <v>5.8155524430446618E-4</v>
      </c>
      <c r="AR39" s="4" t="s">
        <v>800</v>
      </c>
      <c r="AS39" s="695">
        <f>Costs!AP15</f>
        <v>8.9400588489091186E-4</v>
      </c>
      <c r="AT39" s="695">
        <f>Costs!AH15</f>
        <v>2.9424454559235668E-3</v>
      </c>
      <c r="AU39" s="4" t="s">
        <v>800</v>
      </c>
      <c r="AV39" s="695">
        <f>Costs!BS50</f>
        <v>1.6361578504162017E-3</v>
      </c>
      <c r="AW39" s="695">
        <f>Costs!BG50</f>
        <v>3.3161007400930352E-3</v>
      </c>
      <c r="AX39" s="290">
        <f>AVERAGE(Costs!BN50)</f>
        <v>1.0221377318569036E-3</v>
      </c>
      <c r="BA39" s="886"/>
      <c r="BB39" s="6"/>
      <c r="BC39" s="479">
        <v>2010</v>
      </c>
      <c r="BD39" s="710">
        <f>USD!L55</f>
        <v>588531.26881720417</v>
      </c>
      <c r="BE39" s="710">
        <f>Costs!P54</f>
        <v>492.03676059766184</v>
      </c>
      <c r="BF39" s="734">
        <f t="shared" si="11"/>
        <v>8.3604183272458681E-4</v>
      </c>
      <c r="BG39" s="710">
        <f>USD!BO17</f>
        <v>349597.4006112105</v>
      </c>
      <c r="BH39" s="710">
        <f>Costs!AT16</f>
        <v>2182.7031174957001</v>
      </c>
      <c r="BI39" s="734">
        <f t="shared" si="13"/>
        <v>6.2434763922146501E-3</v>
      </c>
      <c r="BJ39" s="710">
        <f>USD!CP55</f>
        <v>145045.03597846325</v>
      </c>
      <c r="BK39" s="710">
        <f>Costs!CD54</f>
        <v>925.29542112255922</v>
      </c>
      <c r="BL39" s="804">
        <f t="shared" si="12"/>
        <v>6.3793663456359175E-3</v>
      </c>
    </row>
    <row r="40" spans="1:86" ht="18" customHeight="1" thickBot="1">
      <c r="A40" s="31"/>
      <c r="B40" s="479" t="str">
        <f>B30</f>
        <v>Overall: 2006-2016</v>
      </c>
      <c r="C40" s="267">
        <f>'Benchmark finished'!K3</f>
        <v>1.9249035368833364E-2</v>
      </c>
      <c r="D40" s="267">
        <f>'Benchmark finished'!L3</f>
        <v>3.4901080942742663E-2</v>
      </c>
      <c r="E40" s="268">
        <f>'Benchmark finished'!M3</f>
        <v>2.3732707586128696E-2</v>
      </c>
      <c r="F40" s="877"/>
      <c r="I40" s="24"/>
      <c r="J40" s="31"/>
      <c r="K40" s="897"/>
      <c r="L40" s="453"/>
      <c r="M40" s="453"/>
      <c r="N40" s="453"/>
      <c r="O40" s="453"/>
      <c r="P40" s="985" t="s">
        <v>831</v>
      </c>
      <c r="Q40" s="986"/>
      <c r="R40" s="986"/>
      <c r="S40" s="987"/>
      <c r="T40" s="453"/>
      <c r="U40" s="895"/>
      <c r="V40" s="31"/>
      <c r="W40" s="444"/>
      <c r="X40" s="899"/>
      <c r="Y40" s="882"/>
      <c r="Z40" s="900"/>
      <c r="AA40" s="886"/>
      <c r="AB40" s="6"/>
      <c r="AC40" s="479">
        <f t="shared" si="10"/>
        <v>2005</v>
      </c>
      <c r="AD40" s="106">
        <f>Costs!Q34</f>
        <v>0.36095352091149141</v>
      </c>
      <c r="AE40" s="106">
        <f>Costs!R34</f>
        <v>0.63904647908850853</v>
      </c>
      <c r="AF40" s="4" t="s">
        <v>800</v>
      </c>
      <c r="AG40" s="4" t="s">
        <v>800</v>
      </c>
      <c r="AH40" s="4" t="s">
        <v>800</v>
      </c>
      <c r="AI40" s="106">
        <f>Costs!CA34</f>
        <v>0.53631168931603967</v>
      </c>
      <c r="AJ40" s="106">
        <f>Costs!BI34</f>
        <v>0.46368831068396021</v>
      </c>
      <c r="AK40" s="97" t="s">
        <v>800</v>
      </c>
      <c r="AM40" s="886"/>
      <c r="AO40" s="479">
        <f t="shared" si="8"/>
        <v>2010</v>
      </c>
      <c r="AP40" s="695">
        <f>Costs!N54</f>
        <v>4.2969539250989163E-4</v>
      </c>
      <c r="AQ40" s="695">
        <f>Costs!H54</f>
        <v>4.0634644021469518E-4</v>
      </c>
      <c r="AR40" s="31" t="s">
        <v>800</v>
      </c>
      <c r="AS40" s="695">
        <f>Costs!AP16</f>
        <v>1.3469331368576166E-3</v>
      </c>
      <c r="AT40" s="695">
        <f>Costs!AH16</f>
        <v>4.8965432553570339E-3</v>
      </c>
      <c r="AU40" s="31" t="s">
        <v>800</v>
      </c>
      <c r="AV40" s="695">
        <f>Costs!BS54</f>
        <v>1.8071324362392786E-3</v>
      </c>
      <c r="AW40" s="695">
        <f>Costs!BG54</f>
        <v>3.2540712100217473E-3</v>
      </c>
      <c r="AX40" s="290">
        <f>AVERAGE(Costs!BN54)</f>
        <v>1.3181626993748917E-3</v>
      </c>
      <c r="BA40" s="886"/>
      <c r="BB40" s="6"/>
      <c r="BC40" s="479">
        <v>2011</v>
      </c>
      <c r="BD40" s="710">
        <f>USD!L59</f>
        <v>565907.3886342881</v>
      </c>
      <c r="BE40" s="710">
        <f>Costs!P58</f>
        <v>447.35567878046942</v>
      </c>
      <c r="BF40" s="734">
        <f t="shared" si="11"/>
        <v>7.9051040464426321E-4</v>
      </c>
      <c r="BG40" s="710">
        <f>USD!BO18</f>
        <v>347797.75342159887</v>
      </c>
      <c r="BH40" s="710">
        <f>Costs!AT17</f>
        <v>2430.1368120291772</v>
      </c>
      <c r="BI40" s="734">
        <f t="shared" si="13"/>
        <v>6.9872125053187916E-3</v>
      </c>
      <c r="BJ40" s="710">
        <f>USD!CP59</f>
        <v>158522.95605205008</v>
      </c>
      <c r="BK40" s="710">
        <f>Costs!CD58</f>
        <v>1188.351076942176</v>
      </c>
      <c r="BL40" s="804">
        <f t="shared" si="12"/>
        <v>7.4963974085367662E-3</v>
      </c>
    </row>
    <row r="41" spans="1:86">
      <c r="A41" s="6"/>
      <c r="B41" s="479" t="str">
        <f>B31</f>
        <v xml:space="preserve">Sub-period 1: 2006-2010 </v>
      </c>
      <c r="C41" s="267">
        <f>'Benchmark finished'!K4</f>
        <v>2.3802431119797962E-2</v>
      </c>
      <c r="D41" s="267">
        <f>'Benchmark finished'!L4</f>
        <v>4.3022165965246953E-2</v>
      </c>
      <c r="E41" s="268">
        <f>'Benchmark finished'!M4</f>
        <v>2.7573710089729465E-2</v>
      </c>
      <c r="F41" s="228"/>
      <c r="G41" s="124"/>
      <c r="J41" s="31"/>
      <c r="K41" s="897"/>
      <c r="L41" s="453"/>
      <c r="M41" s="453"/>
      <c r="N41" s="453"/>
      <c r="O41" s="453"/>
      <c r="P41" s="479" t="str">
        <f>P37</f>
        <v>Sub-period 1: 2006-2010</v>
      </c>
      <c r="Q41" s="648">
        <f>Q33-Q37</f>
        <v>6.7942086961032978E-3</v>
      </c>
      <c r="R41" s="649">
        <f>R33-R37</f>
        <v>7.8875947093648771E-3</v>
      </c>
      <c r="S41" s="650">
        <f>S33-S37</f>
        <v>6.484626385328476E-3</v>
      </c>
      <c r="T41" s="453"/>
      <c r="U41" s="895"/>
      <c r="V41" s="31"/>
      <c r="W41" s="444"/>
      <c r="X41" s="901"/>
      <c r="Y41" s="898"/>
      <c r="Z41" s="900"/>
      <c r="AA41" s="886"/>
      <c r="AB41" s="6"/>
      <c r="AC41" s="479">
        <f t="shared" si="10"/>
        <v>2006</v>
      </c>
      <c r="AD41" s="106">
        <f>Costs!Q38</f>
        <v>0.38265753764951854</v>
      </c>
      <c r="AE41" s="106">
        <f>Costs!R38</f>
        <v>0.6173424623504814</v>
      </c>
      <c r="AF41" s="4" t="s">
        <v>800</v>
      </c>
      <c r="AG41" s="4" t="s">
        <v>800</v>
      </c>
      <c r="AH41" s="4" t="s">
        <v>800</v>
      </c>
      <c r="AI41" s="106">
        <f>Costs!CA38</f>
        <v>0.80939133994157975</v>
      </c>
      <c r="AJ41" s="106">
        <f>Costs!BI38</f>
        <v>0.19060866005842009</v>
      </c>
      <c r="AK41" s="97" t="s">
        <v>800</v>
      </c>
      <c r="AM41" s="886"/>
      <c r="AO41" s="479">
        <f t="shared" si="8"/>
        <v>2011</v>
      </c>
      <c r="AP41" s="695">
        <f>Costs!N58</f>
        <v>5.0497908211671373E-4</v>
      </c>
      <c r="AQ41" s="695">
        <f>Costs!H58</f>
        <v>2.8553132252754954E-4</v>
      </c>
      <c r="AR41" s="31" t="s">
        <v>800</v>
      </c>
      <c r="AS41" s="695">
        <f>Costs!AP17</f>
        <v>1.6572234788256109E-3</v>
      </c>
      <c r="AT41" s="695">
        <f>Costs!AH17</f>
        <v>4.4155301248889594E-3</v>
      </c>
      <c r="AU41" s="438">
        <f>Costs!AL17</f>
        <v>1.1871048289936899E-3</v>
      </c>
      <c r="AV41" s="695">
        <f>Costs!BS58</f>
        <v>2.7776451763654735E-3</v>
      </c>
      <c r="AW41" s="695">
        <f>Costs!BG58</f>
        <v>3.5152920544421831E-3</v>
      </c>
      <c r="AX41" s="290">
        <f>AVERAGE(Costs!BN58)</f>
        <v>1.2034601777291102E-3</v>
      </c>
      <c r="BA41" s="886"/>
      <c r="BB41" s="6"/>
      <c r="BC41" s="479">
        <v>2012</v>
      </c>
      <c r="BD41" s="710">
        <f>USD!L63</f>
        <v>696714.79268676147</v>
      </c>
      <c r="BE41" s="710">
        <f>Costs!P62</f>
        <v>383.19408667480695</v>
      </c>
      <c r="BF41" s="734">
        <f t="shared" si="11"/>
        <v>5.5000136454270542E-4</v>
      </c>
      <c r="BG41" s="710">
        <f>USD!BO19</f>
        <v>415185.33411558421</v>
      </c>
      <c r="BH41" s="710">
        <f>Costs!AT18</f>
        <v>2718.5413219599341</v>
      </c>
      <c r="BI41" s="734">
        <f t="shared" si="13"/>
        <v>6.5477778201171099E-3</v>
      </c>
      <c r="BJ41" s="710">
        <f>USD!CP63</f>
        <v>194763.48297680024</v>
      </c>
      <c r="BK41" s="710">
        <f>Costs!CD62</f>
        <v>1511.72634776887</v>
      </c>
      <c r="BL41" s="804">
        <f t="shared" si="12"/>
        <v>7.7618572263309918E-3</v>
      </c>
    </row>
    <row r="42" spans="1:86" ht="14.25" customHeight="1" thickBot="1">
      <c r="A42" s="6"/>
      <c r="B42" s="483" t="str">
        <f>B32</f>
        <v>Sub-period 2: 2011-2016</v>
      </c>
      <c r="C42" s="269">
        <f>'Benchmark finished'!K5</f>
        <v>1.3471287192025025E-2</v>
      </c>
      <c r="D42" s="269">
        <f>'Benchmark finished'!L5</f>
        <v>2.7121074591821281E-2</v>
      </c>
      <c r="E42" s="270">
        <f>'Benchmark finished'!M5</f>
        <v>2.006444262984752E-2</v>
      </c>
      <c r="F42" s="873"/>
      <c r="J42" s="31"/>
      <c r="K42" s="897"/>
      <c r="L42" s="453"/>
      <c r="M42" s="453"/>
      <c r="N42" s="453"/>
      <c r="O42" s="453"/>
      <c r="P42" s="479" t="str">
        <f>P38</f>
        <v>Sub-period 2: 2011-2016</v>
      </c>
      <c r="Q42" s="651">
        <f t="shared" ref="Q42:S43" si="14">Q34-Q38</f>
        <v>-2.7517451363146036E-3</v>
      </c>
      <c r="R42" s="530">
        <f t="shared" si="14"/>
        <v>2.7074444963352869E-3</v>
      </c>
      <c r="S42" s="531">
        <f t="shared" si="14"/>
        <v>-3.8031688351873767E-4</v>
      </c>
      <c r="T42" s="453"/>
      <c r="U42" s="895"/>
      <c r="V42" s="31"/>
      <c r="W42" s="444"/>
      <c r="X42" s="179"/>
      <c r="Y42" s="31"/>
      <c r="Z42" s="179"/>
      <c r="AA42" s="886"/>
      <c r="AB42" s="6"/>
      <c r="AC42" s="479">
        <f t="shared" si="10"/>
        <v>2007</v>
      </c>
      <c r="AD42" s="106">
        <f>Costs!Q42</f>
        <v>0.46763111893416731</v>
      </c>
      <c r="AE42" s="106">
        <f>Costs!R42</f>
        <v>0.53236888106583258</v>
      </c>
      <c r="AF42" s="4" t="s">
        <v>800</v>
      </c>
      <c r="AG42" s="4" t="s">
        <v>800</v>
      </c>
      <c r="AH42" s="4" t="s">
        <v>800</v>
      </c>
      <c r="AI42" s="106">
        <f>Costs!CA42</f>
        <v>0.38452891980079446</v>
      </c>
      <c r="AJ42" s="106">
        <f>Costs!BI42</f>
        <v>0.42690710025300532</v>
      </c>
      <c r="AK42" s="253">
        <f>Costs!BZ42</f>
        <v>0.18856397994620008</v>
      </c>
      <c r="AO42" s="479">
        <f t="shared" si="8"/>
        <v>2012</v>
      </c>
      <c r="AP42" s="695">
        <f>Costs!N62</f>
        <v>4.045790253811777E-4</v>
      </c>
      <c r="AQ42" s="695">
        <f>Costs!H62</f>
        <v>1.4542233916152772E-4</v>
      </c>
      <c r="AR42" s="31" t="s">
        <v>800</v>
      </c>
      <c r="AS42" s="695">
        <f>Costs!AP18</f>
        <v>1.5115141815595272E-3</v>
      </c>
      <c r="AT42" s="695">
        <f>Costs!AH18</f>
        <v>4.5440688945623591E-3</v>
      </c>
      <c r="AU42" s="438">
        <f>Costs!AL18</f>
        <v>6.4890967507396117E-4</v>
      </c>
      <c r="AV42" s="695">
        <f>Costs!BS62</f>
        <v>2.5640806816400567E-3</v>
      </c>
      <c r="AW42" s="695">
        <f>Costs!BG62</f>
        <v>4.2063026388218377E-3</v>
      </c>
      <c r="AX42" s="290">
        <f>AVERAGE(Costs!BN62)</f>
        <v>9.9147390586909749E-4</v>
      </c>
      <c r="BA42" s="886"/>
      <c r="BB42" s="6"/>
      <c r="BC42" s="479">
        <v>2013</v>
      </c>
      <c r="BD42" s="710">
        <f>USD!L67</f>
        <v>851182.40932279511</v>
      </c>
      <c r="BE42" s="710">
        <f>Costs!P66</f>
        <v>480.02998850516724</v>
      </c>
      <c r="BF42" s="734">
        <f t="shared" si="11"/>
        <v>5.6395665987397632E-4</v>
      </c>
      <c r="BG42" s="710">
        <f>USD!BO20</f>
        <v>448153.27207888488</v>
      </c>
      <c r="BH42" s="710">
        <f>Costs!AT19</f>
        <v>3280.8977616588318</v>
      </c>
      <c r="BI42" s="734">
        <f t="shared" si="13"/>
        <v>7.3209278299798319E-3</v>
      </c>
      <c r="BJ42" s="710">
        <f>USD!CP67</f>
        <v>227544.4705882353</v>
      </c>
      <c r="BK42" s="710">
        <f>Costs!CD66</f>
        <v>1525.65641090706</v>
      </c>
      <c r="BL42" s="804">
        <f t="shared" si="12"/>
        <v>6.7048713904715772E-3</v>
      </c>
    </row>
    <row r="43" spans="1:86" ht="15.75" thickBot="1">
      <c r="A43" s="6"/>
      <c r="B43" s="490">
        <v>2006</v>
      </c>
      <c r="C43" s="265">
        <f>'Benchmark finished'!K6</f>
        <v>6.9288152613990166E-3</v>
      </c>
      <c r="D43" s="265">
        <f>'Benchmark finished'!L6</f>
        <v>1.8165247608735894E-2</v>
      </c>
      <c r="E43" s="266">
        <f>'Benchmark finished'!M6</f>
        <v>1.5431956617788286E-2</v>
      </c>
      <c r="F43" s="873"/>
      <c r="J43" s="31"/>
      <c r="K43" s="897"/>
      <c r="L43" s="453"/>
      <c r="M43" s="453"/>
      <c r="N43" s="453"/>
      <c r="O43" s="453"/>
      <c r="P43" s="483" t="str">
        <f>P39</f>
        <v>Overall: 2006-2016</v>
      </c>
      <c r="Q43" s="652">
        <f t="shared" si="14"/>
        <v>1.5873247875117158E-3</v>
      </c>
      <c r="R43" s="653">
        <f t="shared" si="14"/>
        <v>5.0620582295305529E-3</v>
      </c>
      <c r="S43" s="654">
        <f t="shared" si="14"/>
        <v>2.740111875048178E-3</v>
      </c>
      <c r="T43" s="453"/>
      <c r="U43" s="895"/>
      <c r="V43" s="31"/>
      <c r="W43" s="31"/>
      <c r="X43" s="31"/>
      <c r="Y43" s="31"/>
      <c r="Z43" s="31"/>
      <c r="AA43" s="6"/>
      <c r="AB43" s="6"/>
      <c r="AC43" s="479">
        <f t="shared" si="10"/>
        <v>2008</v>
      </c>
      <c r="AD43" s="106">
        <f>Costs!Q46</f>
        <v>0.47513355160044435</v>
      </c>
      <c r="AE43" s="106">
        <f>Costs!R46</f>
        <v>0.52486644839955565</v>
      </c>
      <c r="AF43" s="106">
        <f>Costs!AO14</f>
        <v>0.39999999999999997</v>
      </c>
      <c r="AG43" s="106">
        <f>Costs!AG14</f>
        <v>0.6</v>
      </c>
      <c r="AH43" s="4" t="s">
        <v>800</v>
      </c>
      <c r="AI43" s="106">
        <f>Costs!CA46</f>
        <v>0.30184016150051002</v>
      </c>
      <c r="AJ43" s="106">
        <f>Costs!BI46</f>
        <v>0.54258076221681584</v>
      </c>
      <c r="AK43" s="253">
        <f>Costs!BZ46</f>
        <v>0.15557907628267406</v>
      </c>
      <c r="AO43" s="479">
        <f t="shared" si="8"/>
        <v>2013</v>
      </c>
      <c r="AP43" s="695">
        <f>Costs!N66</f>
        <v>3.6989230405653318E-4</v>
      </c>
      <c r="AQ43" s="695">
        <f>Costs!H66</f>
        <v>1.9406435581744309E-4</v>
      </c>
      <c r="AR43" s="31" t="s">
        <v>800</v>
      </c>
      <c r="AS43" s="695">
        <f>Costs!AP19</f>
        <v>1.546588281595907E-3</v>
      </c>
      <c r="AT43" s="695">
        <f>Costs!AH19</f>
        <v>5.1655433659664497E-3</v>
      </c>
      <c r="AU43" s="438">
        <f>Costs!AL19</f>
        <v>8.3889039571605748E-4</v>
      </c>
      <c r="AV43" s="695">
        <f>Costs!BS66</f>
        <v>2.0242400791078839E-3</v>
      </c>
      <c r="AW43" s="695">
        <f>Costs!BG66</f>
        <v>3.8260331169578349E-3</v>
      </c>
      <c r="AX43" s="290">
        <f>AVERAGE(Costs!BN66)</f>
        <v>8.5459819440585852E-4</v>
      </c>
      <c r="BA43" s="886"/>
      <c r="BB43" s="6"/>
      <c r="BC43" s="479">
        <v>2014</v>
      </c>
      <c r="BD43" s="710">
        <f>USD!L71</f>
        <v>864745.28345926327</v>
      </c>
      <c r="BE43" s="710">
        <f>Costs!P70</f>
        <v>487.91171784313394</v>
      </c>
      <c r="BF43" s="734">
        <f t="shared" si="11"/>
        <v>5.6422593701965958E-4</v>
      </c>
      <c r="BG43" s="710">
        <f>USD!BO21</f>
        <v>474257.39219662838</v>
      </c>
      <c r="BH43" s="710">
        <f>Costs!AT20</f>
        <v>3068.6872891487542</v>
      </c>
      <c r="BI43" s="734">
        <f t="shared" si="13"/>
        <v>6.470510190543257E-3</v>
      </c>
      <c r="BJ43" s="710">
        <f>USD!CP71</f>
        <v>250015.10900064753</v>
      </c>
      <c r="BK43" s="710">
        <f>Costs!CD70</f>
        <v>1750.6601427246994</v>
      </c>
      <c r="BL43" s="804">
        <f t="shared" si="12"/>
        <v>7.0022173848707887E-3</v>
      </c>
    </row>
    <row r="44" spans="1:86" ht="15.75" customHeight="1">
      <c r="A44" s="6"/>
      <c r="B44" s="490">
        <v>2007</v>
      </c>
      <c r="C44" s="267">
        <f>'Benchmark finished'!K7</f>
        <v>7.8046803772022309E-3</v>
      </c>
      <c r="D44" s="267">
        <f>'Benchmark finished'!L7</f>
        <v>2.0412711723096669E-2</v>
      </c>
      <c r="E44" s="268">
        <f>'Benchmark finished'!M7</f>
        <v>1.8398557590334767E-2</v>
      </c>
      <c r="F44" s="873"/>
      <c r="J44" s="31"/>
      <c r="K44" s="897"/>
      <c r="L44" s="453"/>
      <c r="M44" s="453"/>
      <c r="N44" s="453"/>
      <c r="O44" s="453"/>
      <c r="P44" s="453"/>
      <c r="Q44" s="453"/>
      <c r="R44" s="453"/>
      <c r="S44" s="453"/>
      <c r="T44" s="453"/>
      <c r="U44" s="895"/>
      <c r="Z44" s="4"/>
      <c r="AA44" s="886"/>
      <c r="AB44" s="886"/>
      <c r="AC44" s="479">
        <f t="shared" si="10"/>
        <v>2009</v>
      </c>
      <c r="AD44" s="106">
        <f>Costs!Q50</f>
        <v>0.43534501750815641</v>
      </c>
      <c r="AE44" s="106">
        <f>Costs!R50</f>
        <v>0.56465498249184354</v>
      </c>
      <c r="AF44" s="106">
        <f>Costs!AO15</f>
        <v>0.23302938196555217</v>
      </c>
      <c r="AG44" s="106">
        <f>Costs!AG15</f>
        <v>0.76697061803444788</v>
      </c>
      <c r="AH44" s="4" t="s">
        <v>800</v>
      </c>
      <c r="AI44" s="106">
        <f>Costs!CA50</f>
        <v>0.27386161917162644</v>
      </c>
      <c r="AJ44" s="106">
        <f>Costs!BI50</f>
        <v>0.5550520188422492</v>
      </c>
      <c r="AK44" s="253">
        <f>Costs!BZ50</f>
        <v>0.17108636198612437</v>
      </c>
      <c r="AO44" s="479">
        <f t="shared" si="8"/>
        <v>2014</v>
      </c>
      <c r="AP44" s="695">
        <f>Costs!N70</f>
        <v>3.7532279675316392E-4</v>
      </c>
      <c r="AQ44" s="695">
        <f>Costs!H70</f>
        <v>1.8890314026649563E-4</v>
      </c>
      <c r="AR44" s="31" t="s">
        <v>800</v>
      </c>
      <c r="AS44" s="695">
        <f>Costs!AP20</f>
        <v>1.331863690640213E-3</v>
      </c>
      <c r="AT44" s="695">
        <f>Costs!AH20</f>
        <v>4.7023463253829745E-3</v>
      </c>
      <c r="AU44" s="438">
        <f>Costs!AL20</f>
        <v>5.2794511033246109E-4</v>
      </c>
      <c r="AV44" s="695">
        <f>Costs!BS70</f>
        <v>2.535122928834622E-3</v>
      </c>
      <c r="AW44" s="695">
        <f>Costs!BG70</f>
        <v>3.7802767586563955E-3</v>
      </c>
      <c r="AX44" s="290">
        <f>AVERAGE(Costs!BN70)</f>
        <v>6.8681769737977138E-4</v>
      </c>
      <c r="BA44" s="886"/>
      <c r="BB44" s="6"/>
      <c r="BC44" s="479">
        <v>2015</v>
      </c>
      <c r="BD44" s="710">
        <f>USD!L75</f>
        <v>864974.60839306994</v>
      </c>
      <c r="BE44" s="710">
        <f>Costs!P74</f>
        <v>470.66247600972918</v>
      </c>
      <c r="BF44" s="734">
        <f t="shared" si="11"/>
        <v>5.4413444214751591E-4</v>
      </c>
      <c r="BG44" s="710">
        <f>USD!BO22</f>
        <v>430905.88731158129</v>
      </c>
      <c r="BH44" s="710">
        <f>Costs!AT21</f>
        <v>2586.4803444874624</v>
      </c>
      <c r="BI44" s="734">
        <f t="shared" si="13"/>
        <v>6.0024251713628107E-3</v>
      </c>
      <c r="BJ44" s="710">
        <f>USD!CP75</f>
        <v>264453.9629976243</v>
      </c>
      <c r="BK44" s="710">
        <f>Costs!CD74</f>
        <v>2195.4995775350908</v>
      </c>
      <c r="BL44" s="804">
        <f t="shared" si="12"/>
        <v>8.3020104998570727E-3</v>
      </c>
    </row>
    <row r="45" spans="1:86" ht="15.75" thickBot="1">
      <c r="A45" s="6"/>
      <c r="B45" s="490">
        <v>2008</v>
      </c>
      <c r="C45" s="267">
        <f>'Benchmark finished'!K8</f>
        <v>2.5672385754309791E-2</v>
      </c>
      <c r="D45" s="267">
        <f>'Benchmark finished'!L8</f>
        <v>5.7288160706062498E-2</v>
      </c>
      <c r="E45" s="268">
        <f>'Benchmark finished'!M8</f>
        <v>4.8038583051189979E-2</v>
      </c>
      <c r="F45" s="6"/>
      <c r="J45" s="31"/>
      <c r="K45" s="897"/>
      <c r="L45" s="453"/>
      <c r="M45" s="453"/>
      <c r="N45" s="453"/>
      <c r="O45" s="453"/>
      <c r="P45" s="453"/>
      <c r="Q45" s="453"/>
      <c r="R45" s="453"/>
      <c r="S45" s="453"/>
      <c r="T45" s="453"/>
      <c r="U45" s="895"/>
      <c r="Z45" s="4"/>
      <c r="AA45" s="886"/>
      <c r="AB45" s="886"/>
      <c r="AC45" s="479">
        <f t="shared" si="10"/>
        <v>2010</v>
      </c>
      <c r="AD45" s="106">
        <f>Costs!Q54</f>
        <v>0.5139639856411875</v>
      </c>
      <c r="AE45" s="106">
        <f>Costs!R54</f>
        <v>0.48603601435881244</v>
      </c>
      <c r="AF45" s="106">
        <f>Costs!AO16</f>
        <v>0.2157344806392133</v>
      </c>
      <c r="AG45" s="106">
        <f>Costs!AG16</f>
        <v>0.78426551936078681</v>
      </c>
      <c r="AH45" s="4" t="s">
        <v>800</v>
      </c>
      <c r="AI45" s="106">
        <f>Costs!CA54</f>
        <v>0.28327773297978509</v>
      </c>
      <c r="AJ45" s="106">
        <f>Costs!BI54</f>
        <v>0.51009317128304377</v>
      </c>
      <c r="AK45" s="253">
        <f>Costs!BZ54</f>
        <v>0.20662909573717117</v>
      </c>
      <c r="AO45" s="479">
        <f t="shared" si="8"/>
        <v>2015</v>
      </c>
      <c r="AP45" s="695">
        <f>Costs!N74</f>
        <v>3.7953281018700643E-4</v>
      </c>
      <c r="AQ45" s="695">
        <f>Costs!H74</f>
        <v>1.6460163196050954E-4</v>
      </c>
      <c r="AR45" s="31" t="s">
        <v>800</v>
      </c>
      <c r="AS45" s="695">
        <f>Costs!AP21</f>
        <v>1.4193050699190517E-3</v>
      </c>
      <c r="AT45" s="784">
        <f>Costs!AH21</f>
        <v>4.033549044174925E-3</v>
      </c>
      <c r="AU45" s="438">
        <f>Costs!AL21</f>
        <v>5.969990497795175E-4</v>
      </c>
      <c r="AV45" s="695">
        <f>Costs!BS74</f>
        <v>2.7257458170811461E-3</v>
      </c>
      <c r="AW45" s="695">
        <f>Costs!BG74</f>
        <v>4.177235820963774E-3</v>
      </c>
      <c r="AX45" s="290">
        <f>AVERAGE(Costs!BN74)</f>
        <v>1.3990288618121532E-3</v>
      </c>
      <c r="BC45" s="479">
        <v>2016</v>
      </c>
      <c r="BD45" s="723">
        <f>USD!L79</f>
        <v>901093.43959478126</v>
      </c>
      <c r="BE45" s="723">
        <f>Costs!P78</f>
        <v>450.32853193169626</v>
      </c>
      <c r="BF45" s="770">
        <f t="shared" si="11"/>
        <v>4.9975786321805593E-4</v>
      </c>
      <c r="BG45" s="723">
        <f>USD!BO23</f>
        <v>445431.45601903618</v>
      </c>
      <c r="BH45" s="723">
        <f>Costs!AT22</f>
        <v>2569.3709049332765</v>
      </c>
      <c r="BI45" s="770">
        <f t="shared" si="13"/>
        <v>5.7682744903033312E-3</v>
      </c>
      <c r="BJ45" s="723">
        <f>USD!CP79</f>
        <v>273329.10778867302</v>
      </c>
      <c r="BK45" s="723">
        <f>Costs!CD78</f>
        <v>1987.4095120086081</v>
      </c>
      <c r="BL45" s="907">
        <f t="shared" si="12"/>
        <v>7.2711228163273136E-3</v>
      </c>
    </row>
    <row r="46" spans="1:86" ht="15.75" thickBot="1">
      <c r="A46" s="874"/>
      <c r="B46" s="490">
        <v>2009</v>
      </c>
      <c r="C46" s="267">
        <f>'Benchmark finished'!K9</f>
        <v>2.9287125895644181E-2</v>
      </c>
      <c r="D46" s="267">
        <f>'Benchmark finished'!L9</f>
        <v>3.0628846659993048E-2</v>
      </c>
      <c r="E46" s="268">
        <f>'Benchmark finished'!M9</f>
        <v>1.6198576551975038E-2</v>
      </c>
      <c r="F46" s="6"/>
      <c r="J46" s="31"/>
      <c r="K46" s="897"/>
      <c r="L46" s="453"/>
      <c r="M46" s="453"/>
      <c r="N46" s="453"/>
      <c r="O46" s="453"/>
      <c r="P46" s="453"/>
      <c r="Q46" s="453"/>
      <c r="R46" s="453"/>
      <c r="S46" s="453"/>
      <c r="T46" s="453"/>
      <c r="U46" s="895"/>
      <c r="Z46" s="4"/>
      <c r="AA46" s="886"/>
      <c r="AB46" s="886"/>
      <c r="AC46" s="479">
        <f t="shared" si="10"/>
        <v>2011</v>
      </c>
      <c r="AD46" s="106">
        <f>Costs!Q58</f>
        <v>0.63880131007758068</v>
      </c>
      <c r="AE46" s="106">
        <f>Costs!R58</f>
        <v>0.36119868992241938</v>
      </c>
      <c r="AF46" s="106">
        <f>Costs!AO17</f>
        <v>0.23717948717948717</v>
      </c>
      <c r="AG46" s="106">
        <f>Costs!AG17</f>
        <v>0.63194444444444453</v>
      </c>
      <c r="AH46" s="124">
        <f>Costs!AK17</f>
        <v>0.13087606837606838</v>
      </c>
      <c r="AI46" s="106">
        <f>Costs!CA58</f>
        <v>0.37053067293395353</v>
      </c>
      <c r="AJ46" s="106">
        <f>Costs!BI58</f>
        <v>0.46893085609882823</v>
      </c>
      <c r="AK46" s="253">
        <f>Costs!BZ58</f>
        <v>0.16053847096721832</v>
      </c>
      <c r="AO46" s="483">
        <f t="shared" si="8"/>
        <v>2016</v>
      </c>
      <c r="AP46" s="783">
        <f>Costs!N78</f>
        <v>3.8351218628039261E-4</v>
      </c>
      <c r="AQ46" s="783">
        <f>Costs!H78</f>
        <v>1.1624567693766338E-4</v>
      </c>
      <c r="AR46" s="788" t="s">
        <v>800</v>
      </c>
      <c r="AS46" s="783">
        <f>Costs!AP22</f>
        <v>1.318936326395302E-3</v>
      </c>
      <c r="AT46" s="785">
        <f>Costs!AH22</f>
        <v>3.966280694276716E-3</v>
      </c>
      <c r="AU46" s="789">
        <f>Costs!AL22</f>
        <v>5.0950484724194862E-4</v>
      </c>
      <c r="AV46" s="783">
        <f>Costs!BS78</f>
        <v>2.5439073953597668E-3</v>
      </c>
      <c r="AW46" s="783">
        <f>Costs!BG78</f>
        <v>3.6046750671737131E-3</v>
      </c>
      <c r="AX46" s="291">
        <f>AVERAGE(Costs!BN78)</f>
        <v>1.1225403537938343E-3</v>
      </c>
      <c r="BC46" s="967" t="s">
        <v>365</v>
      </c>
      <c r="BD46" s="968"/>
      <c r="BE46" s="968"/>
      <c r="BF46" s="968"/>
      <c r="BG46" s="968"/>
      <c r="BH46" s="968"/>
      <c r="BI46" s="968"/>
      <c r="BJ46" s="968"/>
      <c r="BK46" s="968"/>
      <c r="BL46" s="969"/>
    </row>
    <row r="47" spans="1:86">
      <c r="A47" s="874"/>
      <c r="B47" s="490">
        <v>2010</v>
      </c>
      <c r="C47" s="267">
        <f>'Benchmark finished'!K10</f>
        <v>3.1285443066043216E-2</v>
      </c>
      <c r="D47" s="267">
        <f>'Benchmark finished'!L10</f>
        <v>6.3700266634288058E-2</v>
      </c>
      <c r="E47" s="268">
        <f>'Benchmark finished'!M10</f>
        <v>8.8320623761266211E-3</v>
      </c>
      <c r="F47" s="6"/>
      <c r="J47" s="31"/>
      <c r="K47" s="897"/>
      <c r="L47" s="453"/>
      <c r="M47" s="453"/>
      <c r="N47" s="453"/>
      <c r="O47" s="453"/>
      <c r="P47" s="453"/>
      <c r="Q47" s="453"/>
      <c r="R47" s="453"/>
      <c r="S47" s="453"/>
      <c r="T47" s="453"/>
      <c r="U47" s="895"/>
      <c r="Z47" s="4"/>
      <c r="AA47" s="886"/>
      <c r="AB47" s="886"/>
      <c r="AC47" s="479">
        <f t="shared" si="10"/>
        <v>2012</v>
      </c>
      <c r="AD47" s="106">
        <f>Costs!Q62</f>
        <v>0.73559640296085793</v>
      </c>
      <c r="AE47" s="106">
        <f>Costs!R62</f>
        <v>0.26440359703914196</v>
      </c>
      <c r="AF47" s="106">
        <f>Costs!AO18</f>
        <v>0.23084384093113486</v>
      </c>
      <c r="AG47" s="106">
        <f>Costs!AG18</f>
        <v>0.69398642095053342</v>
      </c>
      <c r="AH47" s="124">
        <f>Costs!AK18</f>
        <v>7.5169738118331719E-2</v>
      </c>
      <c r="AI47" s="106">
        <f>Costs!CA62</f>
        <v>0.33034370600657015</v>
      </c>
      <c r="AJ47" s="106">
        <f>Costs!BI62</f>
        <v>0.5419196097233735</v>
      </c>
      <c r="AK47" s="253">
        <f>Costs!BZ62</f>
        <v>0.12773668427005638</v>
      </c>
      <c r="AP47" s="295"/>
      <c r="AQ47" s="295"/>
      <c r="AR47" s="902"/>
      <c r="AS47" s="295"/>
      <c r="AT47" s="295"/>
      <c r="AU47" s="295"/>
      <c r="BC47" s="479" t="s">
        <v>851</v>
      </c>
      <c r="BD47" s="724">
        <f>AVERAGE(BD37:BD40)</f>
        <v>524436.56738710997</v>
      </c>
      <c r="BE47" s="724">
        <f>AVERAGE(BE37:BE40)</f>
        <v>458.54017768144473</v>
      </c>
      <c r="BF47" s="909">
        <f>AD8</f>
        <v>8.7752002843986929E-4</v>
      </c>
      <c r="BG47" s="724">
        <f>AVERAGE(BG37:BG40)</f>
        <v>353260.63265085843</v>
      </c>
      <c r="BH47" s="724">
        <f>AVERAGE(BH37:BH40)</f>
        <v>1687.9407051854041</v>
      </c>
      <c r="BI47" s="769">
        <f>AE8</f>
        <v>4.7882576983187593E-3</v>
      </c>
      <c r="BJ47" s="724">
        <f>AVERAGE(BJ37:BJ40)</f>
        <v>129985.2227307815</v>
      </c>
      <c r="BK47" s="724">
        <f>AVERAGE(BK37:BK40)</f>
        <v>858.29149582417722</v>
      </c>
      <c r="BL47" s="906">
        <f>AF8</f>
        <v>6.5272249751254941E-3</v>
      </c>
    </row>
    <row r="48" spans="1:86">
      <c r="A48" s="874"/>
      <c r="B48" s="490">
        <v>2011</v>
      </c>
      <c r="C48" s="267">
        <f>'Benchmark finished'!K11</f>
        <v>1.4129296813340795E-2</v>
      </c>
      <c r="D48" s="267">
        <f>'Benchmark finished'!L11</f>
        <v>3.0353148372901297E-2</v>
      </c>
      <c r="E48" s="268">
        <f>'Benchmark finished'!M11</f>
        <v>2.271265493510586E-2</v>
      </c>
      <c r="F48" s="6"/>
      <c r="J48" s="31"/>
      <c r="K48" s="897"/>
      <c r="L48" s="453"/>
      <c r="M48" s="453"/>
      <c r="N48" s="453"/>
      <c r="O48" s="453"/>
      <c r="P48" s="453"/>
      <c r="Q48" s="453"/>
      <c r="R48" s="453"/>
      <c r="S48" s="453"/>
      <c r="T48" s="453"/>
      <c r="U48" s="895"/>
      <c r="Z48" s="4"/>
      <c r="AA48" s="886"/>
      <c r="AB48" s="886"/>
      <c r="AC48" s="479">
        <f t="shared" si="10"/>
        <v>2013</v>
      </c>
      <c r="AD48" s="106">
        <f>Costs!Q66</f>
        <v>0.65588781971151933</v>
      </c>
      <c r="AE48" s="106">
        <f>Costs!R66</f>
        <v>0.34411218028848062</v>
      </c>
      <c r="AF48" s="106">
        <f>Costs!AO19</f>
        <v>0.21125577488450226</v>
      </c>
      <c r="AG48" s="106">
        <f>Costs!AG19</f>
        <v>0.70558588828223434</v>
      </c>
      <c r="AH48" s="124">
        <f>Costs!AK19</f>
        <v>8.3158336833263319E-2</v>
      </c>
      <c r="AI48" s="106">
        <f>Costs!CA66</f>
        <v>0.30190587726776852</v>
      </c>
      <c r="AJ48" s="106">
        <f>Costs!BI66</f>
        <v>0.57063482565751888</v>
      </c>
      <c r="AK48" s="253">
        <f>Costs!BZ66</f>
        <v>0.12745929707471268</v>
      </c>
      <c r="AR48" s="6"/>
      <c r="BC48" s="479" t="s">
        <v>852</v>
      </c>
      <c r="BD48" s="711">
        <f>AVERAGE(BD41:BD45)</f>
        <v>835742.10669133416</v>
      </c>
      <c r="BE48" s="711">
        <f>AVERAGE(BE41:BE45)</f>
        <v>454.42536019290674</v>
      </c>
      <c r="BF48" s="910">
        <f>AD9</f>
        <v>5.4441525336038272E-4</v>
      </c>
      <c r="BG48" s="711">
        <f>AVERAGE(BG41:BG45)</f>
        <v>442786.66834434296</v>
      </c>
      <c r="BH48" s="711">
        <f>AVERAGE(BH41:BH45)</f>
        <v>2844.7955244376512</v>
      </c>
      <c r="BI48" s="734">
        <f>AE9</f>
        <v>6.4219831004612678E-3</v>
      </c>
      <c r="BJ48" s="711">
        <f>AVERAGE(BJ41:BJ45)</f>
        <v>242021.22667039605</v>
      </c>
      <c r="BK48" s="711">
        <f>AVERAGE(BK41:BK45)</f>
        <v>1794.1903981888656</v>
      </c>
      <c r="BL48" s="804">
        <f>AF9</f>
        <v>7.4084158635715491E-3</v>
      </c>
    </row>
    <row r="49" spans="1:64">
      <c r="A49" s="874"/>
      <c r="B49" s="490">
        <v>2012</v>
      </c>
      <c r="C49" s="267">
        <f>'Benchmark finished'!K12</f>
        <v>1.7125266213562737E-2</v>
      </c>
      <c r="D49" s="267">
        <f>'Benchmark finished'!L12</f>
        <v>2.8607570348832202E-2</v>
      </c>
      <c r="E49" s="268">
        <f>'Benchmark finished'!M12</f>
        <v>1.3211692158651533E-2</v>
      </c>
      <c r="F49" s="6"/>
      <c r="J49" s="31"/>
      <c r="K49" s="897"/>
      <c r="L49" s="453"/>
      <c r="M49" s="453"/>
      <c r="N49" s="453"/>
      <c r="O49" s="453"/>
      <c r="P49" s="453"/>
      <c r="Q49" s="453"/>
      <c r="R49" s="453"/>
      <c r="S49" s="453"/>
      <c r="T49" s="453"/>
      <c r="U49" s="895"/>
      <c r="Z49" s="4"/>
      <c r="AA49" s="886"/>
      <c r="AB49" s="886"/>
      <c r="AC49" s="479">
        <f t="shared" si="10"/>
        <v>2014</v>
      </c>
      <c r="AD49" s="106">
        <f>Costs!Q70</f>
        <v>0.66519947440857607</v>
      </c>
      <c r="AE49" s="106">
        <f>Costs!R70</f>
        <v>0.33480052559142381</v>
      </c>
      <c r="AF49" s="106">
        <f>Costs!AO20</f>
        <v>0.20583596214511041</v>
      </c>
      <c r="AG49" s="106">
        <f>Costs!AG20</f>
        <v>0.7267350157728707</v>
      </c>
      <c r="AH49" s="124">
        <f>Costs!AK20</f>
        <v>6.7429022082018925E-2</v>
      </c>
      <c r="AI49" s="106">
        <f>Costs!CA70</f>
        <v>0.3620457334432502</v>
      </c>
      <c r="AJ49" s="106">
        <f>Costs!BI70</f>
        <v>0.53986852319440704</v>
      </c>
      <c r="AK49" s="253">
        <f>Costs!BZ70</f>
        <v>9.8085743362342812E-2</v>
      </c>
      <c r="AR49" s="6"/>
      <c r="BC49" s="479" t="s">
        <v>797</v>
      </c>
      <c r="BD49" s="711">
        <f>AVERAGE(BD37:BD45)</f>
        <v>697384.08922279009</v>
      </c>
      <c r="BE49" s="711">
        <f>AVERAGE(BE37:BE45)</f>
        <v>456.25416796559028</v>
      </c>
      <c r="BF49" s="905">
        <f>AD7</f>
        <v>6.9246182006237674E-4</v>
      </c>
      <c r="BG49" s="711">
        <f>AVERAGE(BG37:BG45)</f>
        <v>402997.31914723868</v>
      </c>
      <c r="BH49" s="711">
        <f>AVERAGE(BH37:BH45)</f>
        <v>2330.6378269922084</v>
      </c>
      <c r="BI49" s="734">
        <f>AE7</f>
        <v>5.6958829217312636E-3</v>
      </c>
      <c r="BJ49" s="711">
        <f>AVERAGE(BJ37:BJ45)</f>
        <v>192227.44714167848</v>
      </c>
      <c r="BK49" s="711">
        <f>AVERAGE(BK37:BK45)</f>
        <v>1378.2353304712262</v>
      </c>
      <c r="BL49" s="804">
        <f>AF7</f>
        <v>7.0167754687066354E-3</v>
      </c>
    </row>
    <row r="50" spans="1:64" ht="15.75" thickBot="1">
      <c r="A50" s="874"/>
      <c r="B50" s="490">
        <v>2013</v>
      </c>
      <c r="C50" s="267">
        <f>'Benchmark finished'!K13</f>
        <v>1.2476150700148613E-2</v>
      </c>
      <c r="D50" s="267">
        <f>'Benchmark finished'!L13</f>
        <v>2.1454021398333335E-2</v>
      </c>
      <c r="E50" s="268">
        <f>'Benchmark finished'!M13</f>
        <v>5.4870088313199407E-3</v>
      </c>
      <c r="F50" s="6"/>
      <c r="J50" s="31"/>
      <c r="K50" s="897"/>
      <c r="L50" s="453"/>
      <c r="M50" s="453"/>
      <c r="N50" s="453"/>
      <c r="O50" s="453"/>
      <c r="P50" s="453"/>
      <c r="Q50" s="453"/>
      <c r="R50" s="453"/>
      <c r="S50" s="453"/>
      <c r="T50" s="453"/>
      <c r="U50" s="895"/>
      <c r="AA50" s="6"/>
      <c r="AB50" s="6"/>
      <c r="AC50" s="479">
        <f t="shared" si="10"/>
        <v>2015</v>
      </c>
      <c r="AD50" s="106">
        <f>Costs!Q74</f>
        <v>0.69749822982922727</v>
      </c>
      <c r="AE50" s="106">
        <f>Costs!R74</f>
        <v>0.30250177017077279</v>
      </c>
      <c r="AF50" s="106">
        <f>Costs!AO21</f>
        <v>0.23645527089458207</v>
      </c>
      <c r="AG50" s="106">
        <f>Costs!AG21</f>
        <v>0.67198656026879455</v>
      </c>
      <c r="AH50" s="124">
        <f>Costs!AK21</f>
        <v>9.1558168836623252E-2</v>
      </c>
      <c r="AI50" s="106">
        <f>Costs!CA74</f>
        <v>0.32832358103233816</v>
      </c>
      <c r="AJ50" s="106">
        <f>Costs!BI74</f>
        <v>0.50315954443031463</v>
      </c>
      <c r="AK50" s="253">
        <f>Costs!BZ74</f>
        <v>0.16851687453734718</v>
      </c>
      <c r="AR50" s="6"/>
      <c r="BC50" s="483" t="s">
        <v>499</v>
      </c>
      <c r="BD50" s="731" t="s">
        <v>800</v>
      </c>
      <c r="BE50" s="731" t="s">
        <v>800</v>
      </c>
      <c r="BF50" s="768" t="s">
        <v>800</v>
      </c>
      <c r="BG50" s="768" t="s">
        <v>800</v>
      </c>
      <c r="BH50" s="768" t="s">
        <v>800</v>
      </c>
      <c r="BI50" s="768" t="s">
        <v>800</v>
      </c>
      <c r="BJ50" s="731">
        <f>AVERAGE(USD!CQ19:CQ79)</f>
        <v>510599.78889015957</v>
      </c>
      <c r="BK50" s="731">
        <f>AVERAGE(Costs!CD18:CD78)</f>
        <v>812.48124551918261</v>
      </c>
      <c r="BL50" s="908">
        <f>AF6</f>
        <v>4.4361275858735907E-3</v>
      </c>
    </row>
    <row r="51" spans="1:64" ht="15.75" customHeight="1" thickBot="1">
      <c r="A51" s="874"/>
      <c r="B51" s="490">
        <v>2014</v>
      </c>
      <c r="C51" s="267">
        <f>'Benchmark finished'!K14</f>
        <v>1.4366266831781832E-2</v>
      </c>
      <c r="D51" s="267">
        <f>'Benchmark finished'!L14</f>
        <v>1.6800310907231015E-2</v>
      </c>
      <c r="E51" s="268">
        <f>'Benchmark finished'!M14</f>
        <v>1.0944682099317669E-2</v>
      </c>
      <c r="F51" s="172"/>
      <c r="G51" s="24"/>
      <c r="H51" s="24"/>
      <c r="J51" s="31"/>
      <c r="K51" s="897"/>
      <c r="L51" s="453"/>
      <c r="M51" s="453"/>
      <c r="N51" s="453"/>
      <c r="O51" s="453"/>
      <c r="P51" s="453"/>
      <c r="Q51" s="453"/>
      <c r="R51" s="453"/>
      <c r="S51" s="453"/>
      <c r="T51" s="453"/>
      <c r="U51" s="895"/>
      <c r="AA51" s="6"/>
      <c r="AB51" s="6"/>
      <c r="AC51" s="483">
        <f t="shared" si="10"/>
        <v>2016</v>
      </c>
      <c r="AD51" s="232">
        <f>Costs!Q78</f>
        <v>0.76739600215766357</v>
      </c>
      <c r="AE51" s="232">
        <f>Costs!R78</f>
        <v>0.23260399784233646</v>
      </c>
      <c r="AF51" s="232">
        <f>Costs!AO22</f>
        <v>0.22865353037766831</v>
      </c>
      <c r="AG51" s="232">
        <f>Costs!AG22</f>
        <v>0.68760262725779975</v>
      </c>
      <c r="AH51" s="812">
        <f>Costs!AK22</f>
        <v>8.3743842364532028E-2</v>
      </c>
      <c r="AI51" s="232">
        <f>Costs!CA78</f>
        <v>0.3498644514224708</v>
      </c>
      <c r="AJ51" s="232">
        <f>Costs!BI78</f>
        <v>0.49575219099303497</v>
      </c>
      <c r="AK51" s="296">
        <f>Costs!BZ78</f>
        <v>0.1543833575844942</v>
      </c>
      <c r="AR51" s="6"/>
    </row>
    <row r="52" spans="1:64" ht="15.75" customHeight="1">
      <c r="A52" s="874"/>
      <c r="B52" s="490">
        <v>2015</v>
      </c>
      <c r="C52" s="705">
        <f>'Benchmark finished'!K15</f>
        <v>9.0688912239383895E-3</v>
      </c>
      <c r="D52" s="705">
        <f>'Benchmark finished'!L15</f>
        <v>2.771507264734217E-2</v>
      </c>
      <c r="E52" s="706">
        <f>'Benchmark finished'!M15</f>
        <v>1.9601917987230853E-2</v>
      </c>
      <c r="F52" s="172"/>
      <c r="G52" s="24"/>
      <c r="H52" s="24"/>
      <c r="J52" s="31"/>
      <c r="K52" s="897"/>
      <c r="L52" s="453"/>
      <c r="M52" s="453"/>
      <c r="N52" s="453"/>
      <c r="O52" s="453"/>
      <c r="P52" s="453"/>
      <c r="Q52" s="453"/>
      <c r="R52" s="453"/>
      <c r="S52" s="453"/>
      <c r="T52" s="453"/>
      <c r="U52" s="895"/>
      <c r="AA52" s="6"/>
      <c r="AB52" s="6"/>
      <c r="AR52" s="6"/>
    </row>
    <row r="53" spans="1:64" ht="15.75" customHeight="1" thickBot="1">
      <c r="A53" s="874"/>
      <c r="B53" s="491">
        <v>2016</v>
      </c>
      <c r="C53" s="269">
        <f>'Benchmark finished'!K16</f>
        <v>1.7318271430038286E-2</v>
      </c>
      <c r="D53" s="269">
        <f>'Benchmark finished'!L16</f>
        <v>4.277221158704831E-2</v>
      </c>
      <c r="E53" s="270">
        <f>'Benchmark finished'!M16</f>
        <v>2.6136264704104416E-2</v>
      </c>
      <c r="F53" s="172"/>
      <c r="G53" s="24"/>
      <c r="H53" s="24"/>
      <c r="L53" s="6"/>
      <c r="M53" s="6"/>
      <c r="N53" s="172"/>
      <c r="O53" s="6"/>
      <c r="P53" s="6"/>
      <c r="Q53" s="172"/>
      <c r="R53" s="6"/>
      <c r="S53" s="6"/>
      <c r="T53" s="172"/>
      <c r="AA53" s="6"/>
      <c r="AB53" s="6"/>
      <c r="AR53" s="6"/>
    </row>
    <row r="54" spans="1:64">
      <c r="A54" s="877"/>
      <c r="F54" s="172"/>
      <c r="G54" s="24"/>
      <c r="H54" s="24"/>
      <c r="L54" s="6"/>
      <c r="M54" s="6"/>
      <c r="N54" s="172"/>
      <c r="O54" s="6"/>
      <c r="P54" s="6"/>
      <c r="Q54" s="172"/>
      <c r="R54" s="6"/>
      <c r="S54" s="6"/>
      <c r="T54" s="172"/>
      <c r="AA54" s="870"/>
      <c r="AB54" s="870"/>
      <c r="AR54" s="6"/>
    </row>
    <row r="55" spans="1:64" ht="15.75" thickBot="1">
      <c r="A55" s="6"/>
      <c r="F55" s="172"/>
      <c r="G55" s="24"/>
      <c r="H55" s="24"/>
      <c r="L55" s="6"/>
      <c r="M55" s="6"/>
      <c r="N55" s="6"/>
      <c r="O55" s="6"/>
      <c r="P55" s="6"/>
      <c r="Q55" s="6"/>
      <c r="R55" s="6"/>
      <c r="S55" s="6"/>
      <c r="T55" s="6"/>
      <c r="AA55" s="870"/>
      <c r="AB55" s="870"/>
      <c r="AR55" s="6"/>
    </row>
    <row r="56" spans="1:64">
      <c r="A56" s="6"/>
      <c r="B56" s="971" t="s">
        <v>855</v>
      </c>
      <c r="C56" s="972"/>
      <c r="D56" s="972"/>
      <c r="E56" s="973"/>
      <c r="F56" s="172"/>
      <c r="G56" s="24"/>
      <c r="H56" s="24"/>
      <c r="AA56" s="870"/>
      <c r="AB56" s="870"/>
      <c r="AR56" s="6"/>
    </row>
    <row r="57" spans="1:64" ht="15.75" thickBot="1">
      <c r="A57" s="6"/>
      <c r="B57" s="479"/>
      <c r="C57" s="805" t="str">
        <f>Q27</f>
        <v>NBIM</v>
      </c>
      <c r="D57" s="805" t="str">
        <f>R27</f>
        <v>APG</v>
      </c>
      <c r="E57" s="867" t="str">
        <f>S27</f>
        <v>CPPIB</v>
      </c>
      <c r="F57" s="172"/>
      <c r="G57" s="24"/>
      <c r="H57" s="24"/>
      <c r="AA57" s="870"/>
      <c r="AB57" s="870"/>
      <c r="AR57" s="6"/>
    </row>
    <row r="58" spans="1:64" ht="15.75" thickBot="1">
      <c r="A58" s="6"/>
      <c r="B58" s="985" t="s">
        <v>789</v>
      </c>
      <c r="C58" s="986"/>
      <c r="D58" s="986"/>
      <c r="E58" s="987"/>
      <c r="F58" s="172"/>
      <c r="G58" s="24"/>
      <c r="H58" s="24"/>
      <c r="AA58" s="870"/>
      <c r="AB58" s="870"/>
      <c r="AR58" s="6"/>
    </row>
    <row r="59" spans="1:64">
      <c r="A59" s="6"/>
      <c r="B59" s="479" t="str">
        <f>B5</f>
        <v xml:space="preserve">Sub-period 1: 2001-2005 </v>
      </c>
      <c r="C59" s="655">
        <f>Risk!J30</f>
        <v>4.8983034494539057E-2</v>
      </c>
      <c r="D59" s="656">
        <f>Risk!W30</f>
        <v>3.7503050369127724E-2</v>
      </c>
      <c r="E59" s="657">
        <f>Risk!AJ30</f>
        <v>8.1758765121476729E-2</v>
      </c>
      <c r="F59" s="172"/>
      <c r="G59" s="24"/>
      <c r="H59" s="24"/>
      <c r="AA59" s="870"/>
      <c r="AB59" s="870"/>
      <c r="AR59" s="6"/>
    </row>
    <row r="60" spans="1:64">
      <c r="A60" s="6"/>
      <c r="B60" s="479" t="str">
        <f>B6</f>
        <v xml:space="preserve">Sub-period 2: 2006-2010 </v>
      </c>
      <c r="C60" s="306">
        <f>Risk!J28</f>
        <v>5.2017813985351866E-2</v>
      </c>
      <c r="D60" s="217">
        <f>Risk!W28</f>
        <v>5.1210229776934492E-2</v>
      </c>
      <c r="E60" s="222">
        <f>Risk!AJ28</f>
        <v>4.5611437977921089E-2</v>
      </c>
      <c r="F60" s="172"/>
      <c r="G60" s="24"/>
      <c r="H60" s="24"/>
      <c r="AA60" s="870"/>
      <c r="AB60" s="870"/>
      <c r="AR60" s="6"/>
    </row>
    <row r="61" spans="1:64">
      <c r="A61" s="6"/>
      <c r="B61" s="479" t="str">
        <f>B7</f>
        <v xml:space="preserve">Sub-period 3: 2011-2016 </v>
      </c>
      <c r="C61" s="306">
        <f>Risk!J26</f>
        <v>4.4285740793898763E-2</v>
      </c>
      <c r="D61" s="217">
        <f>Risk!W26</f>
        <v>3.0091428763441629E-2</v>
      </c>
      <c r="E61" s="222">
        <f>Risk!AJ26</f>
        <v>2.5155720617217214E-2</v>
      </c>
      <c r="F61" s="6"/>
      <c r="AA61" s="870"/>
      <c r="AB61" s="870"/>
      <c r="AR61" s="6"/>
    </row>
    <row r="62" spans="1:64" ht="15.75" thickBot="1">
      <c r="A62" s="6"/>
      <c r="B62" s="479" t="str">
        <f>P8</f>
        <v>Overall: 2001-2016</v>
      </c>
      <c r="C62" s="298">
        <f>Risk!J24</f>
        <v>4.8658741496742042E-2</v>
      </c>
      <c r="D62" s="659">
        <f>Risk!W24</f>
        <v>3.9499982624432391E-2</v>
      </c>
      <c r="E62" s="660">
        <f>Risk!AJ24</f>
        <v>5.4363003840836643E-2</v>
      </c>
      <c r="F62" s="31"/>
      <c r="G62" s="31"/>
      <c r="AA62" s="870"/>
      <c r="AB62" s="870"/>
      <c r="AR62" s="6"/>
    </row>
    <row r="63" spans="1:64" ht="15.75" thickBot="1">
      <c r="A63" s="6"/>
      <c r="B63" s="985" t="s">
        <v>788</v>
      </c>
      <c r="C63" s="986"/>
      <c r="D63" s="986"/>
      <c r="E63" s="987"/>
      <c r="F63" s="156"/>
      <c r="G63" s="31"/>
      <c r="AA63" s="870"/>
      <c r="AB63" s="870"/>
      <c r="AR63" s="6"/>
    </row>
    <row r="64" spans="1:64">
      <c r="A64" s="6"/>
      <c r="B64" s="479" t="str">
        <f>B59</f>
        <v xml:space="preserve">Sub-period 1: 2001-2005 </v>
      </c>
      <c r="C64" s="655">
        <f t="shared" ref="C64:E66" si="15">C5</f>
        <v>4.6967021411431067E-2</v>
      </c>
      <c r="D64" s="656">
        <f t="shared" si="15"/>
        <v>5.9659980588863036E-2</v>
      </c>
      <c r="E64" s="657">
        <f t="shared" si="15"/>
        <v>0.10327777615878737</v>
      </c>
      <c r="F64" s="156"/>
      <c r="G64" s="31"/>
      <c r="AA64" s="870"/>
      <c r="AB64" s="870"/>
      <c r="AR64" s="6"/>
    </row>
    <row r="65" spans="1:44">
      <c r="A65" s="6"/>
      <c r="B65" s="479" t="str">
        <f>B60</f>
        <v xml:space="preserve">Sub-period 2: 2006-2010 </v>
      </c>
      <c r="C65" s="306">
        <f t="shared" si="15"/>
        <v>8.3527796526922646E-2</v>
      </c>
      <c r="D65" s="217">
        <f t="shared" si="15"/>
        <v>8.8060423854042461E-2</v>
      </c>
      <c r="E65" s="222">
        <f t="shared" si="15"/>
        <v>8.5937988819586461E-2</v>
      </c>
      <c r="F65" s="156"/>
      <c r="G65" s="31"/>
      <c r="AR65" s="6"/>
    </row>
    <row r="66" spans="1:44">
      <c r="A66" s="6"/>
      <c r="B66" s="479" t="str">
        <f>B61</f>
        <v xml:space="preserve">Sub-period 3: 2011-2016 </v>
      </c>
      <c r="C66" s="306">
        <f t="shared" si="15"/>
        <v>4.6512920482174647E-2</v>
      </c>
      <c r="D66" s="217">
        <f t="shared" si="15"/>
        <v>4.7894879300621807E-2</v>
      </c>
      <c r="E66" s="222">
        <f t="shared" si="15"/>
        <v>3.5759104502579762E-2</v>
      </c>
      <c r="F66" s="156"/>
      <c r="G66" s="31"/>
      <c r="AR66" s="6"/>
    </row>
    <row r="67" spans="1:44" ht="15.75" thickBot="1">
      <c r="A67" s="6"/>
      <c r="B67" s="483" t="str">
        <f>B62</f>
        <v>Overall: 2001-2016</v>
      </c>
      <c r="C67" s="658">
        <f>C4</f>
        <v>5.9753132568700192E-2</v>
      </c>
      <c r="D67" s="659">
        <f>D4</f>
        <v>6.5502880023334278E-2</v>
      </c>
      <c r="E67" s="660">
        <f>E4</f>
        <v>7.6956633447125375E-2</v>
      </c>
      <c r="F67" s="156"/>
      <c r="G67" s="31"/>
      <c r="AR67" s="6"/>
    </row>
    <row r="68" spans="1:44" ht="15" customHeight="1" thickBot="1">
      <c r="A68" s="6"/>
      <c r="F68" s="156"/>
      <c r="G68" s="31"/>
      <c r="AR68" s="6"/>
    </row>
    <row r="69" spans="1:44">
      <c r="A69" s="6"/>
      <c r="B69" s="971" t="s">
        <v>853</v>
      </c>
      <c r="C69" s="972"/>
      <c r="D69" s="972"/>
      <c r="E69" s="973"/>
      <c r="F69" s="156"/>
      <c r="G69" s="31"/>
      <c r="AR69" s="6"/>
    </row>
    <row r="70" spans="1:44" ht="15.75" thickBot="1">
      <c r="A70" s="6"/>
      <c r="B70" s="483"/>
      <c r="C70" s="806" t="str">
        <f>C57</f>
        <v>NBIM</v>
      </c>
      <c r="D70" s="806" t="str">
        <f>D57</f>
        <v>APG</v>
      </c>
      <c r="E70" s="815" t="str">
        <f>E57</f>
        <v>CPPIB</v>
      </c>
      <c r="F70" s="156"/>
      <c r="G70" s="31"/>
    </row>
    <row r="71" spans="1:44" ht="15.75" customHeight="1" thickBot="1">
      <c r="A71" s="875"/>
      <c r="B71" s="985" t="s">
        <v>882</v>
      </c>
      <c r="C71" s="986"/>
      <c r="D71" s="986"/>
      <c r="E71" s="987"/>
      <c r="F71" s="156"/>
      <c r="G71" s="31"/>
    </row>
    <row r="72" spans="1:44">
      <c r="A72" s="875"/>
      <c r="B72" s="479" t="str">
        <f>B59</f>
        <v xml:space="preserve">Sub-period 1: 2001-2005 </v>
      </c>
      <c r="C72" s="217">
        <f>'Risk Free Return+SR'!W80</f>
        <v>0.16374254629484</v>
      </c>
      <c r="D72" s="217">
        <f>'Risk Free Return+SR'!AB80</f>
        <v>-0.26676418194849255</v>
      </c>
      <c r="E72" s="222">
        <f>'Risk Free Return+SR'!AG80</f>
        <v>-0.35402487727500959</v>
      </c>
      <c r="F72" s="156"/>
      <c r="G72" s="31"/>
    </row>
    <row r="73" spans="1:44">
      <c r="A73" s="875"/>
      <c r="B73" s="479" t="str">
        <f>B60</f>
        <v xml:space="preserve">Sub-period 2: 2006-2010 </v>
      </c>
      <c r="C73" s="216">
        <f>'Risk Free Return+SR'!W83</f>
        <v>-0.47060709137953949</v>
      </c>
      <c r="D73" s="216">
        <f>'Risk Free Return+SR'!AB83</f>
        <v>-0.28955970067845854</v>
      </c>
      <c r="E73" s="223">
        <f>'Risk Free Return+SR'!AG83</f>
        <v>-0.25737959297580698</v>
      </c>
      <c r="F73" s="156"/>
      <c r="G73" s="31"/>
    </row>
    <row r="74" spans="1:44">
      <c r="A74" s="875"/>
      <c r="B74" s="479" t="str">
        <f>B61</f>
        <v xml:space="preserve">Sub-period 3: 2011-2016 </v>
      </c>
      <c r="C74" s="216">
        <f>'Risk Free Return+SR'!W86</f>
        <v>0.31486777162707436</v>
      </c>
      <c r="D74" s="259">
        <f>'Risk Free Return+SR'!AB86</f>
        <v>0.69331172239836025</v>
      </c>
      <c r="E74" s="733">
        <f>'Risk Free Return+SR'!AG86</f>
        <v>0.5458389313401385</v>
      </c>
      <c r="F74" s="156"/>
      <c r="G74" s="31"/>
    </row>
    <row r="75" spans="1:44" ht="15.75" thickBot="1">
      <c r="A75" s="875"/>
      <c r="B75" s="479" t="str">
        <f>B62</f>
        <v>Overall: 2001-2016</v>
      </c>
      <c r="C75" s="221">
        <f>'Risk Free Return+SR'!W77</f>
        <v>-5.7358801389487804E-2</v>
      </c>
      <c r="D75" s="221">
        <f>'Risk Free Return+SR'!AB77</f>
        <v>-8.226951344123129E-2</v>
      </c>
      <c r="E75" s="229">
        <f>'Risk Free Return+SR'!AG77</f>
        <v>-7.0664789355563862E-2</v>
      </c>
      <c r="F75" s="156"/>
      <c r="G75" s="31"/>
    </row>
    <row r="76" spans="1:44" ht="13.5" customHeight="1" thickBot="1">
      <c r="A76" s="167"/>
      <c r="B76" s="985" t="s">
        <v>790</v>
      </c>
      <c r="C76" s="986"/>
      <c r="D76" s="986"/>
      <c r="E76" s="987"/>
    </row>
    <row r="77" spans="1:44" s="761" customFormat="1">
      <c r="A77" s="167"/>
      <c r="B77" s="493" t="str">
        <f>B72</f>
        <v xml:space="preserve">Sub-period 1: 2001-2005 </v>
      </c>
      <c r="C77" s="656">
        <f>'Risk Free Return+SR'!K80</f>
        <v>-3.6329694205799949E-2</v>
      </c>
      <c r="D77" s="656">
        <f>'Risk Free Return+SR'!Q80</f>
        <v>7.8118595527282633E-2</v>
      </c>
      <c r="E77" s="657">
        <f>'Risk Free Return+SR'!N80</f>
        <v>-6.246742139431335E-3</v>
      </c>
    </row>
    <row r="78" spans="1:44">
      <c r="A78" s="167"/>
      <c r="B78" s="479" t="str">
        <f>B73</f>
        <v xml:space="preserve">Sub-period 2: 2006-2010 </v>
      </c>
      <c r="C78" s="216">
        <f>'Risk Free Return+SR'!K83</f>
        <v>-6.1978776677632665E-2</v>
      </c>
      <c r="D78" s="216">
        <f>'Risk Free Return+SR'!Q83</f>
        <v>4.2197505462743161E-3</v>
      </c>
      <c r="E78" s="223">
        <f>'Risk Free Return+SR'!N83</f>
        <v>-1.2829274064110713E-2</v>
      </c>
    </row>
    <row r="79" spans="1:44">
      <c r="A79" s="167"/>
      <c r="B79" s="479" t="str">
        <f>B74</f>
        <v xml:space="preserve">Sub-period 3: 2011-2016 </v>
      </c>
      <c r="C79" s="216">
        <f>'Risk Free Return+SR'!K86</f>
        <v>0.21180541553826207</v>
      </c>
      <c r="D79" s="216">
        <f>'Risk Free Return+SR'!Q86</f>
        <v>0.20727741182755835</v>
      </c>
      <c r="E79" s="223">
        <f>'Risk Free Return+SR'!N86</f>
        <v>0.33372595593660398</v>
      </c>
      <c r="F79" s="6"/>
    </row>
    <row r="80" spans="1:44" ht="15.75" thickBot="1">
      <c r="A80" s="167"/>
      <c r="B80" s="483" t="str">
        <f>B75</f>
        <v>Overall: 2001-2016</v>
      </c>
      <c r="C80" s="301">
        <f>'Risk Free Return+SR'!K77</f>
        <v>2.3516247345256848E-2</v>
      </c>
      <c r="D80" s="301">
        <f>'Risk Free Return+SR'!Q77</f>
        <v>8.186026003721078E-2</v>
      </c>
      <c r="E80" s="302">
        <f>'Risk Free Return+SR'!N77</f>
        <v>5.0170351901365609E-2</v>
      </c>
      <c r="F80" s="904"/>
    </row>
    <row r="81" spans="1:13">
      <c r="A81" s="6"/>
      <c r="E81" s="4"/>
      <c r="F81" s="904"/>
    </row>
    <row r="82" spans="1:13">
      <c r="A82" s="6"/>
      <c r="E82" s="4"/>
      <c r="F82" s="904"/>
    </row>
    <row r="83" spans="1:13">
      <c r="A83" s="6"/>
      <c r="E83" s="4"/>
      <c r="F83" s="904"/>
    </row>
    <row r="84" spans="1:13">
      <c r="A84" s="6"/>
      <c r="E84" s="4"/>
      <c r="F84" s="904"/>
    </row>
    <row r="85" spans="1:13" ht="15.75" customHeight="1">
      <c r="E85" s="4"/>
      <c r="F85" s="904"/>
      <c r="K85" s="6"/>
      <c r="L85" s="6"/>
      <c r="M85" s="6"/>
    </row>
    <row r="86" spans="1:13">
      <c r="E86" s="4"/>
      <c r="F86" s="904"/>
      <c r="K86" s="6"/>
      <c r="L86" s="6"/>
      <c r="M86" s="6"/>
    </row>
    <row r="87" spans="1:13">
      <c r="E87" s="4"/>
      <c r="F87" s="904"/>
      <c r="K87" s="6"/>
      <c r="L87" s="6"/>
      <c r="M87" s="6"/>
    </row>
    <row r="88" spans="1:13">
      <c r="E88" s="4"/>
      <c r="F88" s="904"/>
      <c r="K88" s="6"/>
      <c r="L88" s="6"/>
      <c r="M88" s="6"/>
    </row>
    <row r="89" spans="1:13">
      <c r="E89" s="4"/>
      <c r="F89" s="904"/>
      <c r="K89" s="6"/>
      <c r="L89" s="6"/>
      <c r="M89" s="6"/>
    </row>
    <row r="90" spans="1:13">
      <c r="E90" s="4"/>
      <c r="F90" s="904"/>
      <c r="K90" s="6"/>
      <c r="L90" s="6"/>
      <c r="M90" s="6"/>
    </row>
    <row r="91" spans="1:13">
      <c r="E91" s="4"/>
      <c r="F91" s="904"/>
      <c r="K91" s="6"/>
      <c r="L91" s="172"/>
      <c r="M91" s="6"/>
    </row>
    <row r="92" spans="1:13">
      <c r="E92" s="4"/>
      <c r="F92" s="904"/>
      <c r="K92" s="6"/>
      <c r="L92" s="172"/>
      <c r="M92" s="6"/>
    </row>
    <row r="93" spans="1:13">
      <c r="E93" s="4"/>
      <c r="F93" s="904"/>
      <c r="K93" s="6"/>
      <c r="L93" s="6"/>
      <c r="M93" s="6"/>
    </row>
    <row r="94" spans="1:13">
      <c r="E94" s="4"/>
      <c r="F94" s="904"/>
      <c r="K94" s="6"/>
      <c r="L94" s="6"/>
      <c r="M94" s="6"/>
    </row>
    <row r="95" spans="1:13">
      <c r="E95" s="4"/>
      <c r="F95" s="904"/>
      <c r="K95" s="6"/>
      <c r="L95" s="6"/>
      <c r="M95" s="6"/>
    </row>
    <row r="96" spans="1:13">
      <c r="E96" s="4"/>
      <c r="F96" s="904"/>
      <c r="K96" s="6"/>
      <c r="L96" s="6"/>
      <c r="M96" s="6"/>
    </row>
    <row r="97" spans="1:13">
      <c r="E97" s="4"/>
      <c r="F97" s="904"/>
      <c r="K97" s="6"/>
      <c r="L97" s="6"/>
      <c r="M97" s="6"/>
    </row>
    <row r="98" spans="1:13">
      <c r="E98" s="4"/>
      <c r="F98" s="904"/>
      <c r="K98" s="6"/>
      <c r="L98" s="6"/>
      <c r="M98" s="6"/>
    </row>
    <row r="99" spans="1:13">
      <c r="E99" s="4"/>
      <c r="F99" s="904"/>
    </row>
    <row r="100" spans="1:13">
      <c r="E100" s="4"/>
      <c r="F100" s="904"/>
    </row>
    <row r="101" spans="1:13">
      <c r="E101" s="4"/>
      <c r="F101" s="904"/>
    </row>
    <row r="102" spans="1:13">
      <c r="E102" s="4"/>
      <c r="F102" s="4"/>
    </row>
    <row r="103" spans="1:13">
      <c r="E103" s="4"/>
      <c r="F103" s="31"/>
    </row>
    <row r="104" spans="1:13" ht="15" customHeight="1">
      <c r="E104" s="4"/>
      <c r="F104" s="877"/>
      <c r="G104" s="877"/>
    </row>
    <row r="105" spans="1:13">
      <c r="E105" s="4"/>
      <c r="F105" s="877"/>
      <c r="G105" s="877"/>
    </row>
    <row r="106" spans="1:13">
      <c r="E106" s="4"/>
      <c r="F106" s="877"/>
      <c r="G106" s="877"/>
    </row>
    <row r="107" spans="1:13">
      <c r="A107" s="6"/>
      <c r="E107" s="4"/>
      <c r="F107" s="877"/>
      <c r="G107" s="877"/>
    </row>
    <row r="108" spans="1:13">
      <c r="E108" s="4"/>
      <c r="F108" s="877"/>
      <c r="G108" s="877"/>
    </row>
    <row r="109" spans="1:13">
      <c r="E109" s="4"/>
      <c r="F109" s="877"/>
      <c r="G109" s="877"/>
    </row>
    <row r="110" spans="1:13">
      <c r="E110" s="4"/>
      <c r="F110" s="877"/>
      <c r="G110" s="877"/>
    </row>
    <row r="111" spans="1:13">
      <c r="E111" s="4"/>
      <c r="F111" s="877"/>
      <c r="G111" s="877"/>
    </row>
    <row r="112" spans="1:13">
      <c r="E112" s="4"/>
      <c r="F112" s="877"/>
      <c r="G112" s="877"/>
    </row>
    <row r="113" spans="1:10">
      <c r="E113" s="4"/>
      <c r="F113" s="877"/>
      <c r="G113" s="877"/>
    </row>
    <row r="114" spans="1:10">
      <c r="E114" s="4"/>
      <c r="F114" s="877"/>
      <c r="G114" s="877"/>
    </row>
    <row r="115" spans="1:10">
      <c r="E115" s="4"/>
      <c r="F115" s="877"/>
      <c r="G115" s="877"/>
      <c r="H115" s="295"/>
      <c r="I115" s="295"/>
      <c r="J115" s="295"/>
    </row>
    <row r="116" spans="1:10">
      <c r="E116" s="4"/>
      <c r="F116" s="877"/>
      <c r="G116" s="877"/>
      <c r="H116" s="295"/>
      <c r="I116" s="295"/>
      <c r="J116" s="295"/>
    </row>
    <row r="117" spans="1:10">
      <c r="E117" s="4"/>
      <c r="F117" s="877"/>
      <c r="G117" s="877"/>
      <c r="H117" s="295"/>
      <c r="I117" s="295"/>
      <c r="J117" s="295"/>
    </row>
    <row r="118" spans="1:10">
      <c r="E118" s="4"/>
      <c r="F118" s="877"/>
      <c r="G118" s="877"/>
    </row>
    <row r="119" spans="1:10">
      <c r="A119" s="6"/>
      <c r="E119" s="4"/>
      <c r="F119" s="877"/>
      <c r="G119" s="877"/>
    </row>
    <row r="120" spans="1:10">
      <c r="A120" s="6"/>
      <c r="E120" s="4"/>
      <c r="F120" s="877"/>
      <c r="G120" s="877"/>
    </row>
    <row r="121" spans="1:10">
      <c r="A121" s="6"/>
      <c r="E121" s="4"/>
      <c r="F121" s="877"/>
      <c r="G121" s="877"/>
    </row>
    <row r="122" spans="1:10">
      <c r="E122" s="31"/>
      <c r="F122" s="31"/>
      <c r="G122" s="6"/>
    </row>
    <row r="123" spans="1:10">
      <c r="E123" s="31"/>
      <c r="F123" s="877"/>
      <c r="G123" s="6"/>
    </row>
    <row r="124" spans="1:10">
      <c r="E124" s="31"/>
      <c r="F124" s="877"/>
      <c r="G124" s="6"/>
    </row>
    <row r="125" spans="1:10">
      <c r="E125" s="31"/>
      <c r="F125" s="877"/>
      <c r="G125" s="6"/>
    </row>
    <row r="126" spans="1:10">
      <c r="E126" s="31"/>
      <c r="F126" s="877"/>
      <c r="G126" s="6"/>
    </row>
    <row r="127" spans="1:10">
      <c r="E127" s="31"/>
      <c r="F127" s="877"/>
      <c r="G127" s="6"/>
    </row>
    <row r="128" spans="1:10">
      <c r="E128" s="31"/>
      <c r="F128" s="877"/>
      <c r="G128" s="6"/>
    </row>
    <row r="129" spans="5:7">
      <c r="E129" s="31"/>
      <c r="F129" s="877"/>
      <c r="G129" s="6"/>
    </row>
    <row r="130" spans="5:7">
      <c r="E130" s="31"/>
      <c r="F130" s="877"/>
      <c r="G130" s="6"/>
    </row>
    <row r="131" spans="5:7">
      <c r="E131" s="31"/>
      <c r="F131" s="877"/>
      <c r="G131" s="6"/>
    </row>
    <row r="132" spans="5:7">
      <c r="E132" s="31"/>
      <c r="F132" s="877"/>
      <c r="G132" s="6"/>
    </row>
    <row r="133" spans="5:7">
      <c r="E133" s="31"/>
      <c r="F133" s="877"/>
      <c r="G133" s="6"/>
    </row>
    <row r="134" spans="5:7">
      <c r="E134" s="31"/>
      <c r="F134" s="877"/>
      <c r="G134" s="6"/>
    </row>
    <row r="135" spans="5:7">
      <c r="E135" s="31"/>
      <c r="F135" s="31"/>
    </row>
    <row r="136" spans="5:7" ht="15" customHeight="1">
      <c r="E136" s="31"/>
      <c r="F136" s="886"/>
    </row>
    <row r="137" spans="5:7">
      <c r="E137" s="31"/>
      <c r="F137" s="886"/>
    </row>
    <row r="138" spans="5:7" ht="15.75" customHeight="1">
      <c r="E138" s="31"/>
      <c r="F138" s="886"/>
    </row>
    <row r="139" spans="5:7">
      <c r="E139" s="31"/>
      <c r="F139" s="886"/>
    </row>
    <row r="140" spans="5:7">
      <c r="E140" s="31"/>
      <c r="F140" s="886"/>
    </row>
    <row r="141" spans="5:7">
      <c r="E141" s="31"/>
      <c r="F141" s="886"/>
    </row>
    <row r="142" spans="5:7">
      <c r="E142" s="31"/>
      <c r="F142" s="886"/>
    </row>
    <row r="143" spans="5:7">
      <c r="E143" s="31"/>
      <c r="F143" s="886"/>
    </row>
    <row r="144" spans="5:7">
      <c r="E144" s="31"/>
      <c r="F144" s="886"/>
    </row>
    <row r="145" spans="1:18">
      <c r="E145" s="31"/>
      <c r="F145" s="886"/>
    </row>
    <row r="146" spans="1:18">
      <c r="E146" s="31"/>
      <c r="F146" s="886"/>
    </row>
    <row r="147" spans="1:18">
      <c r="E147" s="31"/>
      <c r="F147" s="886"/>
    </row>
    <row r="148" spans="1:18">
      <c r="A148" s="6"/>
      <c r="D148" s="24"/>
      <c r="P148" s="911"/>
      <c r="Q148" s="911"/>
      <c r="R148" s="911"/>
    </row>
    <row r="149" spans="1:18" ht="15.75" customHeight="1">
      <c r="A149" s="6"/>
      <c r="O149" s="877"/>
    </row>
    <row r="150" spans="1:18">
      <c r="A150" s="6"/>
      <c r="O150" s="877"/>
    </row>
    <row r="151" spans="1:18">
      <c r="A151" s="6"/>
      <c r="O151" s="877"/>
    </row>
    <row r="152" spans="1:18">
      <c r="A152" s="6"/>
      <c r="O152" s="877"/>
    </row>
    <row r="153" spans="1:18">
      <c r="A153" s="6"/>
      <c r="O153" s="877"/>
    </row>
    <row r="154" spans="1:18">
      <c r="A154" s="6"/>
      <c r="O154" s="877"/>
    </row>
    <row r="155" spans="1:18">
      <c r="A155" s="6"/>
      <c r="O155" s="877"/>
    </row>
    <row r="156" spans="1:18">
      <c r="A156" s="6"/>
      <c r="O156" s="877"/>
    </row>
    <row r="157" spans="1:18">
      <c r="A157" s="6"/>
      <c r="O157" s="877"/>
    </row>
    <row r="158" spans="1:18">
      <c r="A158" s="6"/>
      <c r="O158" s="877"/>
    </row>
    <row r="159" spans="1:18">
      <c r="A159" s="6"/>
      <c r="O159" s="877"/>
    </row>
    <row r="160" spans="1:18">
      <c r="A160" s="6"/>
      <c r="O160" s="877"/>
    </row>
    <row r="161" spans="1:15">
      <c r="A161" s="6"/>
      <c r="O161" s="877"/>
    </row>
    <row r="162" spans="1:15">
      <c r="A162" s="6"/>
      <c r="O162" s="877"/>
    </row>
    <row r="163" spans="1:15">
      <c r="A163" s="6"/>
      <c r="O163" s="877"/>
    </row>
    <row r="164" spans="1:15">
      <c r="A164" s="6"/>
      <c r="O164" s="877"/>
    </row>
    <row r="165" spans="1:15">
      <c r="A165" s="6"/>
      <c r="O165" s="877"/>
    </row>
    <row r="166" spans="1:15">
      <c r="A166" s="6"/>
      <c r="O166" s="877"/>
    </row>
    <row r="167" spans="1:15">
      <c r="A167" s="6"/>
      <c r="O167" s="877"/>
    </row>
    <row r="168" spans="1:15">
      <c r="A168" s="6"/>
      <c r="O168" s="877"/>
    </row>
    <row r="169" spans="1:15">
      <c r="A169" s="6"/>
      <c r="O169" s="877"/>
    </row>
    <row r="170" spans="1:15">
      <c r="A170" s="6"/>
      <c r="O170" s="877"/>
    </row>
    <row r="171" spans="1:15">
      <c r="A171" s="6"/>
      <c r="O171" s="877"/>
    </row>
    <row r="172" spans="1:15">
      <c r="A172" s="6"/>
      <c r="O172" s="877"/>
    </row>
    <row r="173" spans="1:15">
      <c r="A173" s="6"/>
      <c r="E173" s="295"/>
      <c r="O173" s="877"/>
    </row>
    <row r="174" spans="1:15">
      <c r="A174" s="6"/>
      <c r="L174" s="877"/>
      <c r="M174" s="295"/>
      <c r="O174" s="877"/>
    </row>
    <row r="175" spans="1:15">
      <c r="A175" s="6"/>
      <c r="L175" s="877"/>
      <c r="O175" s="877"/>
    </row>
    <row r="176" spans="1:15">
      <c r="A176" s="6"/>
      <c r="L176" s="877"/>
      <c r="O176" s="877"/>
    </row>
    <row r="177" spans="1:15">
      <c r="A177" s="6"/>
      <c r="L177" s="877"/>
      <c r="O177" s="877"/>
    </row>
    <row r="178" spans="1:15">
      <c r="A178" s="6"/>
      <c r="L178" s="877"/>
      <c r="O178" s="877"/>
    </row>
    <row r="179" spans="1:15">
      <c r="A179" s="6"/>
      <c r="L179" s="877"/>
      <c r="O179" s="877"/>
    </row>
    <row r="180" spans="1:15">
      <c r="A180" s="6"/>
      <c r="L180" s="877"/>
      <c r="O180" s="877"/>
    </row>
    <row r="181" spans="1:15">
      <c r="A181" s="6"/>
      <c r="L181" s="877"/>
      <c r="O181" s="877"/>
    </row>
    <row r="182" spans="1:15">
      <c r="A182" s="6"/>
      <c r="L182" s="877"/>
      <c r="O182" s="877"/>
    </row>
    <row r="183" spans="1:15">
      <c r="A183" s="6"/>
      <c r="L183" s="877"/>
      <c r="O183" s="877"/>
    </row>
    <row r="184" spans="1:15">
      <c r="A184" s="6"/>
      <c r="L184" s="877"/>
      <c r="O184" s="877"/>
    </row>
    <row r="185" spans="1:15">
      <c r="A185" s="6"/>
      <c r="L185" s="877"/>
    </row>
    <row r="186" spans="1:15">
      <c r="A186" s="6"/>
      <c r="L186" s="877"/>
    </row>
    <row r="187" spans="1:15">
      <c r="A187" s="6"/>
      <c r="L187" s="877"/>
    </row>
    <row r="188" spans="1:15">
      <c r="A188" s="6"/>
      <c r="L188" s="877"/>
    </row>
    <row r="189" spans="1:15">
      <c r="A189" s="6"/>
      <c r="L189" s="877"/>
    </row>
    <row r="190" spans="1:15">
      <c r="A190" s="6"/>
      <c r="L190" s="877"/>
    </row>
    <row r="191" spans="1:15">
      <c r="A191" s="6"/>
      <c r="L191" s="877"/>
    </row>
    <row r="192" spans="1:15">
      <c r="A192" s="6"/>
      <c r="L192" s="877"/>
    </row>
    <row r="193" spans="1:15">
      <c r="A193" s="6"/>
      <c r="L193" s="877"/>
    </row>
    <row r="194" spans="1:15">
      <c r="A194" s="6"/>
      <c r="L194" s="877"/>
      <c r="M194" s="4"/>
      <c r="N194" s="4"/>
      <c r="O194" s="4"/>
    </row>
    <row r="195" spans="1:15">
      <c r="A195" s="6"/>
      <c r="L195" s="877"/>
      <c r="M195" s="4"/>
      <c r="N195" s="4"/>
      <c r="O195" s="4"/>
    </row>
    <row r="196" spans="1:15">
      <c r="A196" s="6"/>
      <c r="L196" s="877"/>
      <c r="M196" s="4"/>
      <c r="N196" s="4"/>
      <c r="O196" s="4"/>
    </row>
    <row r="197" spans="1:15">
      <c r="M197" s="4"/>
      <c r="N197" s="4"/>
      <c r="O197" s="4"/>
    </row>
    <row r="198" spans="1:15">
      <c r="E198" s="6"/>
      <c r="M198" s="4"/>
      <c r="N198" s="4"/>
      <c r="O198" s="4"/>
    </row>
    <row r="199" spans="1:15">
      <c r="C199" s="761"/>
      <c r="D199" s="761"/>
      <c r="E199" s="761"/>
      <c r="F199" s="761"/>
      <c r="G199" s="292"/>
      <c r="H199" s="292"/>
      <c r="M199" s="4"/>
      <c r="N199" s="4"/>
      <c r="O199" s="4"/>
    </row>
    <row r="200" spans="1:15">
      <c r="C200" s="6"/>
      <c r="D200" s="6"/>
      <c r="E200" s="6"/>
      <c r="F200" s="6"/>
      <c r="M200" s="4"/>
      <c r="N200" s="4"/>
      <c r="O200" s="4"/>
    </row>
    <row r="201" spans="1:15">
      <c r="B201" s="6"/>
      <c r="C201" s="6"/>
      <c r="D201" s="6"/>
      <c r="E201" s="6"/>
      <c r="F201" s="6"/>
      <c r="M201" s="4"/>
      <c r="N201" s="4"/>
      <c r="O201" s="31"/>
    </row>
    <row r="202" spans="1:15">
      <c r="C202" s="6"/>
      <c r="D202" s="6"/>
      <c r="E202" s="6"/>
      <c r="F202" s="6"/>
      <c r="G202" s="6"/>
      <c r="H202" s="6"/>
      <c r="I202" s="6"/>
      <c r="J202" s="6"/>
      <c r="K202" s="6"/>
      <c r="L202" s="6"/>
      <c r="M202" s="31"/>
      <c r="N202" s="871"/>
      <c r="O202" s="31"/>
    </row>
    <row r="203" spans="1:15">
      <c r="A203" s="6"/>
      <c r="M203" s="4"/>
      <c r="N203" s="4"/>
      <c r="O203" s="877"/>
    </row>
    <row r="204" spans="1:15">
      <c r="A204" s="6"/>
      <c r="G204" s="6"/>
      <c r="M204" s="4"/>
      <c r="N204" s="4"/>
      <c r="O204" s="877"/>
    </row>
    <row r="205" spans="1:15">
      <c r="A205" s="167"/>
      <c r="G205" s="6"/>
      <c r="M205" s="4"/>
      <c r="N205" s="4"/>
      <c r="O205" s="877"/>
    </row>
    <row r="206" spans="1:15">
      <c r="A206" s="167"/>
      <c r="G206" s="6"/>
      <c r="M206" s="4"/>
      <c r="N206" s="4"/>
      <c r="O206" s="877"/>
    </row>
    <row r="207" spans="1:15" ht="14.25" customHeight="1">
      <c r="A207" s="167"/>
      <c r="G207" s="6"/>
      <c r="M207" s="4"/>
      <c r="N207" s="4"/>
      <c r="O207" s="877"/>
    </row>
    <row r="208" spans="1:15">
      <c r="A208" s="167"/>
      <c r="G208" s="6"/>
      <c r="M208" s="4"/>
      <c r="N208" s="4"/>
      <c r="O208" s="877"/>
    </row>
    <row r="209" spans="1:15">
      <c r="A209" s="167"/>
      <c r="G209" s="6"/>
      <c r="M209" s="4"/>
      <c r="N209" s="4"/>
      <c r="O209" s="877"/>
    </row>
    <row r="210" spans="1:15">
      <c r="A210" s="167"/>
      <c r="G210" s="6"/>
      <c r="M210" s="4"/>
      <c r="N210" s="4"/>
      <c r="O210" s="877"/>
    </row>
    <row r="211" spans="1:15">
      <c r="A211" s="167"/>
      <c r="G211" s="6"/>
      <c r="M211" s="4"/>
      <c r="N211" s="4"/>
      <c r="O211" s="877"/>
    </row>
    <row r="212" spans="1:15">
      <c r="A212" s="167"/>
      <c r="G212" s="6"/>
      <c r="M212" s="4"/>
      <c r="N212" s="4"/>
      <c r="O212" s="877"/>
    </row>
    <row r="213" spans="1:15">
      <c r="A213" s="167"/>
      <c r="G213" s="6"/>
      <c r="M213" s="4"/>
      <c r="N213" s="4"/>
      <c r="O213" s="877"/>
    </row>
    <row r="214" spans="1:15">
      <c r="A214" s="167"/>
      <c r="G214" s="6"/>
      <c r="M214" s="4"/>
      <c r="N214" s="4"/>
      <c r="O214" s="877"/>
    </row>
    <row r="215" spans="1:15">
      <c r="A215" s="167"/>
      <c r="G215" s="6"/>
      <c r="M215" s="4"/>
      <c r="N215" s="4"/>
      <c r="O215" s="877"/>
    </row>
    <row r="216" spans="1:15">
      <c r="A216" s="167"/>
      <c r="G216" s="6"/>
      <c r="M216" s="4"/>
      <c r="N216" s="4"/>
      <c r="O216" s="877"/>
    </row>
    <row r="217" spans="1:15">
      <c r="A217" s="167"/>
      <c r="G217" s="6"/>
      <c r="M217" s="4"/>
      <c r="N217" s="4"/>
      <c r="O217" s="877"/>
    </row>
    <row r="218" spans="1:15">
      <c r="A218" s="167"/>
      <c r="G218" s="6"/>
      <c r="M218" s="4"/>
      <c r="N218" s="4"/>
      <c r="O218" s="877"/>
    </row>
    <row r="219" spans="1:15">
      <c r="A219" s="167"/>
      <c r="G219" s="6"/>
      <c r="M219" s="4"/>
      <c r="N219" s="4"/>
      <c r="O219" s="877"/>
    </row>
    <row r="220" spans="1:15">
      <c r="A220" s="167"/>
      <c r="G220" s="6"/>
      <c r="M220" s="4"/>
      <c r="N220" s="4"/>
      <c r="O220" s="877"/>
    </row>
    <row r="221" spans="1:15">
      <c r="A221" s="167"/>
      <c r="G221" s="6"/>
      <c r="M221" s="4"/>
      <c r="N221" s="4"/>
      <c r="O221" s="877"/>
    </row>
    <row r="222" spans="1:15">
      <c r="A222" s="167"/>
      <c r="G222" s="6"/>
      <c r="M222" s="4"/>
      <c r="N222" s="4"/>
      <c r="O222" s="877"/>
    </row>
    <row r="223" spans="1:15">
      <c r="A223" s="167"/>
      <c r="G223" s="6"/>
      <c r="M223" s="4"/>
      <c r="N223" s="4"/>
      <c r="O223" s="31"/>
    </row>
    <row r="224" spans="1:15">
      <c r="A224" s="167"/>
      <c r="G224" s="6"/>
      <c r="M224" s="4"/>
      <c r="N224" s="4"/>
      <c r="O224" s="31"/>
    </row>
    <row r="225" spans="1:15">
      <c r="A225" s="167"/>
      <c r="G225" s="6"/>
      <c r="M225" s="4"/>
      <c r="N225" s="4"/>
      <c r="O225" s="31"/>
    </row>
    <row r="226" spans="1:15">
      <c r="A226" s="167"/>
      <c r="G226" s="6"/>
      <c r="H226" s="156"/>
      <c r="I226" s="156"/>
      <c r="J226" s="156"/>
      <c r="K226" s="156"/>
      <c r="M226" s="4"/>
      <c r="N226" s="4"/>
      <c r="O226" s="31"/>
    </row>
    <row r="227" spans="1:15">
      <c r="A227" s="167"/>
      <c r="G227" s="6"/>
      <c r="H227" s="31"/>
      <c r="I227" s="882"/>
      <c r="J227" s="882"/>
      <c r="K227" s="882"/>
      <c r="M227" s="4"/>
      <c r="N227" s="4"/>
      <c r="O227" s="31"/>
    </row>
    <row r="228" spans="1:15">
      <c r="A228" s="167"/>
      <c r="G228" s="6"/>
      <c r="H228" s="31"/>
      <c r="I228" s="228"/>
      <c r="J228" s="228"/>
      <c r="K228" s="228"/>
      <c r="M228" s="4"/>
      <c r="N228" s="4"/>
      <c r="O228" s="31"/>
    </row>
    <row r="229" spans="1:15">
      <c r="A229" s="167"/>
      <c r="G229" s="6"/>
      <c r="H229" s="31"/>
      <c r="I229" s="228"/>
      <c r="J229" s="228"/>
      <c r="K229" s="228"/>
      <c r="O229" s="6"/>
    </row>
    <row r="230" spans="1:15">
      <c r="A230" s="167"/>
      <c r="G230" s="31"/>
      <c r="H230" s="31"/>
      <c r="I230" s="288"/>
      <c r="J230" s="288"/>
      <c r="K230" s="288"/>
      <c r="O230" s="6"/>
    </row>
    <row r="231" spans="1:15">
      <c r="A231" s="167"/>
      <c r="G231" s="6"/>
      <c r="H231" s="31"/>
      <c r="I231" s="288"/>
      <c r="J231" s="288"/>
      <c r="K231" s="288"/>
      <c r="O231" s="6"/>
    </row>
    <row r="232" spans="1:15">
      <c r="A232" s="167"/>
      <c r="G232" s="6"/>
      <c r="H232" s="31"/>
      <c r="I232" s="288"/>
      <c r="J232" s="288"/>
      <c r="K232" s="288"/>
      <c r="O232" s="6"/>
    </row>
    <row r="233" spans="1:15">
      <c r="A233" s="167"/>
      <c r="G233" s="6"/>
      <c r="H233" s="31"/>
      <c r="I233" s="228"/>
      <c r="J233" s="228"/>
      <c r="K233" s="228"/>
      <c r="O233" s="6"/>
    </row>
    <row r="234" spans="1:15">
      <c r="A234" s="167"/>
      <c r="G234" s="6"/>
      <c r="H234" s="31"/>
      <c r="I234" s="228"/>
      <c r="J234" s="228"/>
      <c r="K234" s="228"/>
    </row>
    <row r="235" spans="1:15">
      <c r="A235" s="167"/>
      <c r="G235" s="6"/>
      <c r="H235" s="31"/>
      <c r="I235" s="228"/>
      <c r="J235" s="228"/>
      <c r="K235" s="228"/>
    </row>
    <row r="236" spans="1:15">
      <c r="A236" s="167"/>
      <c r="G236" s="6"/>
      <c r="H236" s="31"/>
      <c r="I236" s="228"/>
      <c r="J236" s="228"/>
      <c r="K236" s="228"/>
    </row>
    <row r="237" spans="1:15">
      <c r="A237" s="167"/>
      <c r="G237" s="6"/>
      <c r="H237" s="31"/>
      <c r="I237" s="228"/>
      <c r="J237" s="228"/>
      <c r="K237" s="228"/>
    </row>
    <row r="238" spans="1:15">
      <c r="A238" s="167"/>
      <c r="G238" s="6"/>
      <c r="H238" s="31"/>
      <c r="I238" s="228"/>
      <c r="J238" s="228"/>
      <c r="K238" s="228"/>
    </row>
    <row r="239" spans="1:15">
      <c r="A239" s="6"/>
      <c r="G239" s="6"/>
      <c r="J239" s="31"/>
      <c r="K239" s="289"/>
      <c r="L239" s="289"/>
      <c r="M239" s="289"/>
    </row>
    <row r="240" spans="1:15">
      <c r="A240" s="6"/>
      <c r="C240" s="6"/>
      <c r="G240" s="6"/>
      <c r="J240" s="31"/>
      <c r="K240" s="228"/>
      <c r="L240" s="228"/>
      <c r="M240" s="228"/>
    </row>
    <row r="241" spans="1:9">
      <c r="A241" s="6"/>
    </row>
    <row r="242" spans="1:9">
      <c r="A242" s="6"/>
    </row>
    <row r="243" spans="1:9">
      <c r="A243" s="6"/>
      <c r="I243" s="273"/>
    </row>
    <row r="244" spans="1:9">
      <c r="A244" s="6"/>
    </row>
    <row r="245" spans="1:9">
      <c r="A245" s="6"/>
    </row>
    <row r="246" spans="1:9">
      <c r="A246" s="6"/>
    </row>
    <row r="247" spans="1:9">
      <c r="A247" s="6"/>
    </row>
    <row r="248" spans="1:9">
      <c r="A248" s="31"/>
      <c r="B248" s="31"/>
      <c r="C248" s="4"/>
    </row>
    <row r="249" spans="1:9">
      <c r="A249" s="31"/>
      <c r="B249" s="31"/>
      <c r="C249" s="4"/>
    </row>
    <row r="250" spans="1:9" ht="18" customHeight="1">
      <c r="A250" s="889"/>
      <c r="B250" s="890"/>
      <c r="C250" s="4"/>
    </row>
    <row r="251" spans="1:9" ht="18" customHeight="1">
      <c r="A251" s="887"/>
      <c r="B251" s="888"/>
      <c r="C251" s="4"/>
    </row>
    <row r="252" spans="1:9" ht="18" customHeight="1">
      <c r="A252" s="887"/>
      <c r="B252" s="888"/>
      <c r="C252" s="4"/>
    </row>
    <row r="253" spans="1:9" ht="18" customHeight="1">
      <c r="A253" s="887"/>
      <c r="B253" s="888"/>
      <c r="C253" s="4"/>
    </row>
    <row r="254" spans="1:9" ht="18" customHeight="1">
      <c r="A254" s="887"/>
      <c r="B254" s="888"/>
      <c r="C254" s="4"/>
    </row>
    <row r="255" spans="1:9" ht="18" customHeight="1">
      <c r="A255" s="887"/>
      <c r="B255" s="888"/>
      <c r="C255" s="4"/>
    </row>
    <row r="256" spans="1:9" ht="18" customHeight="1">
      <c r="A256" s="887"/>
      <c r="B256" s="888"/>
      <c r="C256" s="4"/>
    </row>
    <row r="257" spans="1:3" ht="18" customHeight="1">
      <c r="A257" s="887"/>
      <c r="B257" s="888"/>
      <c r="C257" s="4"/>
    </row>
    <row r="258" spans="1:3" ht="18" customHeight="1">
      <c r="A258" s="887"/>
      <c r="B258" s="888"/>
      <c r="C258" s="4"/>
    </row>
    <row r="259" spans="1:3" ht="23.25" customHeight="1">
      <c r="A259" s="887"/>
      <c r="B259" s="888"/>
      <c r="C259" s="4"/>
    </row>
    <row r="260" spans="1:3" ht="18" customHeight="1">
      <c r="A260" s="887"/>
      <c r="B260" s="891"/>
      <c r="C260" s="4"/>
    </row>
    <row r="261" spans="1:3" ht="18" customHeight="1">
      <c r="A261" s="887"/>
      <c r="B261" s="891"/>
      <c r="C261" s="4"/>
    </row>
    <row r="262" spans="1:3" ht="25.5" customHeight="1">
      <c r="A262" s="887"/>
      <c r="B262" s="891"/>
      <c r="C262" s="4"/>
    </row>
    <row r="263" spans="1:3" ht="18" customHeight="1">
      <c r="A263" s="887"/>
      <c r="B263" s="888"/>
      <c r="C263" s="4"/>
    </row>
    <row r="264" spans="1:3" ht="18" customHeight="1">
      <c r="A264" s="887"/>
      <c r="B264" s="888"/>
      <c r="C264" s="4"/>
    </row>
    <row r="265" spans="1:3" ht="24" customHeight="1">
      <c r="A265" s="887"/>
      <c r="B265" s="888"/>
      <c r="C265" s="4"/>
    </row>
    <row r="266" spans="1:3" ht="18" customHeight="1">
      <c r="A266" s="887"/>
      <c r="B266" s="888"/>
      <c r="C266" s="4"/>
    </row>
    <row r="267" spans="1:3" ht="18" customHeight="1">
      <c r="A267" s="887"/>
      <c r="B267" s="888"/>
      <c r="C267" s="4"/>
    </row>
    <row r="268" spans="1:3" ht="27.75" customHeight="1">
      <c r="A268" s="887"/>
      <c r="B268" s="888"/>
      <c r="C268" s="4"/>
    </row>
    <row r="269" spans="1:3" ht="18" customHeight="1">
      <c r="A269" s="887"/>
      <c r="B269" s="888"/>
      <c r="C269" s="4"/>
    </row>
    <row r="270" spans="1:3" ht="18" customHeight="1">
      <c r="A270" s="887"/>
      <c r="B270" s="888"/>
      <c r="C270" s="4"/>
    </row>
    <row r="271" spans="1:3" ht="27" customHeight="1">
      <c r="A271" s="887"/>
      <c r="B271" s="888"/>
      <c r="C271" s="4"/>
    </row>
    <row r="272" spans="1:3" ht="18" customHeight="1">
      <c r="A272" s="887"/>
      <c r="B272" s="888"/>
      <c r="C272" s="4"/>
    </row>
    <row r="273" spans="1:3" ht="18" customHeight="1">
      <c r="A273" s="887"/>
      <c r="B273" s="888"/>
      <c r="C273" s="4"/>
    </row>
    <row r="274" spans="1:3" ht="24" customHeight="1">
      <c r="A274" s="887"/>
      <c r="B274" s="888"/>
      <c r="C274" s="4"/>
    </row>
    <row r="275" spans="1:3" ht="18" customHeight="1">
      <c r="A275" s="887"/>
      <c r="B275" s="888"/>
      <c r="C275" s="4"/>
    </row>
    <row r="276" spans="1:3" ht="18" customHeight="1">
      <c r="A276" s="887"/>
      <c r="B276" s="888"/>
      <c r="C276" s="4"/>
    </row>
    <row r="277" spans="1:3" ht="27.75" customHeight="1">
      <c r="A277" s="887"/>
      <c r="B277" s="888"/>
      <c r="C277" s="4"/>
    </row>
    <row r="278" spans="1:3">
      <c r="A278" s="31"/>
      <c r="B278" s="31"/>
      <c r="C278" s="4"/>
    </row>
    <row r="279" spans="1:3">
      <c r="A279" s="31"/>
      <c r="B279" s="31"/>
      <c r="C279" s="4"/>
    </row>
    <row r="280" spans="1:3">
      <c r="A280" s="31"/>
      <c r="B280" s="31"/>
      <c r="C280" s="4"/>
    </row>
    <row r="281" spans="1:3">
      <c r="A281" s="31"/>
      <c r="B281" s="31"/>
      <c r="C281" s="4"/>
    </row>
    <row r="282" spans="1:3">
      <c r="A282" s="31"/>
      <c r="B282" s="31"/>
      <c r="C282" s="4"/>
    </row>
    <row r="283" spans="1:3">
      <c r="A283" s="31"/>
      <c r="B283" s="31"/>
      <c r="C283" s="4"/>
    </row>
    <row r="284" spans="1:3">
      <c r="A284" s="31"/>
      <c r="B284" s="31"/>
      <c r="C284" s="4"/>
    </row>
    <row r="285" spans="1:3">
      <c r="A285" s="31"/>
      <c r="B285" s="31"/>
      <c r="C285" s="4"/>
    </row>
    <row r="286" spans="1:3">
      <c r="A286" s="31"/>
      <c r="B286" s="31"/>
      <c r="C286" s="4"/>
    </row>
    <row r="287" spans="1:3">
      <c r="A287" s="31"/>
      <c r="B287" s="31"/>
      <c r="C287" s="4"/>
    </row>
    <row r="288" spans="1:3">
      <c r="A288" s="31"/>
      <c r="B288" s="31"/>
      <c r="C288" s="4"/>
    </row>
    <row r="289" spans="1:3">
      <c r="A289" s="31"/>
      <c r="B289" s="31"/>
      <c r="C289" s="4"/>
    </row>
    <row r="290" spans="1:3">
      <c r="A290" s="31"/>
      <c r="B290" s="31"/>
      <c r="C290" s="4"/>
    </row>
    <row r="291" spans="1:3" ht="15" customHeight="1">
      <c r="A291" s="31"/>
      <c r="B291" s="31"/>
      <c r="C291" s="4"/>
    </row>
    <row r="292" spans="1:3">
      <c r="A292" s="31"/>
      <c r="B292" s="31"/>
      <c r="C292" s="4"/>
    </row>
    <row r="293" spans="1:3">
      <c r="A293" s="31"/>
      <c r="B293" s="31"/>
      <c r="C293" s="4"/>
    </row>
    <row r="294" spans="1:3">
      <c r="A294" s="31"/>
      <c r="B294" s="31"/>
      <c r="C294" s="4"/>
    </row>
    <row r="295" spans="1:3">
      <c r="A295" s="31"/>
      <c r="B295" s="31"/>
      <c r="C295" s="4"/>
    </row>
    <row r="296" spans="1:3">
      <c r="A296" s="31"/>
      <c r="B296" s="31"/>
      <c r="C296" s="4"/>
    </row>
    <row r="297" spans="1:3">
      <c r="A297" s="31"/>
      <c r="B297" s="31"/>
      <c r="C297" s="4"/>
    </row>
    <row r="298" spans="1:3">
      <c r="A298" s="31"/>
      <c r="B298" s="31"/>
      <c r="C298" s="4"/>
    </row>
    <row r="299" spans="1:3">
      <c r="A299" s="31"/>
      <c r="B299" s="31"/>
      <c r="C299" s="4"/>
    </row>
    <row r="300" spans="1:3">
      <c r="A300" s="31"/>
      <c r="B300" s="31"/>
      <c r="C300" s="4"/>
    </row>
    <row r="301" spans="1:3">
      <c r="A301" s="31"/>
      <c r="B301" s="31"/>
      <c r="C301" s="4"/>
    </row>
    <row r="302" spans="1:3">
      <c r="A302" s="4"/>
      <c r="B302" s="4"/>
      <c r="C302" s="4"/>
    </row>
    <row r="303" spans="1:3">
      <c r="A303" s="4"/>
      <c r="B303" s="4"/>
      <c r="C303" s="4"/>
    </row>
    <row r="304" spans="1:3">
      <c r="A304" s="4"/>
      <c r="B304" s="4"/>
      <c r="C304" s="4"/>
    </row>
    <row r="305" spans="1:24">
      <c r="A305" s="4"/>
      <c r="B305" s="4"/>
      <c r="C305" s="4"/>
    </row>
    <row r="306" spans="1:24">
      <c r="A306" s="4"/>
      <c r="B306" s="4"/>
      <c r="C306" s="4"/>
    </row>
    <row r="307" spans="1:24">
      <c r="A307" s="4"/>
      <c r="B307" s="4"/>
      <c r="C307" s="4"/>
    </row>
    <row r="308" spans="1:24">
      <c r="A308" s="4"/>
      <c r="B308" s="4"/>
      <c r="C308" s="4"/>
    </row>
    <row r="318" spans="1:24">
      <c r="X318" s="24"/>
    </row>
    <row r="319" spans="1:24">
      <c r="X319" s="24"/>
    </row>
    <row r="320" spans="1:24">
      <c r="X320" s="24"/>
    </row>
    <row r="321" spans="24:24">
      <c r="X321" s="24"/>
    </row>
    <row r="322" spans="24:24">
      <c r="X322" s="24"/>
    </row>
    <row r="323" spans="24:24">
      <c r="X323" s="24"/>
    </row>
    <row r="324" spans="24:24">
      <c r="X324" s="24"/>
    </row>
    <row r="325" spans="24:24">
      <c r="X325" s="24"/>
    </row>
    <row r="326" spans="24:24">
      <c r="X326" s="24"/>
    </row>
    <row r="327" spans="24:24">
      <c r="X327" s="24"/>
    </row>
    <row r="328" spans="24:24">
      <c r="X328" s="24"/>
    </row>
    <row r="329" spans="24:24">
      <c r="X329" s="24"/>
    </row>
    <row r="330" spans="24:24">
      <c r="X330" s="24"/>
    </row>
    <row r="331" spans="24:24">
      <c r="X331" s="24"/>
    </row>
    <row r="332" spans="24:24">
      <c r="X332" s="24"/>
    </row>
    <row r="333" spans="24:24">
      <c r="X333" s="24"/>
    </row>
  </sheetData>
  <mergeCells count="91">
    <mergeCell ref="AO5:AO7"/>
    <mergeCell ref="AW6:AW7"/>
    <mergeCell ref="AX6:AX7"/>
    <mergeCell ref="AY6:AY7"/>
    <mergeCell ref="AZ6:AZ7"/>
    <mergeCell ref="AQ6:AQ7"/>
    <mergeCell ref="AS6:AS7"/>
    <mergeCell ref="AT6:AT7"/>
    <mergeCell ref="AU6:AU7"/>
    <mergeCell ref="BA6:BA7"/>
    <mergeCell ref="AP5:AS5"/>
    <mergeCell ref="AT5:AW5"/>
    <mergeCell ref="AX5:BA5"/>
    <mergeCell ref="AV6:AV7"/>
    <mergeCell ref="AR6:AR7"/>
    <mergeCell ref="AP6:AP7"/>
    <mergeCell ref="B76:E76"/>
    <mergeCell ref="BI22:BR22"/>
    <mergeCell ref="B58:E58"/>
    <mergeCell ref="B63:E63"/>
    <mergeCell ref="P32:S32"/>
    <mergeCell ref="P36:S36"/>
    <mergeCell ref="AC22:AL22"/>
    <mergeCell ref="AD23:AF23"/>
    <mergeCell ref="AG23:AI23"/>
    <mergeCell ref="AJ23:AL23"/>
    <mergeCell ref="AO27:AX27"/>
    <mergeCell ref="AV28:AX28"/>
    <mergeCell ref="AS28:AU28"/>
    <mergeCell ref="AP28:AR28"/>
    <mergeCell ref="AC32:AK32"/>
    <mergeCell ref="AD33:AE33"/>
    <mergeCell ref="P40:S40"/>
    <mergeCell ref="B56:E56"/>
    <mergeCell ref="P14:S14"/>
    <mergeCell ref="B69:E69"/>
    <mergeCell ref="B71:E71"/>
    <mergeCell ref="AF33:AH33"/>
    <mergeCell ref="AI33:AK33"/>
    <mergeCell ref="B34:E34"/>
    <mergeCell ref="B38:E38"/>
    <mergeCell ref="B1:E1"/>
    <mergeCell ref="W34:Z34"/>
    <mergeCell ref="AC12:AL12"/>
    <mergeCell ref="AD13:AF13"/>
    <mergeCell ref="P28:S28"/>
    <mergeCell ref="AG13:AI13"/>
    <mergeCell ref="AJ13:AL13"/>
    <mergeCell ref="W33:Z33"/>
    <mergeCell ref="P19:S19"/>
    <mergeCell ref="P26:S26"/>
    <mergeCell ref="P2:S2"/>
    <mergeCell ref="P4:S4"/>
    <mergeCell ref="CG16:CH16"/>
    <mergeCell ref="CD26:CH26"/>
    <mergeCell ref="AO28:AO29"/>
    <mergeCell ref="B28:E28"/>
    <mergeCell ref="K1:N1"/>
    <mergeCell ref="W11:Y11"/>
    <mergeCell ref="W4:Z4"/>
    <mergeCell ref="K2:N2"/>
    <mergeCell ref="K10:N10"/>
    <mergeCell ref="B2:E2"/>
    <mergeCell ref="B10:E10"/>
    <mergeCell ref="W19:Y19"/>
    <mergeCell ref="W26:Z26"/>
    <mergeCell ref="P9:S9"/>
    <mergeCell ref="AC4:AF4"/>
    <mergeCell ref="AO4:BA4"/>
    <mergeCell ref="BU3:CA3"/>
    <mergeCell ref="BP4:BR4"/>
    <mergeCell ref="BI3:BR3"/>
    <mergeCell ref="CE27:CF27"/>
    <mergeCell ref="CD3:CH3"/>
    <mergeCell ref="CD4:CH4"/>
    <mergeCell ref="CE5:CF5"/>
    <mergeCell ref="CG5:CH5"/>
    <mergeCell ref="BJ4:BL4"/>
    <mergeCell ref="BM4:BO4"/>
    <mergeCell ref="BV4:BW4"/>
    <mergeCell ref="BX4:BY4"/>
    <mergeCell ref="BC27:BL27"/>
    <mergeCell ref="CG27:CH27"/>
    <mergeCell ref="CD15:CH15"/>
    <mergeCell ref="CE16:CF16"/>
    <mergeCell ref="BD28:BF28"/>
    <mergeCell ref="BG28:BI28"/>
    <mergeCell ref="BJ28:BL28"/>
    <mergeCell ref="BC46:BL46"/>
    <mergeCell ref="BZ4:CA4"/>
    <mergeCell ref="BC4:BF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81"/>
  <sheetViews>
    <sheetView topLeftCell="A11" zoomScale="90" zoomScaleNormal="90" zoomScalePageLayoutView="90" workbookViewId="0">
      <selection activeCell="K11" sqref="K11"/>
    </sheetView>
  </sheetViews>
  <sheetFormatPr defaultColWidth="8.85546875" defaultRowHeight="15"/>
  <cols>
    <col min="1" max="1" width="12" customWidth="1"/>
    <col min="2" max="2" width="12.7109375" bestFit="1" customWidth="1"/>
    <col min="3" max="3" width="11.28515625" customWidth="1"/>
    <col min="4" max="4" width="12.7109375" customWidth="1"/>
    <col min="6" max="6" width="11.140625" bestFit="1" customWidth="1"/>
    <col min="8" max="8" width="11.42578125" bestFit="1" customWidth="1"/>
    <col min="10" max="10" width="12.42578125" bestFit="1" customWidth="1"/>
    <col min="11" max="11" width="11.140625" bestFit="1" customWidth="1"/>
    <col min="12" max="12" width="9.42578125" bestFit="1" customWidth="1"/>
    <col min="15" max="15" width="9.7109375" bestFit="1" customWidth="1"/>
    <col min="16" max="16" width="11.140625" bestFit="1" customWidth="1"/>
  </cols>
  <sheetData>
    <row r="1" spans="1:20" ht="28.5">
      <c r="A1" s="335"/>
      <c r="B1" s="471" t="s">
        <v>239</v>
      </c>
      <c r="C1" s="471" t="s">
        <v>833</v>
      </c>
      <c r="D1" s="471" t="s">
        <v>266</v>
      </c>
      <c r="E1" s="54"/>
      <c r="F1" s="471" t="str">
        <f>B1</f>
        <v>NBIM</v>
      </c>
      <c r="G1" s="471" t="str">
        <f>C1</f>
        <v>APG</v>
      </c>
      <c r="H1" s="471" t="str">
        <f>D1</f>
        <v>CPPIB</v>
      </c>
      <c r="I1" s="54"/>
      <c r="J1" s="336"/>
      <c r="K1" s="471" t="str">
        <f>F1</f>
        <v>NBIM</v>
      </c>
      <c r="L1" s="471" t="str">
        <f>G1</f>
        <v>APG</v>
      </c>
      <c r="M1" s="471" t="str">
        <f>H1</f>
        <v>CPPIB</v>
      </c>
      <c r="N1" s="54"/>
      <c r="O1" s="336"/>
      <c r="P1" s="471" t="str">
        <f>K1</f>
        <v>NBIM</v>
      </c>
      <c r="Q1" s="471" t="str">
        <f>L1</f>
        <v>APG</v>
      </c>
      <c r="R1" s="471" t="str">
        <f>M1</f>
        <v>CPPIB</v>
      </c>
    </row>
    <row r="2" spans="1:20">
      <c r="A2" s="337" t="s">
        <v>226</v>
      </c>
      <c r="B2" s="925" t="s">
        <v>473</v>
      </c>
      <c r="C2" s="925"/>
      <c r="D2" s="925"/>
      <c r="F2" s="925" t="s">
        <v>474</v>
      </c>
      <c r="G2" s="925"/>
      <c r="H2" s="925"/>
      <c r="J2" s="337"/>
      <c r="K2" s="925" t="s">
        <v>475</v>
      </c>
      <c r="L2" s="925"/>
      <c r="M2" s="925"/>
      <c r="O2" s="925" t="s">
        <v>631</v>
      </c>
      <c r="P2" s="925"/>
      <c r="Q2" s="925"/>
      <c r="R2" s="925"/>
    </row>
    <row r="3" spans="1:20">
      <c r="A3" s="337" t="str">
        <f>USD!Y4</f>
        <v>1Q1998</v>
      </c>
      <c r="B3" s="44">
        <v>0</v>
      </c>
      <c r="C3">
        <v>0</v>
      </c>
      <c r="D3">
        <v>0</v>
      </c>
      <c r="F3" s="25">
        <v>0</v>
      </c>
      <c r="G3">
        <f>Returns!M4-C3</f>
        <v>0</v>
      </c>
      <c r="H3">
        <f>Returns!U4</f>
        <v>0</v>
      </c>
      <c r="J3" s="337" t="s">
        <v>476</v>
      </c>
      <c r="K3" s="98">
        <f>_xlfn.STDEV.S(F35:F78)</f>
        <v>1.9249035368833364E-2</v>
      </c>
      <c r="L3" s="98">
        <f>_xlfn.STDEV.S(G35:G78)</f>
        <v>3.4901080942742663E-2</v>
      </c>
      <c r="M3" s="98">
        <f>_xlfn.STDEV.S(H35:H78)</f>
        <v>2.3732707586128696E-2</v>
      </c>
      <c r="O3" s="336" t="s">
        <v>476</v>
      </c>
      <c r="P3" s="172">
        <f>AVERAGE(F35:F74)</f>
        <v>2.4802182432054772E-3</v>
      </c>
      <c r="Q3" s="172">
        <f>AVERAGE(G35:G74)</f>
        <v>5.7239899583829811E-3</v>
      </c>
      <c r="R3" s="172">
        <f>AVERAGE(H35:H74)</f>
        <v>3.0963461990564855E-3</v>
      </c>
    </row>
    <row r="4" spans="1:20">
      <c r="A4" s="337" t="str">
        <f>USD!Y5</f>
        <v>2Q1998</v>
      </c>
      <c r="B4" s="44">
        <v>0</v>
      </c>
      <c r="C4">
        <v>0</v>
      </c>
      <c r="D4">
        <v>0</v>
      </c>
      <c r="F4" s="25">
        <v>0</v>
      </c>
      <c r="G4">
        <f>Returns!M5-C4</f>
        <v>0</v>
      </c>
      <c r="H4">
        <f>Returns!U5</f>
        <v>0</v>
      </c>
      <c r="J4" s="337" t="s">
        <v>478</v>
      </c>
      <c r="K4" s="98">
        <f>_xlfn.STDEV.S(F35:F54)</f>
        <v>2.3802431119797962E-2</v>
      </c>
      <c r="L4" s="98">
        <f>_xlfn.STDEV.S(G35:G54)</f>
        <v>4.3022165965246953E-2</v>
      </c>
      <c r="M4" s="98">
        <f>_xlfn.STDEV.S(H35:H54)</f>
        <v>2.7573710089729465E-2</v>
      </c>
      <c r="O4" s="336" t="s">
        <v>478</v>
      </c>
      <c r="P4" s="172">
        <f>AVERAGE(F35:F54)</f>
        <v>6.7942086961032978E-3</v>
      </c>
      <c r="Q4" s="172">
        <f>AVERAGE(G35:G54)</f>
        <v>7.8875947093648788E-3</v>
      </c>
      <c r="R4" s="172">
        <f>AVERAGE(H35:H54)</f>
        <v>6.4846263853284751E-3</v>
      </c>
    </row>
    <row r="5" spans="1:20">
      <c r="A5" s="337" t="str">
        <f>USD!Y6</f>
        <v>3Q1998</v>
      </c>
      <c r="B5" s="44">
        <v>0</v>
      </c>
      <c r="C5">
        <v>0</v>
      </c>
      <c r="D5">
        <v>0</v>
      </c>
      <c r="F5" s="25">
        <v>0</v>
      </c>
      <c r="G5">
        <f>Returns!M6-C5</f>
        <v>0</v>
      </c>
      <c r="H5">
        <f>Returns!U6</f>
        <v>0</v>
      </c>
      <c r="J5" s="337" t="s">
        <v>477</v>
      </c>
      <c r="K5" s="98">
        <f>_xlfn.STDEV.S(F55:F78)</f>
        <v>1.3471287192025025E-2</v>
      </c>
      <c r="L5" s="98">
        <f>_xlfn.STDEV.S(G55:G78)</f>
        <v>2.7121074591821281E-2</v>
      </c>
      <c r="M5" s="98">
        <f>_xlfn.STDEV.S(H55:H78)</f>
        <v>2.006444262984752E-2</v>
      </c>
      <c r="O5" s="336" t="s">
        <v>477</v>
      </c>
      <c r="P5" s="172">
        <f>AVERAGE(F55:F74)</f>
        <v>-1.833772209692346E-3</v>
      </c>
      <c r="Q5" s="172">
        <f>AVERAGE(G55:G74)</f>
        <v>3.560385207401086E-3</v>
      </c>
      <c r="R5" s="172">
        <f>AVERAGE(H55:H74)</f>
        <v>-2.9193398721550181E-4</v>
      </c>
    </row>
    <row r="6" spans="1:20">
      <c r="A6" s="337" t="str">
        <f>USD!Y7</f>
        <v>4Q1998</v>
      </c>
      <c r="B6" s="44">
        <v>0</v>
      </c>
      <c r="C6" s="4">
        <v>0</v>
      </c>
      <c r="D6">
        <v>0</v>
      </c>
      <c r="F6" s="25">
        <v>0</v>
      </c>
      <c r="G6">
        <f>Returns!M7-C6</f>
        <v>0</v>
      </c>
      <c r="H6">
        <f>Returns!U7</f>
        <v>0</v>
      </c>
      <c r="J6" s="337">
        <v>2006</v>
      </c>
      <c r="K6" s="98">
        <f>_xlfn.STDEV.S(F35:F38)</f>
        <v>6.9288152613990166E-3</v>
      </c>
      <c r="L6" s="98">
        <f>_xlfn.STDEV.S(G35:G38)</f>
        <v>1.8165247608735894E-2</v>
      </c>
      <c r="M6" s="98">
        <f>_xlfn.STDEV.S(H35:H38)</f>
        <v>1.5431956617788286E-2</v>
      </c>
      <c r="O6" s="336">
        <v>2006</v>
      </c>
      <c r="P6" s="172">
        <f>AVERAGE(F35:F38)</f>
        <v>1.9942165927102795E-2</v>
      </c>
      <c r="Q6" s="172">
        <f>AVERAGE(G35:G38)</f>
        <v>3.6761113725576972E-2</v>
      </c>
      <c r="R6" s="172">
        <f>AVERAGE(H35:H38)</f>
        <v>6.5714849324946482E-3</v>
      </c>
      <c r="S6" s="24"/>
      <c r="T6" s="24"/>
    </row>
    <row r="7" spans="1:20">
      <c r="A7" s="337" t="str">
        <f>USD!Y8</f>
        <v>1Q1999</v>
      </c>
      <c r="B7" s="44">
        <v>0</v>
      </c>
      <c r="C7" s="31">
        <v>0</v>
      </c>
      <c r="D7">
        <v>0</v>
      </c>
      <c r="F7" s="25">
        <v>0</v>
      </c>
      <c r="G7">
        <v>0</v>
      </c>
      <c r="H7">
        <v>0</v>
      </c>
      <c r="J7" s="337">
        <v>2007</v>
      </c>
      <c r="K7" s="98">
        <f>_xlfn.STDEV.S(F39:F42)</f>
        <v>7.8046803772022309E-3</v>
      </c>
      <c r="L7" s="98">
        <f>_xlfn.STDEV.S(G39:G42)</f>
        <v>2.0412711723096669E-2</v>
      </c>
      <c r="M7" s="98">
        <f>_xlfn.STDEV.S(H39:H42)</f>
        <v>1.8398557590334767E-2</v>
      </c>
      <c r="O7" s="336">
        <v>2007</v>
      </c>
      <c r="P7" s="172">
        <f>AVERAGE(F39:F42)</f>
        <v>1.268626153806475E-2</v>
      </c>
      <c r="Q7" s="172">
        <f>AVERAGE(G39:G42)</f>
        <v>2.2647127333949576E-2</v>
      </c>
      <c r="R7" s="172">
        <f>AVERAGE(H39:H42)</f>
        <v>3.3126666437946789E-2</v>
      </c>
      <c r="S7" s="24"/>
      <c r="T7" s="24"/>
    </row>
    <row r="8" spans="1:20">
      <c r="A8" s="337" t="str">
        <f>USD!Y9</f>
        <v>2Q1999</v>
      </c>
      <c r="B8" s="44">
        <v>0</v>
      </c>
      <c r="C8" s="31">
        <v>0</v>
      </c>
      <c r="D8">
        <v>0</v>
      </c>
      <c r="F8" s="25">
        <v>0</v>
      </c>
      <c r="G8">
        <v>0</v>
      </c>
      <c r="H8">
        <v>0</v>
      </c>
      <c r="J8" s="337">
        <v>2008</v>
      </c>
      <c r="K8" s="98">
        <f>_xlfn.STDEV.S(F43:F46)</f>
        <v>2.5672385754309791E-2</v>
      </c>
      <c r="L8" s="98">
        <f>_xlfn.STDEV.S(G43:G46)</f>
        <v>5.7288160706062498E-2</v>
      </c>
      <c r="M8" s="98">
        <f>_xlfn.STDEV.S(H43:H46)</f>
        <v>4.8038583051189979E-2</v>
      </c>
      <c r="O8" s="336">
        <v>2008</v>
      </c>
      <c r="P8" s="172">
        <f>AVERAGE(F43:F46)</f>
        <v>-1.077745318703377E-2</v>
      </c>
      <c r="Q8" s="172">
        <f>AVERAGE(G43:G46)</f>
        <v>-1.7587323881352944E-2</v>
      </c>
      <c r="R8" s="172">
        <f>AVERAGE(H43:H46)</f>
        <v>-1.4959947513993285E-2</v>
      </c>
      <c r="S8" s="24"/>
      <c r="T8" s="24"/>
    </row>
    <row r="9" spans="1:20">
      <c r="A9" s="337" t="str">
        <f>USD!Y10</f>
        <v>3Q1999</v>
      </c>
      <c r="B9" s="44">
        <v>0</v>
      </c>
      <c r="C9" s="31">
        <v>0</v>
      </c>
      <c r="D9">
        <v>0</v>
      </c>
      <c r="F9" s="25">
        <v>0</v>
      </c>
      <c r="G9" s="4">
        <v>0</v>
      </c>
      <c r="H9">
        <v>0</v>
      </c>
      <c r="J9" s="337">
        <v>2009</v>
      </c>
      <c r="K9" s="98">
        <f>_xlfn.STDEV.S(F47:F50)</f>
        <v>2.9287125895644181E-2</v>
      </c>
      <c r="L9" s="98">
        <f>_xlfn.STDEV.S(G47:G50)</f>
        <v>3.0628846659993048E-2</v>
      </c>
      <c r="M9" s="98">
        <f>_xlfn.STDEV.S(H47:H50)</f>
        <v>1.6198576551975038E-2</v>
      </c>
      <c r="O9" s="336">
        <v>2009</v>
      </c>
      <c r="P9" s="172">
        <f>AVERAGE(F47:F50)</f>
        <v>1.6556048489938271E-2</v>
      </c>
      <c r="Q9" s="172">
        <f>AVERAGE(G47:G50)</f>
        <v>7.7002070419236951E-3</v>
      </c>
      <c r="R9" s="172">
        <f>AVERAGE(H47:H50)</f>
        <v>1.6901658034976889E-3</v>
      </c>
      <c r="S9" s="24"/>
      <c r="T9" s="24"/>
    </row>
    <row r="10" spans="1:20">
      <c r="A10" s="337" t="str">
        <f>USD!Y11</f>
        <v>4Q1999</v>
      </c>
      <c r="B10" s="44">
        <v>0</v>
      </c>
      <c r="C10" s="31">
        <v>0</v>
      </c>
      <c r="D10">
        <v>0</v>
      </c>
      <c r="F10" s="25">
        <v>0</v>
      </c>
      <c r="G10" s="105">
        <v>0</v>
      </c>
      <c r="H10">
        <v>0</v>
      </c>
      <c r="J10" s="337">
        <v>2010</v>
      </c>
      <c r="K10" s="98">
        <f>_xlfn.STDEV.S(F51:F54)</f>
        <v>3.1285443066043216E-2</v>
      </c>
      <c r="L10" s="98">
        <f>_xlfn.STDEV.S(G51:G54)</f>
        <v>6.3700266634288058E-2</v>
      </c>
      <c r="M10" s="98">
        <f>_xlfn.STDEV.S(H51:H54)</f>
        <v>8.8320623761266211E-3</v>
      </c>
      <c r="O10" s="336">
        <v>2010</v>
      </c>
      <c r="P10" s="172">
        <f>AVERAGE(F51:F54)</f>
        <v>-4.4359792875555571E-3</v>
      </c>
      <c r="Q10" s="172">
        <f>AVERAGE(G51:G54)</f>
        <v>-1.0083150673272912E-2</v>
      </c>
      <c r="R10" s="172">
        <f>AVERAGE(H51:H54)</f>
        <v>5.9947622666965466E-3</v>
      </c>
      <c r="S10" s="24"/>
      <c r="T10" s="24"/>
    </row>
    <row r="11" spans="1:20">
      <c r="A11" s="337" t="str">
        <f>USD!Y12</f>
        <v>1Q2000</v>
      </c>
      <c r="B11" s="44">
        <v>0</v>
      </c>
      <c r="C11" s="31">
        <v>0</v>
      </c>
      <c r="D11">
        <v>0</v>
      </c>
      <c r="F11" s="25">
        <v>0</v>
      </c>
      <c r="G11" s="105">
        <v>0</v>
      </c>
      <c r="H11">
        <v>0</v>
      </c>
      <c r="J11" s="337">
        <v>2011</v>
      </c>
      <c r="K11" s="98">
        <f>_xlfn.STDEV.S(F55:F58)</f>
        <v>1.4129296813340795E-2</v>
      </c>
      <c r="L11" s="98">
        <f>_xlfn.STDEV.S(G55:G58)</f>
        <v>3.0353148372901297E-2</v>
      </c>
      <c r="M11" s="98">
        <f>_xlfn.STDEV.S(H55:H58)</f>
        <v>2.271265493510586E-2</v>
      </c>
      <c r="O11" s="336">
        <v>2011</v>
      </c>
      <c r="P11" s="172">
        <f>AVERAGE(F55:F58)</f>
        <v>-7.1628666376524069E-4</v>
      </c>
      <c r="Q11" s="172">
        <f>AVERAGE(G55:G58)</f>
        <v>9.20380111256895E-3</v>
      </c>
      <c r="R11" s="172">
        <f>AVERAGE(H55:H58)</f>
        <v>1.7380998147403508E-2</v>
      </c>
      <c r="S11" s="24"/>
      <c r="T11" s="24"/>
    </row>
    <row r="12" spans="1:20">
      <c r="A12" s="392" t="str">
        <f>USD!Y13</f>
        <v>2Q2000</v>
      </c>
      <c r="B12" s="67">
        <v>0</v>
      </c>
      <c r="C12" s="30">
        <v>0</v>
      </c>
      <c r="D12">
        <v>0</v>
      </c>
      <c r="F12" s="20">
        <v>0</v>
      </c>
      <c r="G12" s="67">
        <v>0</v>
      </c>
      <c r="H12">
        <v>0</v>
      </c>
      <c r="J12" s="337">
        <v>2012</v>
      </c>
      <c r="K12" s="98">
        <f>_xlfn.STDEV.S(F59:F62)</f>
        <v>1.7125266213562737E-2</v>
      </c>
      <c r="L12" s="98">
        <f>_xlfn.STDEV.S(G59:G62)</f>
        <v>2.8607570348832202E-2</v>
      </c>
      <c r="M12" s="98">
        <f>_xlfn.STDEV.S(H59:H62)</f>
        <v>1.3211692158651533E-2</v>
      </c>
      <c r="O12" s="336">
        <v>2012</v>
      </c>
      <c r="P12" s="172">
        <f>AVERAGE(F59:F62)</f>
        <v>5.6080047398552125E-3</v>
      </c>
      <c r="Q12" s="172">
        <f>AVERAGE(G59:G62)</f>
        <v>1.1172667029955622E-2</v>
      </c>
      <c r="R12" s="172">
        <f>AVERAGE(H59:H62)</f>
        <v>-2.3196179210114463E-3</v>
      </c>
      <c r="S12" s="24"/>
      <c r="T12" s="24"/>
    </row>
    <row r="13" spans="1:20">
      <c r="A13" s="337" t="str">
        <f>USD!Y14</f>
        <v>3Q2000</v>
      </c>
      <c r="B13" s="23">
        <v>-5.6319420141771629E-3</v>
      </c>
      <c r="C13" s="23">
        <v>-5.0619420141771627E-3</v>
      </c>
      <c r="D13">
        <v>0</v>
      </c>
      <c r="F13" s="24">
        <f>Returns!C14-'Benchmark finished'!B13</f>
        <v>-3.012612396617886E-2</v>
      </c>
      <c r="G13" s="23">
        <f>Returns!M14-'Benchmark finished'!C13</f>
        <v>-6.710235813389602E-2</v>
      </c>
      <c r="H13">
        <v>0</v>
      </c>
      <c r="J13" s="337">
        <v>2013</v>
      </c>
      <c r="K13" s="98">
        <f>_xlfn.STDEV.S(F63:F66)</f>
        <v>1.2476150700148613E-2</v>
      </c>
      <c r="L13" s="98">
        <f>_xlfn.STDEV.S(G63:G66)</f>
        <v>2.1454021398333335E-2</v>
      </c>
      <c r="M13" s="98">
        <f>_xlfn.STDEV.S(H63:H66)</f>
        <v>5.4870088313199407E-3</v>
      </c>
      <c r="O13" s="336">
        <v>2013</v>
      </c>
      <c r="P13" s="172">
        <f>AVERAGE(F63:F66)</f>
        <v>-2.9777423066971506E-3</v>
      </c>
      <c r="Q13" s="172">
        <f>AVERAGE(G63:G66)</f>
        <v>1.129597345824777E-2</v>
      </c>
      <c r="R13" s="172">
        <f>AVERAGE(H63:H66)</f>
        <v>-2.1384594884588153E-2</v>
      </c>
      <c r="S13" s="24"/>
      <c r="T13" s="24"/>
    </row>
    <row r="14" spans="1:20">
      <c r="A14" s="337" t="str">
        <f>USD!Y15</f>
        <v>4Q2000</v>
      </c>
      <c r="B14" s="23">
        <v>-1.0875194513958842E-2</v>
      </c>
      <c r="C14" s="23">
        <v>-1.4535194513958842E-2</v>
      </c>
      <c r="D14">
        <v>0</v>
      </c>
      <c r="F14" s="24">
        <f>Returns!C15-'Benchmark finished'!B14</f>
        <v>2.5732782659524323E-2</v>
      </c>
      <c r="G14" s="23">
        <f>Returns!M15-'Benchmark finished'!C14</f>
        <v>8.6798608486362727E-2</v>
      </c>
      <c r="H14">
        <v>0</v>
      </c>
      <c r="J14" s="337">
        <v>2014</v>
      </c>
      <c r="K14" s="98">
        <f>_xlfn.STDEV.S(F67:F70)</f>
        <v>1.4366266831781832E-2</v>
      </c>
      <c r="L14" s="98">
        <f>_xlfn.STDEV.S(G67:G70)</f>
        <v>1.6800310907231015E-2</v>
      </c>
      <c r="M14" s="98">
        <f>_xlfn.STDEV.S(H67:H70)</f>
        <v>1.0944682099317669E-2</v>
      </c>
      <c r="O14" s="336">
        <v>2014</v>
      </c>
      <c r="P14" s="172">
        <f>AVERAGE(F67:F70)</f>
        <v>-7.1116570966787765E-3</v>
      </c>
      <c r="Q14" s="172">
        <f>AVERAGE(G67:G70)</f>
        <v>-3.207877175012936E-3</v>
      </c>
      <c r="R14" s="172">
        <f>AVERAGE(H67:H70)</f>
        <v>9.7698593353897547E-3</v>
      </c>
      <c r="S14" s="24"/>
      <c r="T14" s="24"/>
    </row>
    <row r="15" spans="1:20">
      <c r="A15" s="337" t="str">
        <f>USD!Y16</f>
        <v>1Q2001</v>
      </c>
      <c r="B15" s="23">
        <v>-6.127156599708071E-2</v>
      </c>
      <c r="C15" s="23">
        <v>-5.5035675920354056E-2</v>
      </c>
      <c r="D15">
        <v>0</v>
      </c>
      <c r="F15" s="24">
        <f>Returns!C16-'Benchmark finished'!B15</f>
        <v>-1.1327028493618455E-2</v>
      </c>
      <c r="G15" s="23">
        <f>Returns!M16-'Benchmark finished'!C15</f>
        <v>-1.7562568034619218E-2</v>
      </c>
      <c r="H15">
        <v>0</v>
      </c>
      <c r="J15" s="337">
        <v>2015</v>
      </c>
      <c r="K15" s="98">
        <f>_xlfn.STDEV.S(F71:F74)</f>
        <v>9.0688912239383895E-3</v>
      </c>
      <c r="L15" s="98">
        <f>_xlfn.STDEV.S(G71:G74)</f>
        <v>2.771507264734217E-2</v>
      </c>
      <c r="M15" s="98">
        <f>_xlfn.STDEV.S(H71:H74)</f>
        <v>1.9601917987230853E-2</v>
      </c>
      <c r="O15" s="336">
        <v>2015</v>
      </c>
      <c r="P15" s="172">
        <f>AVERAGE(F71:F74)</f>
        <v>-3.9711797211757745E-3</v>
      </c>
      <c r="Q15" s="172">
        <f>AVERAGE(G71:G74)</f>
        <v>-1.0662638388753972E-2</v>
      </c>
      <c r="R15" s="172">
        <f>AVERAGE(H71:H74)</f>
        <v>-4.9063146132711727E-3</v>
      </c>
      <c r="S15" s="24"/>
      <c r="T15" s="24"/>
    </row>
    <row r="16" spans="1:20">
      <c r="A16" s="337" t="str">
        <f>USD!Y17</f>
        <v>2Q2001</v>
      </c>
      <c r="B16" s="23">
        <v>1.5858018018018019E-2</v>
      </c>
      <c r="C16" s="23">
        <v>1.4342557120320407E-2</v>
      </c>
      <c r="D16">
        <v>0</v>
      </c>
      <c r="F16" s="24">
        <f>Returns!C17-'Benchmark finished'!B16</f>
        <v>-2.062570214863936E-2</v>
      </c>
      <c r="G16" s="23">
        <f>Returns!M17-'Benchmark finished'!C16</f>
        <v>-3.3025238971674316E-2</v>
      </c>
      <c r="H16">
        <v>0</v>
      </c>
      <c r="J16" s="337">
        <v>2016</v>
      </c>
      <c r="K16" s="98">
        <f>_xlfn.STDEV.S(F75:F78)</f>
        <v>1.7318271430038286E-2</v>
      </c>
      <c r="L16" s="98">
        <f>_xlfn.STDEV.S(G75:G78)</f>
        <v>4.277221158704831E-2</v>
      </c>
      <c r="M16" s="98">
        <f>_xlfn.STDEV.S(H75:H78)</f>
        <v>2.6136264704104416E-2</v>
      </c>
      <c r="O16" s="336">
        <v>2016</v>
      </c>
      <c r="P16" s="172">
        <f>AVERAGE(F75:F78)</f>
        <v>-7.3416097694258961E-3</v>
      </c>
      <c r="Q16" s="172">
        <f>AVERAGE(G75:G78)</f>
        <v>-1.5572590589937197E-3</v>
      </c>
      <c r="R16" s="172">
        <f>AVERAGE(H75:H78)</f>
        <v>-8.2223136503490127E-4</v>
      </c>
    </row>
    <row r="17" spans="1:11">
      <c r="A17" s="337" t="str">
        <f>USD!Y18</f>
        <v>3Q2001</v>
      </c>
      <c r="B17" s="23">
        <v>-5.95101915708812E-2</v>
      </c>
      <c r="C17" s="23">
        <v>-5.8340412654827305E-2</v>
      </c>
      <c r="D17">
        <v>0</v>
      </c>
      <c r="F17" s="24">
        <f>Returns!C18-'Benchmark finished'!B17</f>
        <v>4.5138625475249473E-2</v>
      </c>
      <c r="G17" s="23">
        <f>Returns!M18-'Benchmark finished'!C17</f>
        <v>6.6015230466430153E-2</v>
      </c>
      <c r="H17">
        <v>0</v>
      </c>
      <c r="J17" s="172"/>
      <c r="K17" s="6"/>
    </row>
    <row r="18" spans="1:11">
      <c r="A18" s="337" t="str">
        <f>USD!Y19</f>
        <v>4Q2001</v>
      </c>
      <c r="B18" s="23">
        <v>3.3949213940243181E-2</v>
      </c>
      <c r="C18" s="23">
        <v>3.3157940360792122E-2</v>
      </c>
      <c r="D18">
        <v>0</v>
      </c>
      <c r="F18" s="24">
        <f>Returns!C19-'Benchmark finished'!B18</f>
        <v>-1.0892185926841699E-2</v>
      </c>
      <c r="G18" s="23">
        <f>Returns!M19-'Benchmark finished'!C18</f>
        <v>-6.0972080920948038E-3</v>
      </c>
      <c r="H18">
        <v>0</v>
      </c>
      <c r="J18" s="925" t="s">
        <v>226</v>
      </c>
      <c r="K18" s="1004" t="s">
        <v>833</v>
      </c>
    </row>
    <row r="19" spans="1:11">
      <c r="A19" s="337" t="str">
        <f>USD!Y20</f>
        <v>1Q2002</v>
      </c>
      <c r="B19" s="23">
        <v>-5.3958595859585849E-4</v>
      </c>
      <c r="C19" s="23">
        <v>1.498110531053106E-3</v>
      </c>
      <c r="D19">
        <v>0</v>
      </c>
      <c r="F19" s="24">
        <f>Returns!C20-'Benchmark finished'!B19</f>
        <v>-4.7056878782568345E-3</v>
      </c>
      <c r="G19" s="23">
        <f>Returns!M20-'Benchmark finished'!C19</f>
        <v>-5.3559654866920572E-3</v>
      </c>
      <c r="H19">
        <v>0</v>
      </c>
      <c r="J19" s="925"/>
      <c r="K19" s="1004"/>
    </row>
    <row r="20" spans="1:11">
      <c r="A20" s="337" t="str">
        <f>USD!Y21</f>
        <v>2Q2002</v>
      </c>
      <c r="B20" s="23">
        <v>-1.9306778700141743E-2</v>
      </c>
      <c r="C20" s="23">
        <v>-1.4780284025106302E-2</v>
      </c>
      <c r="D20">
        <v>0</v>
      </c>
      <c r="F20" s="24">
        <f>Returns!C21-'Benchmark finished'!B20</f>
        <v>6.444796175305445E-2</v>
      </c>
      <c r="G20" s="23">
        <f>Returns!M21-'Benchmark finished'!C20</f>
        <v>8.0641867229532552E-2</v>
      </c>
      <c r="H20">
        <v>0</v>
      </c>
      <c r="J20" s="737">
        <f>O6</f>
        <v>2006</v>
      </c>
      <c r="K20" s="98">
        <f>Returns!Q13-'Benchmark finished'!E38</f>
        <v>0.14594162288246371</v>
      </c>
    </row>
    <row r="21" spans="1:11">
      <c r="A21" s="337" t="str">
        <f>USD!Y22</f>
        <v>3Q2002</v>
      </c>
      <c r="B21" s="23">
        <v>-6.4619679851832257E-2</v>
      </c>
      <c r="C21" s="23">
        <v>-4.7644359888874187E-2</v>
      </c>
      <c r="D21">
        <v>0</v>
      </c>
      <c r="F21" s="24">
        <f>Returns!C22-'Benchmark finished'!B21</f>
        <v>1.350900088547391E-2</v>
      </c>
      <c r="G21" s="23">
        <f>Returns!M22-'Benchmark finished'!C21</f>
        <v>-3.2694917484516819E-3</v>
      </c>
      <c r="H21">
        <v>0</v>
      </c>
      <c r="J21" s="737">
        <f t="shared" ref="J21:J30" si="0">O7</f>
        <v>2007</v>
      </c>
      <c r="K21" s="184">
        <f>Returns!Q14-'Benchmark finished'!E42</f>
        <v>8.9882126162288634E-2</v>
      </c>
    </row>
    <row r="22" spans="1:11">
      <c r="A22" s="337" t="str">
        <f>USD!Y23</f>
        <v>4Q2002</v>
      </c>
      <c r="B22" s="23">
        <v>4.9225752662278577E-2</v>
      </c>
      <c r="C22" s="23">
        <v>4.3858114496708935E-2</v>
      </c>
      <c r="D22">
        <v>0</v>
      </c>
      <c r="F22" s="24">
        <f>Returns!C23-'Benchmark finished'!B22</f>
        <v>1.2650736686892206E-2</v>
      </c>
      <c r="G22" s="23">
        <f>Returns!M23-'Benchmark finished'!C22</f>
        <v>4.1932119640522701E-2</v>
      </c>
      <c r="H22">
        <v>0</v>
      </c>
      <c r="J22" s="737">
        <f t="shared" si="0"/>
        <v>2008</v>
      </c>
      <c r="K22" s="98">
        <f>Returns!Q15-'Benchmark finished'!E46</f>
        <v>-7.9473240079313112E-2</v>
      </c>
    </row>
    <row r="23" spans="1:11">
      <c r="A23" s="337" t="str">
        <f>USD!Y24</f>
        <v>1Q2003</v>
      </c>
      <c r="B23" s="23">
        <v>-1.5246132585619857E-2</v>
      </c>
      <c r="C23" s="23">
        <v>-2.2925972361305811E-2</v>
      </c>
      <c r="D23">
        <v>0</v>
      </c>
      <c r="F23" s="24">
        <f>Returns!C24-'Benchmark finished'!B23</f>
        <v>1.4716472029884412E-2</v>
      </c>
      <c r="G23" s="23">
        <f>Returns!M24-'Benchmark finished'!C23</f>
        <v>4.2899913831938391E-2</v>
      </c>
      <c r="H23">
        <v>0</v>
      </c>
      <c r="J23" s="737">
        <f t="shared" si="0"/>
        <v>2009</v>
      </c>
      <c r="K23" s="98">
        <f>Returns!Q16-'Benchmark finished'!E50</f>
        <v>8.3822480150006484E-3</v>
      </c>
    </row>
    <row r="24" spans="1:11">
      <c r="A24" s="337" t="str">
        <f>USD!Y25</f>
        <v>2Q2003</v>
      </c>
      <c r="B24" s="23">
        <v>6.6475798319327761E-2</v>
      </c>
      <c r="C24" s="23">
        <v>9.0531937815126085E-2</v>
      </c>
      <c r="D24">
        <v>0</v>
      </c>
      <c r="F24" s="24">
        <f>Returns!C25-'Benchmark finished'!B24</f>
        <v>4.0582151535311806E-2</v>
      </c>
      <c r="G24" s="23">
        <f>Returns!M25-'Benchmark finished'!C24</f>
        <v>3.1630545713318192E-2</v>
      </c>
      <c r="H24">
        <v>0</v>
      </c>
      <c r="J24" s="737">
        <f t="shared" si="0"/>
        <v>2010</v>
      </c>
      <c r="K24" s="98">
        <f>Returns!Q17-'Benchmark finished'!E54</f>
        <v>-8.1868600707458272E-2</v>
      </c>
    </row>
    <row r="25" spans="1:11">
      <c r="A25" s="337" t="str">
        <f>USD!Y26</f>
        <v>3Q2003</v>
      </c>
      <c r="B25" s="23">
        <v>5.1637917835046933E-2</v>
      </c>
      <c r="C25" s="23">
        <v>5.487589318556102E-2</v>
      </c>
      <c r="D25">
        <v>0</v>
      </c>
      <c r="F25" s="24">
        <f>Returns!C26-'Benchmark finished'!B25</f>
        <v>-2.07356055674787E-2</v>
      </c>
      <c r="G25" s="23">
        <f>Returns!M26-'Benchmark finished'!C25</f>
        <v>-2.2159089106578989E-2</v>
      </c>
      <c r="H25">
        <v>0</v>
      </c>
      <c r="J25" s="737">
        <f t="shared" si="0"/>
        <v>2011</v>
      </c>
      <c r="K25" s="98">
        <f>Returns!Q18-'Benchmark finished'!E58</f>
        <v>3.7460721870952285E-2</v>
      </c>
    </row>
    <row r="26" spans="1:11">
      <c r="A26" s="337" t="str">
        <f>USD!Y27</f>
        <v>4Q2003</v>
      </c>
      <c r="B26" s="23">
        <v>7.1859947973483301E-2</v>
      </c>
      <c r="C26" s="23">
        <v>8.9012132365528282E-2</v>
      </c>
      <c r="D26">
        <v>0</v>
      </c>
      <c r="F26" s="24">
        <f>Returns!C27-'Benchmark finished'!B26</f>
        <v>2.325122655514042E-2</v>
      </c>
      <c r="G26" s="23">
        <f>Returns!M27-'Benchmark finished'!C26</f>
        <v>4.0155496134179583E-2</v>
      </c>
      <c r="H26">
        <v>0</v>
      </c>
      <c r="J26" s="737">
        <f t="shared" si="0"/>
        <v>2012</v>
      </c>
      <c r="K26" s="98">
        <f>Returns!Q19-'Benchmark finished'!E62</f>
        <v>4.1269936458027567E-2</v>
      </c>
    </row>
    <row r="27" spans="1:11">
      <c r="A27" s="337" t="str">
        <f>USD!Y28</f>
        <v>1Q2004</v>
      </c>
      <c r="B27" s="23">
        <v>2.2987473367129474E-2</v>
      </c>
      <c r="C27" s="23">
        <v>2.5415275879803027E-2</v>
      </c>
      <c r="D27">
        <v>0</v>
      </c>
      <c r="F27" s="24">
        <f>Returns!C28-'Benchmark finished'!B27</f>
        <v>1.202258868088113E-3</v>
      </c>
      <c r="G27" s="23">
        <f>Returns!M28-'Benchmark finished'!C27</f>
        <v>-9.7130459670900539E-3</v>
      </c>
      <c r="H27">
        <v>0</v>
      </c>
      <c r="J27" s="737">
        <f t="shared" si="0"/>
        <v>2013</v>
      </c>
      <c r="K27" s="98">
        <f>Returns!Q20-'Benchmark finished'!E66</f>
        <v>5.0926291186446981E-2</v>
      </c>
    </row>
    <row r="28" spans="1:11">
      <c r="A28" s="337" t="str">
        <f>USD!Y29</f>
        <v>2Q2004</v>
      </c>
      <c r="B28" s="23">
        <v>4.5736426651577476E-3</v>
      </c>
      <c r="C28" s="23">
        <v>5.8469586645919034E-3</v>
      </c>
      <c r="D28">
        <v>0</v>
      </c>
      <c r="F28" s="24">
        <f>Returns!C29-'Benchmark finished'!B28</f>
        <v>-1.6630139194508672E-2</v>
      </c>
      <c r="G28" s="23">
        <f>Returns!M29-'Benchmark finished'!C28</f>
        <v>-1.8750669079581846E-2</v>
      </c>
      <c r="H28">
        <v>0</v>
      </c>
      <c r="J28" s="737">
        <f t="shared" si="0"/>
        <v>2014</v>
      </c>
      <c r="K28" s="98">
        <f>Returns!Q21-'Benchmark finished'!E70</f>
        <v>-1.8949595112035311E-2</v>
      </c>
    </row>
    <row r="29" spans="1:11">
      <c r="A29" s="337" t="str">
        <f>USD!Y30</f>
        <v>3Q2004</v>
      </c>
      <c r="B29" s="23">
        <v>2.1242236722093365E-3</v>
      </c>
      <c r="C29" s="23">
        <v>1.1230075492878377E-3</v>
      </c>
      <c r="D29">
        <v>0</v>
      </c>
      <c r="F29" s="24">
        <f>Returns!C30-'Benchmark finished'!B29</f>
        <v>2.0858547564377092E-2</v>
      </c>
      <c r="G29" s="23">
        <f>Returns!M30-'Benchmark finished'!C29</f>
        <v>4.1222958191614152E-2</v>
      </c>
      <c r="H29">
        <v>0</v>
      </c>
      <c r="J29" s="737">
        <f t="shared" si="0"/>
        <v>2015</v>
      </c>
      <c r="K29" s="98">
        <f>Returns!Q22-'Benchmark finished'!E74</f>
        <v>-3.8492308601901004E-2</v>
      </c>
    </row>
    <row r="30" spans="1:11">
      <c r="A30" s="337" t="str">
        <f>USD!Y31</f>
        <v>4Q2004</v>
      </c>
      <c r="B30" s="23">
        <v>5.996795924143792E-2</v>
      </c>
      <c r="C30" s="23">
        <v>7.6800143956977152E-2</v>
      </c>
      <c r="D30">
        <v>0</v>
      </c>
      <c r="F30" s="24">
        <f>Returns!C31-'Benchmark finished'!B30</f>
        <v>4.2937854365608284E-2</v>
      </c>
      <c r="G30" s="23">
        <f>Returns!M31-'Benchmark finished'!C30</f>
        <v>7.0159240787768973E-2</v>
      </c>
      <c r="H30">
        <v>0</v>
      </c>
      <c r="J30" s="737">
        <f t="shared" si="0"/>
        <v>2016</v>
      </c>
      <c r="K30" s="98">
        <f>Returns!Q23-'Benchmark finished'!E78</f>
        <v>-2.1188963880102829E-2</v>
      </c>
    </row>
    <row r="31" spans="1:11">
      <c r="A31" s="337" t="str">
        <f>USD!Y32</f>
        <v>1Q2005</v>
      </c>
      <c r="B31" s="23">
        <v>-1.2144739339471458E-2</v>
      </c>
      <c r="C31" s="23">
        <v>-5.5024254324398478E-3</v>
      </c>
      <c r="D31">
        <v>0</v>
      </c>
      <c r="F31" s="24">
        <f>Returns!C32-'Benchmark finished'!B31</f>
        <v>-2.1897401046334728E-3</v>
      </c>
      <c r="G31" s="23">
        <f>Returns!M32-'Benchmark finished'!C31</f>
        <v>-2.3507217666228757E-2</v>
      </c>
      <c r="H31">
        <v>0</v>
      </c>
      <c r="J31" s="172"/>
      <c r="K31" s="6"/>
    </row>
    <row r="32" spans="1:11">
      <c r="A32" s="337" t="str">
        <f>USD!Y33</f>
        <v>2Q2005</v>
      </c>
      <c r="B32" s="23">
        <v>4.9492233716111333E-3</v>
      </c>
      <c r="C32" s="23">
        <v>3.3708803492948527E-3</v>
      </c>
      <c r="D32">
        <v>0</v>
      </c>
      <c r="F32" s="24">
        <f>Returns!C33-'Benchmark finished'!B32</f>
        <v>-5.8672565839002488E-3</v>
      </c>
      <c r="G32" s="23">
        <f>Returns!M33-'Benchmark finished'!C32</f>
        <v>-3.1827015244613358E-2</v>
      </c>
      <c r="H32">
        <v>0</v>
      </c>
      <c r="J32" s="172"/>
      <c r="K32" s="6"/>
    </row>
    <row r="33" spans="1:11">
      <c r="A33" s="337" t="str">
        <f>USD!Y34</f>
        <v>3Q2005</v>
      </c>
      <c r="B33" s="23">
        <v>2.4432732454354678E-2</v>
      </c>
      <c r="C33" s="23">
        <v>2.7782462067679252E-2</v>
      </c>
      <c r="D33">
        <v>0</v>
      </c>
      <c r="F33" s="24">
        <f>Returns!C34-'Benchmark finished'!B33</f>
        <v>3.8798247114433804E-3</v>
      </c>
      <c r="G33" s="23">
        <f>Returns!M34-'Benchmark finished'!C33</f>
        <v>1.3645534355419993E-2</v>
      </c>
      <c r="H33">
        <v>0</v>
      </c>
      <c r="J33" s="6"/>
      <c r="K33" s="6"/>
    </row>
    <row r="34" spans="1:11">
      <c r="A34" s="337" t="str">
        <f>USD!Y35</f>
        <v>4Q2005</v>
      </c>
      <c r="B34" s="23">
        <v>1.8990365108018437E-2</v>
      </c>
      <c r="C34" s="23">
        <v>1.6230512516461449E-2</v>
      </c>
      <c r="D34" s="67">
        <v>0</v>
      </c>
      <c r="F34" s="24">
        <f>Returns!C35-'Benchmark finished'!B34</f>
        <v>-9.5084381518518724E-3</v>
      </c>
      <c r="G34" s="23">
        <f>Returns!M35-'Benchmark finished'!C34</f>
        <v>-1.9923473881828791E-2</v>
      </c>
      <c r="H34" s="63">
        <v>0</v>
      </c>
      <c r="J34" s="6"/>
      <c r="K34" s="6"/>
    </row>
    <row r="35" spans="1:11">
      <c r="A35" s="337" t="str">
        <f>USD!Y36</f>
        <v>1Q2006</v>
      </c>
      <c r="B35" s="23">
        <v>2.2104208275900875E-2</v>
      </c>
      <c r="C35" s="23">
        <v>2.4631168249093061E-2</v>
      </c>
      <c r="D35" s="23">
        <v>4.3731838448338924E-2</v>
      </c>
      <c r="F35" s="24">
        <f>Returns!C36-'Benchmark finished'!B35</f>
        <v>1.2263509738140051E-2</v>
      </c>
      <c r="G35" s="23">
        <f>Returns!M36-'Benchmark finished'!C35</f>
        <v>3.1636735067682165E-2</v>
      </c>
      <c r="H35" s="23">
        <f>Returns!U36-D35</f>
        <v>4.8676143491861654E-3</v>
      </c>
    </row>
    <row r="36" spans="1:11">
      <c r="A36" s="337" t="str">
        <f>USD!Y37</f>
        <v>2Q2006</v>
      </c>
      <c r="B36" s="23">
        <v>-5.4563331587218584E-3</v>
      </c>
      <c r="C36" s="23">
        <v>-4.6473226781820146E-3</v>
      </c>
      <c r="D36" s="23">
        <v>-6.3040413829230195E-3</v>
      </c>
      <c r="F36" s="24">
        <f>Returns!C37-'Benchmark finished'!B36</f>
        <v>2.5363385136295557E-2</v>
      </c>
      <c r="G36" s="23">
        <f>Returns!M37-'Benchmark finished'!C36</f>
        <v>4.5732543617165604E-2</v>
      </c>
      <c r="H36" s="23">
        <f>Returns!U37-D36</f>
        <v>2.5517927832558861E-2</v>
      </c>
    </row>
    <row r="37" spans="1:11">
      <c r="A37" s="337" t="str">
        <f>USD!Y38</f>
        <v>3Q2006</v>
      </c>
      <c r="B37" s="23">
        <v>1.7871432944529482E-2</v>
      </c>
      <c r="C37" s="23">
        <v>1.3627262204208969E-2</v>
      </c>
      <c r="D37" s="23">
        <v>2.7666078534860413E-2</v>
      </c>
      <c r="F37" s="24">
        <f>Returns!C38-'Benchmark finished'!B37</f>
        <v>1.5916951290794006E-2</v>
      </c>
      <c r="G37" s="23">
        <f>Returns!M38-'Benchmark finished'!C37</f>
        <v>1.3911731501012091E-2</v>
      </c>
      <c r="H37" s="23">
        <f>Returns!U38-D37</f>
        <v>8.0475209830137041E-3</v>
      </c>
    </row>
    <row r="38" spans="1:11">
      <c r="A38" s="337" t="str">
        <f>USD!Y39</f>
        <v>4Q2006</v>
      </c>
      <c r="B38" s="23">
        <v>2.9686261213319139E-2</v>
      </c>
      <c r="C38" s="23">
        <v>2.8031050367161799E-2</v>
      </c>
      <c r="D38" s="23">
        <v>5.3427674471643594E-2</v>
      </c>
      <c r="E38">
        <f>((C38+1)*(C37+1)*(C36+1)*(C35+1))-1</f>
        <v>6.274499016212598E-2</v>
      </c>
      <c r="F38" s="24">
        <f>Returns!C39-'Benchmark finished'!B38</f>
        <v>2.622481754318156E-2</v>
      </c>
      <c r="G38" s="23">
        <f>Returns!M39-'Benchmark finished'!C38</f>
        <v>5.5763444716448007E-2</v>
      </c>
      <c r="H38" s="23">
        <f>Returns!U39-D38</f>
        <v>-1.2147123434780138E-2</v>
      </c>
    </row>
    <row r="39" spans="1:11">
      <c r="A39" s="337" t="str">
        <f>USD!Y40</f>
        <v>1Q2007</v>
      </c>
      <c r="B39" s="23">
        <v>1.3926543538081258E-2</v>
      </c>
      <c r="C39" s="23">
        <v>1.3042975761636386E-2</v>
      </c>
      <c r="D39" s="23">
        <v>2.0318133249382045E-2</v>
      </c>
      <c r="F39" s="24">
        <f>Returns!C40-'Benchmark finished'!B39</f>
        <v>5.3646565240346739E-3</v>
      </c>
      <c r="G39" s="23">
        <f>Returns!M40-'Benchmark finished'!C39</f>
        <v>1.3876713803764087E-2</v>
      </c>
      <c r="H39" s="23">
        <f>Returns!U40-D39</f>
        <v>1.2617618575628806E-2</v>
      </c>
    </row>
    <row r="40" spans="1:11">
      <c r="A40" s="337" t="str">
        <f>USD!Y41</f>
        <v>2Q2007</v>
      </c>
      <c r="B40" s="23">
        <v>2.4389637718920665E-2</v>
      </c>
      <c r="C40" s="23">
        <v>2.6596624270754474E-2</v>
      </c>
      <c r="D40" s="23">
        <v>4.2633161293246083E-2</v>
      </c>
      <c r="F40" s="24">
        <f>Returns!C41-'Benchmark finished'!B40</f>
        <v>6.5228467720664929E-3</v>
      </c>
      <c r="G40" s="23">
        <f>Returns!M41-'Benchmark finished'!C40</f>
        <v>1.7630981401395435E-3</v>
      </c>
      <c r="H40" s="23">
        <f>Returns!U41-D40</f>
        <v>4.9086194946907843E-2</v>
      </c>
    </row>
    <row r="41" spans="1:11">
      <c r="A41" s="337" t="str">
        <f>USD!Y42</f>
        <v>3Q2007</v>
      </c>
      <c r="B41" s="23">
        <v>2.1513716540109425E-2</v>
      </c>
      <c r="C41" s="23">
        <v>2.126504493469392E-2</v>
      </c>
      <c r="D41" s="23">
        <v>2.1414859585118545E-2</v>
      </c>
      <c r="F41" s="24">
        <f>Returns!C42-'Benchmark finished'!B41</f>
        <v>1.9762422876287315E-2</v>
      </c>
      <c r="G41" s="23">
        <f>Returns!M42-'Benchmark finished'!C41</f>
        <v>4.9666161198135189E-2</v>
      </c>
      <c r="H41" s="23">
        <f>Returns!U42-D41</f>
        <v>4.8243624263581669E-2</v>
      </c>
    </row>
    <row r="42" spans="1:11">
      <c r="A42" s="337" t="str">
        <f>USD!Y43</f>
        <v>4Q2007</v>
      </c>
      <c r="B42" s="23">
        <v>-1.5768937098684609E-2</v>
      </c>
      <c r="C42" s="23">
        <v>-7.9036386849516537E-3</v>
      </c>
      <c r="D42" s="23">
        <v>-1.6933015190241662E-2</v>
      </c>
      <c r="E42">
        <f>((C42+1)*(C41+1)*(C40+1)*(C39+1))-1</f>
        <v>5.3707389455642796E-2</v>
      </c>
      <c r="F42" s="24">
        <f>Returns!C43-'Benchmark finished'!B42</f>
        <v>1.9095119979870522E-2</v>
      </c>
      <c r="G42" s="23">
        <f>Returns!M43-'Benchmark finished'!C42</f>
        <v>2.5282536193759489E-2</v>
      </c>
      <c r="H42" s="23">
        <f>Returns!U43-D42</f>
        <v>2.2559227965668848E-2</v>
      </c>
    </row>
    <row r="43" spans="1:11">
      <c r="A43" s="337" t="str">
        <f>USD!Y44</f>
        <v>1Q2008</v>
      </c>
      <c r="B43" s="23">
        <v>-4.6554652570551656E-2</v>
      </c>
      <c r="C43" s="23">
        <v>-2.7294975081722406E-2</v>
      </c>
      <c r="D43" s="23">
        <v>-5.1917540284764294E-2</v>
      </c>
      <c r="F43" s="24">
        <f>Returns!C44-'Benchmark finished'!B43</f>
        <v>2.5928833775121306E-2</v>
      </c>
      <c r="G43" s="23">
        <f>Returns!M44-'Benchmark finished'!C43</f>
        <v>6.2198443362631028E-2</v>
      </c>
      <c r="H43" s="23">
        <f>Returns!U44-D43</f>
        <v>6.0881750597270717E-3</v>
      </c>
    </row>
    <row r="44" spans="1:11">
      <c r="A44" s="337" t="str">
        <f>USD!Y45</f>
        <v>2Q2008</v>
      </c>
      <c r="B44" s="23">
        <v>-1.1026838643226674E-2</v>
      </c>
      <c r="C44" s="23">
        <v>2.9360379759128617E-3</v>
      </c>
      <c r="D44" s="23">
        <v>-1.151240853016223E-2</v>
      </c>
      <c r="F44" s="24">
        <f>Returns!C45-'Benchmark finished'!B44</f>
        <v>-1.4852414624684288E-2</v>
      </c>
      <c r="G44" s="23">
        <f>Returns!M45-'Benchmark finished'!C44</f>
        <v>-1.4726789142213545E-2</v>
      </c>
      <c r="H44" s="23">
        <f>Returns!U45-D44</f>
        <v>3.2796103033675979E-2</v>
      </c>
    </row>
    <row r="45" spans="1:11">
      <c r="A45" s="337" t="str">
        <f>USD!Y46</f>
        <v>3Q2008</v>
      </c>
      <c r="B45" s="23">
        <v>-0.10518866213583006</v>
      </c>
      <c r="C45" s="23">
        <v>-9.8715508896523793E-2</v>
      </c>
      <c r="D45" s="23">
        <v>-0.11123771731381589</v>
      </c>
      <c r="F45" s="24">
        <f>Returns!C46-'Benchmark finished'!B45</f>
        <v>-3.3451404042191213E-2</v>
      </c>
      <c r="G45" s="23">
        <f>Returns!M46-'Benchmark finished'!C45</f>
        <v>-5.358867340146202E-2</v>
      </c>
      <c r="H45" s="23">
        <f>Returns!U46-D45</f>
        <v>-1.9092862980576039E-2</v>
      </c>
    </row>
    <row r="46" spans="1:11">
      <c r="A46" s="337" t="str">
        <f>USD!Y47</f>
        <v>4Q2008</v>
      </c>
      <c r="B46" s="23">
        <v>-0.10434894971784718</v>
      </c>
      <c r="C46" s="23">
        <v>-6.1111694438488615E-2</v>
      </c>
      <c r="D46" s="23">
        <v>-0.11930302886100111</v>
      </c>
      <c r="E46">
        <f>((C46+1)*(C45+1)*(C44+1)*(C43+1))-1</f>
        <v>-0.17447501123980191</v>
      </c>
      <c r="F46" s="24">
        <f>Returns!C47-'Benchmark finished'!B46</f>
        <v>-2.073482785638088E-2</v>
      </c>
      <c r="G46" s="23">
        <f>Returns!M47-'Benchmark finished'!C46</f>
        <v>-6.4232276344367248E-2</v>
      </c>
      <c r="H46" s="23">
        <f>Returns!U47-D46</f>
        <v>-7.9631205168800151E-2</v>
      </c>
    </row>
    <row r="47" spans="1:11">
      <c r="A47" s="337" t="str">
        <f>USD!Y48</f>
        <v>1Q2009</v>
      </c>
      <c r="B47" s="23">
        <v>-5.8167151694945969E-2</v>
      </c>
      <c r="C47" s="23">
        <v>-5.1336986346818117E-2</v>
      </c>
      <c r="D47" s="23">
        <v>-5.9075325678537745E-2</v>
      </c>
      <c r="F47" s="24">
        <f>Returns!C48-'Benchmark finished'!B47</f>
        <v>-2.2604723255130237E-2</v>
      </c>
      <c r="G47" s="23">
        <f>Returns!M48-'Benchmark finished'!C47</f>
        <v>-3.3807754496378781E-2</v>
      </c>
      <c r="H47" s="23">
        <f>Returns!U48-D47</f>
        <v>-1.7477048575006364E-2</v>
      </c>
    </row>
    <row r="48" spans="1:11">
      <c r="A48" s="337" t="str">
        <f>USD!Y49</f>
        <v>2Q2009</v>
      </c>
      <c r="B48" s="23">
        <v>0.13510897127424509</v>
      </c>
      <c r="C48" s="23">
        <v>0.13179004466180297</v>
      </c>
      <c r="D48" s="23">
        <v>0.15239562956179034</v>
      </c>
      <c r="F48" s="24">
        <f>Returns!C49-'Benchmark finished'!B48</f>
        <v>4.1206493958979074E-2</v>
      </c>
      <c r="G48" s="23">
        <f>Returns!M49-'Benchmark finished'!C48</f>
        <v>2.0558414543339759E-2</v>
      </c>
      <c r="H48" s="23">
        <f>Returns!U49-D48</f>
        <v>6.132407522513289E-3</v>
      </c>
    </row>
    <row r="49" spans="1:8">
      <c r="A49" s="337" t="str">
        <f>USD!Y50</f>
        <v>3Q2009</v>
      </c>
      <c r="B49" s="23">
        <v>0.12424275746730432</v>
      </c>
      <c r="C49" s="23">
        <v>0.1156364125380229</v>
      </c>
      <c r="D49" s="23">
        <v>0.13316603891754433</v>
      </c>
      <c r="F49" s="24">
        <f>Returns!C50-'Benchmark finished'!B49</f>
        <v>3.6592485818580295E-2</v>
      </c>
      <c r="G49" s="23">
        <f>Returns!M50-'Benchmark finished'!C49</f>
        <v>3.8083262175619997E-2</v>
      </c>
      <c r="H49" s="23">
        <f>Returns!U50-D49</f>
        <v>-3.0232250294645324E-3</v>
      </c>
    </row>
    <row r="50" spans="1:8">
      <c r="A50" s="337" t="str">
        <f>USD!Y51</f>
        <v>4Q2009</v>
      </c>
      <c r="B50" s="23">
        <v>1.4792463048629126E-2</v>
      </c>
      <c r="C50" s="23">
        <v>1.4233822935769396E-2</v>
      </c>
      <c r="D50" s="23">
        <v>2.0180731761850389E-2</v>
      </c>
      <c r="E50">
        <f>((C50+1)*(C49+1)*(C48+1)*(C47+1))-1</f>
        <v>0.21489461794876474</v>
      </c>
      <c r="F50" s="24">
        <f>Returns!C51-'Benchmark finished'!B50</f>
        <v>1.1029937437323953E-2</v>
      </c>
      <c r="G50" s="23">
        <f>Returns!M51-'Benchmark finished'!C50</f>
        <v>5.9669059451138047E-3</v>
      </c>
      <c r="H50" s="23">
        <f>Returns!U51-D50</f>
        <v>2.1128529295948363E-2</v>
      </c>
    </row>
    <row r="51" spans="1:8">
      <c r="A51" s="337" t="str">
        <f>USD!Y52</f>
        <v>1Q2010</v>
      </c>
      <c r="B51" s="23">
        <v>2.6908405797101465E-2</v>
      </c>
      <c r="C51" s="23">
        <v>2.2819883908085852E-2</v>
      </c>
      <c r="D51" s="23">
        <v>2.766915455588995E-2</v>
      </c>
      <c r="F51" s="24">
        <f>Returns!C52-'Benchmark finished'!B51</f>
        <v>-1.6394655431654137E-2</v>
      </c>
      <c r="G51" s="23">
        <f>Returns!M52-'Benchmark finished'!C51</f>
        <v>-3.1954084620860121E-2</v>
      </c>
      <c r="H51" s="23">
        <f>Returns!U52-D51</f>
        <v>1.3652159570164937E-2</v>
      </c>
    </row>
    <row r="52" spans="1:8">
      <c r="A52" s="337" t="str">
        <f>USD!Y53</f>
        <v>2Q2010</v>
      </c>
      <c r="B52" s="23">
        <v>-6.7392119153383792E-2</v>
      </c>
      <c r="C52" s="23">
        <v>-4.8582663382721825E-2</v>
      </c>
      <c r="D52" s="23">
        <v>-7.212173205371572E-2</v>
      </c>
      <c r="F52" s="24">
        <f>Returns!C53-'Benchmark finished'!B52</f>
        <v>-2.2222559821646268E-2</v>
      </c>
      <c r="G52" s="23">
        <f>Returns!M53-'Benchmark finished'!C52</f>
        <v>-5.0967437876160926E-2</v>
      </c>
      <c r="H52" s="23">
        <f>Returns!U53-D52</f>
        <v>1.3622995096416707E-2</v>
      </c>
    </row>
    <row r="53" spans="1:8">
      <c r="A53" s="337" t="str">
        <f>USD!Y54</f>
        <v>3Q2010</v>
      </c>
      <c r="B53" s="23">
        <v>9.4250632851245797E-2</v>
      </c>
      <c r="C53" s="23">
        <v>9.3390661974028219E-2</v>
      </c>
      <c r="D53" s="23">
        <v>0.10211584844599852</v>
      </c>
      <c r="F53" s="24">
        <f>Returns!C54-'Benchmark finished'!B53</f>
        <v>4.2331588414038945E-2</v>
      </c>
      <c r="G53" s="23">
        <f>Returns!M54-'Benchmark finished'!C53</f>
        <v>8.4753897045653961E-2</v>
      </c>
      <c r="H53" s="23">
        <f>Returns!U54-D53</f>
        <v>-1.2208153978201519E-3</v>
      </c>
    </row>
    <row r="54" spans="1:8">
      <c r="A54" s="337" t="str">
        <f>USD!Y55</f>
        <v>4Q2010</v>
      </c>
      <c r="B54" s="23">
        <v>5.9765911966056705E-2</v>
      </c>
      <c r="C54" s="23">
        <v>5.215803216414043E-2</v>
      </c>
      <c r="D54" s="23">
        <v>6.3306833030677107E-2</v>
      </c>
      <c r="E54">
        <f>((C54+1)*(C53+1)*(C52+1)*(C51+1))-1</f>
        <v>0.11950634279690009</v>
      </c>
      <c r="F54" s="24">
        <f>Returns!C55-'Benchmark finished'!B54</f>
        <v>-2.1458290310960769E-2</v>
      </c>
      <c r="G54" s="23">
        <f>Returns!M55-'Benchmark finished'!C54</f>
        <v>-4.2164977241724563E-2</v>
      </c>
      <c r="H54" s="23">
        <f>Returns!U55-D54</f>
        <v>-2.075290201975305E-3</v>
      </c>
    </row>
    <row r="55" spans="1:8">
      <c r="A55" s="337" t="str">
        <f>USD!Y56</f>
        <v>1Q2011</v>
      </c>
      <c r="B55" s="23">
        <v>3.5368341838186421E-2</v>
      </c>
      <c r="C55" s="23">
        <v>3.1329699306795349E-2</v>
      </c>
      <c r="D55" s="23">
        <v>3.670064735281707E-2</v>
      </c>
      <c r="F55" s="24">
        <f>Returns!C56-'Benchmark finished'!B55</f>
        <v>1.0343285657002335E-2</v>
      </c>
      <c r="G55" s="23">
        <f>Returns!M56-'Benchmark finished'!C55</f>
        <v>3.5984609243266692E-2</v>
      </c>
      <c r="H55" s="23">
        <f>Returns!U56-D55</f>
        <v>1.8215185080264554E-2</v>
      </c>
    </row>
    <row r="56" spans="1:8">
      <c r="A56" s="337" t="str">
        <f>USD!Y57</f>
        <v>2Q2011</v>
      </c>
      <c r="B56" s="23">
        <v>4.4811960417465001E-3</v>
      </c>
      <c r="C56" s="23">
        <v>3.1758249004096252E-3</v>
      </c>
      <c r="D56" s="23">
        <v>5.0295302261167095E-3</v>
      </c>
      <c r="F56" s="24">
        <f>Returns!C57-'Benchmark finished'!B56</f>
        <v>1.1752180933833971E-2</v>
      </c>
      <c r="G56" s="23">
        <f>Returns!M57-'Benchmark finished'!C56</f>
        <v>2.6605818053489664E-2</v>
      </c>
      <c r="H56" s="23">
        <f>Returns!U57-D56</f>
        <v>1.1019066013207932E-2</v>
      </c>
    </row>
    <row r="57" spans="1:8">
      <c r="A57" s="337" t="str">
        <f>USD!Y58</f>
        <v>3Q2011</v>
      </c>
      <c r="B57" s="23">
        <v>-0.11888727994082439</v>
      </c>
      <c r="C57" s="23">
        <v>-0.10814405213097689</v>
      </c>
      <c r="D57" s="23">
        <v>-0.1292467897113338</v>
      </c>
      <c r="F57" s="24">
        <f>Returns!C58-'Benchmark finished'!B57</f>
        <v>-7.771276469740504E-3</v>
      </c>
      <c r="G57" s="23">
        <f>Returns!M58-'Benchmark finished'!C57</f>
        <v>6.7062390794317972E-3</v>
      </c>
      <c r="H57" s="23">
        <f>Returns!U58-D57</f>
        <v>4.7450053871234965E-2</v>
      </c>
    </row>
    <row r="58" spans="1:8">
      <c r="A58" s="337" t="str">
        <f>USD!Y59</f>
        <v>4Q2011</v>
      </c>
      <c r="B58" s="23">
        <v>4.941675610020603E-2</v>
      </c>
      <c r="C58" s="23">
        <v>4.4709214092579962E-2</v>
      </c>
      <c r="D58" s="23">
        <v>5.0918596838119848E-2</v>
      </c>
      <c r="E58">
        <f>((C58+1)*(C57+1)*(C56+1)*(C55+1))-1</f>
        <v>-3.6027332239573551E-2</v>
      </c>
      <c r="F58" s="24">
        <f>Returns!C59-'Benchmark finished'!B58</f>
        <v>-1.7189336776156763E-2</v>
      </c>
      <c r="G58" s="23">
        <f>Returns!M59-'Benchmark finished'!C58</f>
        <v>-3.2481461925912357E-2</v>
      </c>
      <c r="H58" s="23">
        <f>Returns!U59-D58</f>
        <v>-7.1603123750934167E-3</v>
      </c>
    </row>
    <row r="59" spans="1:8">
      <c r="A59" s="337" t="str">
        <f>USD!Y60</f>
        <v>1Q2012</v>
      </c>
      <c r="B59" s="23">
        <v>7.3359413023694073E-2</v>
      </c>
      <c r="C59" s="23">
        <v>6.1083440431634384E-2</v>
      </c>
      <c r="D59" s="23">
        <v>8.0479888933797067E-2</v>
      </c>
      <c r="F59" s="24">
        <f>Returns!C60-'Benchmark finished'!B59</f>
        <v>1.1398539592095261E-2</v>
      </c>
      <c r="G59" s="23">
        <f>Returns!M60-'Benchmark finished'!C59</f>
        <v>2.4523416498748341E-2</v>
      </c>
      <c r="H59" s="23">
        <f>Returns!U60-D59</f>
        <v>-1.8955437821391946E-2</v>
      </c>
    </row>
    <row r="60" spans="1:8">
      <c r="A60" s="337" t="str">
        <f>USD!Y61</f>
        <v>2Q2012</v>
      </c>
      <c r="B60" s="23">
        <v>-2.2675670827783431E-2</v>
      </c>
      <c r="C60" s="23">
        <v>-1.463732359356516E-2</v>
      </c>
      <c r="D60" s="23">
        <v>-2.6725278505689176E-2</v>
      </c>
      <c r="F60" s="24">
        <f>Returns!C61-'Benchmark finished'!B60</f>
        <v>-1.9887874524866071E-2</v>
      </c>
      <c r="G60" s="23">
        <f>Returns!M61-'Benchmark finished'!C60</f>
        <v>-3.1543305589563211E-2</v>
      </c>
      <c r="H60" s="23">
        <f>Returns!U61-D60</f>
        <v>1.1500453169978608E-2</v>
      </c>
    </row>
    <row r="61" spans="1:8">
      <c r="A61" s="337" t="str">
        <f>USD!Y62</f>
        <v>3Q2012</v>
      </c>
      <c r="B61" s="23">
        <v>4.7448789329194455E-2</v>
      </c>
      <c r="C61" s="23">
        <v>3.9766630023501608E-2</v>
      </c>
      <c r="D61" s="23">
        <v>5.0507213196112975E-2</v>
      </c>
      <c r="F61" s="24">
        <f>Returns!C62-'Benchmark finished'!B61</f>
        <v>1.4435061010992387E-2</v>
      </c>
      <c r="G61" s="23">
        <f>Returns!M62-'Benchmark finished'!C61</f>
        <v>2.2605336280120576E-2</v>
      </c>
      <c r="H61" s="23">
        <f>Returns!U62-D61</f>
        <v>4.184202896677959E-3</v>
      </c>
    </row>
    <row r="62" spans="1:8">
      <c r="A62" s="337" t="str">
        <f>USD!Y63</f>
        <v>4Q2012</v>
      </c>
      <c r="B62" s="23">
        <v>1.9849570330071196E-2</v>
      </c>
      <c r="C62" s="23">
        <v>2.0760686634466209E-2</v>
      </c>
      <c r="D62" s="23">
        <v>2.2208682089143134E-2</v>
      </c>
      <c r="E62">
        <f>((C62+1)*(C61+1)*(C60+1)*(C59+1))-1</f>
        <v>0.10969966637175355</v>
      </c>
      <c r="F62" s="24">
        <f>Returns!C63-'Benchmark finished'!B62</f>
        <v>1.6486292881199273E-2</v>
      </c>
      <c r="G62" s="23">
        <f>Returns!M63-'Benchmark finished'!C62</f>
        <v>2.9105220930516783E-2</v>
      </c>
      <c r="H62" s="23">
        <f>Returns!U63-D62</f>
        <v>-6.0076899293104065E-3</v>
      </c>
    </row>
    <row r="63" spans="1:8">
      <c r="A63" s="337" t="str">
        <f>USD!Y64</f>
        <v>1Q2013</v>
      </c>
      <c r="B63" s="23">
        <v>4.7172887585765509E-2</v>
      </c>
      <c r="C63" s="23">
        <v>2.9652023997146941E-2</v>
      </c>
      <c r="D63" s="23">
        <v>4.5458624283010889E-2</v>
      </c>
      <c r="F63" s="24">
        <f>Returns!C64-'Benchmark finished'!B63</f>
        <v>-1.9576027647218296E-2</v>
      </c>
      <c r="G63" s="23">
        <f>Returns!M64-'Benchmark finished'!C63</f>
        <v>-2.08825827224619E-2</v>
      </c>
      <c r="H63" s="23">
        <f>Returns!U64-D63</f>
        <v>-2.3013062173757919E-2</v>
      </c>
    </row>
    <row r="64" spans="1:8">
      <c r="A64" s="337" t="str">
        <f>USD!Y65</f>
        <v>2Q2013</v>
      </c>
      <c r="B64" s="23">
        <v>-9.6993298167803998E-3</v>
      </c>
      <c r="C64" s="23">
        <v>-2.8753016941045536E-2</v>
      </c>
      <c r="D64" s="23">
        <v>-1.3280770412124467E-2</v>
      </c>
      <c r="F64" s="24">
        <f>Returns!C65-'Benchmark finished'!B64</f>
        <v>-1.3820382080736993E-4</v>
      </c>
      <c r="G64" s="23">
        <f>Returns!M65-'Benchmark finished'!C64</f>
        <v>2.1876967519322162E-2</v>
      </c>
      <c r="H64" s="23">
        <f>Returns!U65-D64</f>
        <v>-1.3869352314928949E-2</v>
      </c>
    </row>
    <row r="65" spans="1:14">
      <c r="A65" s="337" t="str">
        <f>USD!Y66</f>
        <v>3Q2013</v>
      </c>
      <c r="B65" s="23">
        <v>6.2732238431977061E-2</v>
      </c>
      <c r="C65" s="23">
        <v>4.0727290316757751E-2</v>
      </c>
      <c r="D65" s="23">
        <v>6.5616325019387314E-2</v>
      </c>
      <c r="F65" s="24">
        <f>Returns!C66-'Benchmark finished'!B65</f>
        <v>1.0562914642408217E-2</v>
      </c>
      <c r="G65" s="23">
        <f>Returns!M66-'Benchmark finished'!C65</f>
        <v>2.2395457468750775E-2</v>
      </c>
      <c r="H65" s="23">
        <f>Returns!U66-D65</f>
        <v>-2.16951172082296E-2</v>
      </c>
    </row>
    <row r="66" spans="1:14">
      <c r="A66" s="337" t="str">
        <f>USD!Y67</f>
        <v>4Q2013</v>
      </c>
      <c r="B66" s="23">
        <v>4.7458088947122445E-2</v>
      </c>
      <c r="C66" s="23">
        <v>2.0355325860249546E-2</v>
      </c>
      <c r="D66" s="23">
        <v>4.8594491206323739E-2</v>
      </c>
      <c r="E66">
        <f>((C66+1)*(C65+1)*(C64+1)*(C63+1))-1</f>
        <v>6.1960929406722931E-2</v>
      </c>
      <c r="F66" s="24">
        <f>Returns!C67-'Benchmark finished'!B66</f>
        <v>-2.7596524011711532E-3</v>
      </c>
      <c r="G66" s="23">
        <f>Returns!M67-'Benchmark finished'!C66</f>
        <v>2.1794051567380041E-2</v>
      </c>
      <c r="H66" s="23">
        <f>Returns!U67-D66</f>
        <v>-2.6960847841436139E-2</v>
      </c>
    </row>
    <row r="67" spans="1:14">
      <c r="A67" s="337" t="str">
        <f>USD!Y68</f>
        <v>1Q2014</v>
      </c>
      <c r="B67" s="23">
        <v>1.2724039004504565E-2</v>
      </c>
      <c r="C67" s="23">
        <v>1.6948552511953929E-2</v>
      </c>
      <c r="D67" s="23">
        <v>1.1191500438027293E-2</v>
      </c>
      <c r="F67" s="24">
        <f>Returns!C68-'Benchmark finished'!B67</f>
        <v>6.5874911746887279E-3</v>
      </c>
      <c r="G67" s="23">
        <f>Returns!M68-'Benchmark finished'!C67</f>
        <v>1.3851158837241195E-2</v>
      </c>
      <c r="H67" s="23">
        <f>Returns!U68-D67</f>
        <v>1.5540683943373943E-2</v>
      </c>
    </row>
    <row r="68" spans="1:14">
      <c r="A68" s="337" t="str">
        <f>USD!Y69</f>
        <v>2Q2014</v>
      </c>
      <c r="B68" s="23">
        <v>3.2290451261296156E-2</v>
      </c>
      <c r="C68" s="23">
        <v>3.492865054000549E-2</v>
      </c>
      <c r="D68" s="23">
        <v>3.3487239931492822E-2</v>
      </c>
      <c r="F68" s="24">
        <f>Returns!C69-'Benchmark finished'!B68</f>
        <v>3.278959067714797E-3</v>
      </c>
      <c r="G68" s="23">
        <f>Returns!M69-'Benchmark finished'!C68</f>
        <v>8.4650782173059103E-3</v>
      </c>
      <c r="H68" s="23">
        <f>Returns!U69-D68</f>
        <v>1.8755833329029976E-2</v>
      </c>
    </row>
    <row r="69" spans="1:14">
      <c r="A69" s="337" t="str">
        <f>USD!Y70</f>
        <v>3Q2014</v>
      </c>
      <c r="B69" s="23">
        <v>-2.6187634256489487E-2</v>
      </c>
      <c r="C69" s="23">
        <v>-3.1226555911147549E-2</v>
      </c>
      <c r="D69" s="23">
        <v>-2.6278375722537269E-2</v>
      </c>
      <c r="F69" s="24">
        <f>Returns!C70-'Benchmark finished'!B69</f>
        <v>-1.5071265448343831E-2</v>
      </c>
      <c r="G69" s="23">
        <f>Returns!M70-'Benchmark finished'!C69</f>
        <v>-1.9406777327100264E-2</v>
      </c>
      <c r="H69" s="23">
        <f>Returns!U70-D69</f>
        <v>1.0650591375415627E-2</v>
      </c>
    </row>
    <row r="70" spans="1:14">
      <c r="A70" s="337" t="str">
        <f>USD!Y71</f>
        <v>4Q2014</v>
      </c>
      <c r="B70" s="23">
        <v>5.0436201922883384E-3</v>
      </c>
      <c r="C70" s="23">
        <v>5.3791615009443454E-4</v>
      </c>
      <c r="D70" s="23">
        <v>2.5591789770695005E-4</v>
      </c>
      <c r="E70">
        <f>((C70+1)*(C69+1)*(C68+1)*(C67+1))-1</f>
        <v>2.0152666584674961E-2</v>
      </c>
      <c r="F70" s="24">
        <f>Returns!C71-'Benchmark finished'!B70</f>
        <v>-2.3241813180774798E-2</v>
      </c>
      <c r="G70" s="23">
        <f>Returns!M71-'Benchmark finished'!C70</f>
        <v>-1.5740968427498586E-2</v>
      </c>
      <c r="H70" s="23">
        <f>Returns!U71-D70</f>
        <v>-5.867671306260527E-3</v>
      </c>
    </row>
    <row r="71" spans="1:14">
      <c r="A71" s="337" t="str">
        <f>USD!Y72</f>
        <v>1Q2015</v>
      </c>
      <c r="B71" s="23">
        <v>1.5301435576441825E-2</v>
      </c>
      <c r="C71" s="23">
        <v>9.1974668379266426E-3</v>
      </c>
      <c r="D71" s="23">
        <v>1.5719436575592598E-2</v>
      </c>
      <c r="F71" s="24">
        <f>Returns!C72-'Benchmark finished'!B71</f>
        <v>-5.2801378628835171E-3</v>
      </c>
      <c r="G71" s="23">
        <f>Returns!M72-'Benchmark finished'!C71</f>
        <v>-4.3706163518775862E-2</v>
      </c>
      <c r="H71" s="23">
        <f>Returns!U72-D71</f>
        <v>-1.9257181831844099E-2</v>
      </c>
      <c r="N71" s="23"/>
    </row>
    <row r="72" spans="1:14">
      <c r="A72" s="337" t="str">
        <f>USD!Y73</f>
        <v>2Q2015</v>
      </c>
      <c r="B72" s="23">
        <v>-3.6564442988955507E-3</v>
      </c>
      <c r="C72" s="23">
        <v>-1.1758066704351217E-2</v>
      </c>
      <c r="D72" s="23">
        <v>-8.3647159300463333E-4</v>
      </c>
      <c r="F72" s="24">
        <f>Returns!C73-'Benchmark finished'!B72</f>
        <v>9.2217684122717306E-3</v>
      </c>
      <c r="G72" s="23">
        <f>Returns!M73-'Benchmark finished'!C72</f>
        <v>4.0849217431131631E-3</v>
      </c>
      <c r="H72" s="23">
        <f>Returns!U73-D72</f>
        <v>1.4653986632328458E-2</v>
      </c>
      <c r="N72" s="23"/>
    </row>
    <row r="73" spans="1:14">
      <c r="A73" s="337" t="str">
        <f>USD!Y74</f>
        <v>3Q2015</v>
      </c>
      <c r="B73" s="23">
        <v>-5.3789647043126561E-2</v>
      </c>
      <c r="C73" s="23">
        <v>-4.8047838013566942E-2</v>
      </c>
      <c r="D73" s="106">
        <v>-6.356918175475948E-2</v>
      </c>
      <c r="F73" s="24">
        <f>Returns!C74-'Benchmark finished'!B73</f>
        <v>-9.4933514420740203E-3</v>
      </c>
      <c r="G73" s="23">
        <f>Returns!M74-'Benchmark finished'!C73</f>
        <v>1.8827904237727296E-2</v>
      </c>
      <c r="H73" s="106">
        <f>Returns!U74-D73</f>
        <v>9.080889451705515E-3</v>
      </c>
      <c r="N73" s="23"/>
    </row>
    <row r="74" spans="1:14">
      <c r="A74" s="337" t="str">
        <f>USD!Y75</f>
        <v>4Q2015</v>
      </c>
      <c r="B74" s="23">
        <v>3.291600871610182E-2</v>
      </c>
      <c r="C74" s="695">
        <v>1.344483002382937E-2</v>
      </c>
      <c r="D74" s="106">
        <v>3.1766748044412645E-2</v>
      </c>
      <c r="E74">
        <f>((C74+1)*(C73+1)*(C72+1)*(C71+1))-1</f>
        <v>-3.7823676724184074E-2</v>
      </c>
      <c r="F74" s="24">
        <f>Returns!C75-'Benchmark finished'!B74</f>
        <v>-1.0332997992017291E-2</v>
      </c>
      <c r="G74" s="106">
        <f>Returns!M75-'Benchmark finished'!C74</f>
        <v>-2.1857216017080485E-2</v>
      </c>
      <c r="H74" s="106">
        <f>Returns!U75-D74</f>
        <v>-2.4102952705274565E-2</v>
      </c>
      <c r="N74" s="23"/>
    </row>
    <row r="75" spans="1:14">
      <c r="A75" s="337" t="str">
        <f>USD!Y76</f>
        <v>1Q2016</v>
      </c>
      <c r="B75" s="23">
        <v>1.4189182041899874E-2</v>
      </c>
      <c r="C75" s="695">
        <v>2.9087256075173287E-2</v>
      </c>
      <c r="D75" s="106">
        <v>1.0681106587328798E-2</v>
      </c>
      <c r="F75" s="24">
        <f>Returns!C76-'Benchmark finished'!B75</f>
        <v>1.2614363540087922E-3</v>
      </c>
      <c r="G75" s="106">
        <f>Returns!M76-'Benchmark finished'!C75</f>
        <v>4.3322174909955352E-2</v>
      </c>
      <c r="H75" s="106">
        <f>Returns!U76-D75</f>
        <v>3.5728547744439003E-2</v>
      </c>
    </row>
    <row r="76" spans="1:14">
      <c r="A76" s="337" t="str">
        <f>USD!Y77</f>
        <v>2Q2016</v>
      </c>
      <c r="B76" s="23">
        <v>1.6701382092104367E-2</v>
      </c>
      <c r="C76" s="695">
        <v>2.4394229242554754E-2</v>
      </c>
      <c r="D76" s="106">
        <v>1.5144860010921775E-2</v>
      </c>
      <c r="F76" s="24">
        <f>Returns!C77-'Benchmark finished'!B76</f>
        <v>-1.1542463335531994E-2</v>
      </c>
      <c r="G76" s="106">
        <f>Returns!M77-'Benchmark finished'!C76</f>
        <v>-1.1556088374611095E-2</v>
      </c>
      <c r="H76" s="106">
        <f>Returns!U77-D76</f>
        <v>-4.6619141681209248E-3</v>
      </c>
      <c r="K76" s="23"/>
    </row>
    <row r="77" spans="1:14">
      <c r="A77" s="337" t="str">
        <f>USD!Y78</f>
        <v>3Q2016</v>
      </c>
      <c r="B77" s="23">
        <v>3.2192589722626001E-2</v>
      </c>
      <c r="C77" s="695">
        <v>2.0205342652435537E-2</v>
      </c>
      <c r="D77" s="23">
        <v>4.2178248690905709E-2</v>
      </c>
      <c r="F77" s="24">
        <f>Returns!C78-'Benchmark finished'!B77</f>
        <v>1.0437513583231812E-2</v>
      </c>
      <c r="G77" s="106">
        <f>Returns!M78-'Benchmark finished'!C77</f>
        <v>1.8190593856262344E-2</v>
      </c>
      <c r="H77" s="106">
        <f>Returns!U78-D77</f>
        <v>-8.1333760075410627E-3</v>
      </c>
      <c r="K77" s="23"/>
    </row>
    <row r="78" spans="1:14">
      <c r="A78" s="337" t="str">
        <f>USD!Y79</f>
        <v>4Q2016</v>
      </c>
      <c r="B78" s="23">
        <v>1.1057738403031172E-2</v>
      </c>
      <c r="C78" s="695">
        <v>-1.587362307500072E-3</v>
      </c>
      <c r="D78" s="23">
        <v>1.1593656763131586E-2</v>
      </c>
      <c r="E78">
        <f>((C78+1)*(C77+1)*(C76+1)*(C75+1))-1</f>
        <v>7.3784143414628023E-2</v>
      </c>
      <c r="F78" s="24">
        <f>Returns!C79-'Benchmark finished'!B78</f>
        <v>-2.9522925679412195E-2</v>
      </c>
      <c r="G78" s="106">
        <f>Returns!M79-'Benchmark finished'!C78</f>
        <v>-5.6185716627581477E-2</v>
      </c>
      <c r="H78" s="106">
        <f>Returns!U79-D78</f>
        <v>-2.6222183028916622E-2</v>
      </c>
      <c r="K78" s="23"/>
    </row>
    <row r="79" spans="1:14">
      <c r="A79" s="155" t="s">
        <v>365</v>
      </c>
      <c r="B79" s="208">
        <f>AVERAGE(B35:B78)</f>
        <v>1.126056865719567E-2</v>
      </c>
      <c r="C79" s="208">
        <f>AVERAGE(C35:C78)</f>
        <v>1.0379918100710553E-2</v>
      </c>
      <c r="D79" s="208">
        <f>AVERAGE(D35:D78)</f>
        <v>1.3118568612410881E-2</v>
      </c>
      <c r="E79" s="155"/>
      <c r="F79" s="208">
        <f>AVERAGE(F35:F78)</f>
        <v>1.587324787511716E-3</v>
      </c>
      <c r="G79" s="208">
        <f>AVERAGE(G35:G78)</f>
        <v>5.0620582295305529E-3</v>
      </c>
      <c r="H79" s="208">
        <f>AVERAGE(H35:H78)</f>
        <v>2.740111875048178E-3</v>
      </c>
      <c r="K79" s="23"/>
    </row>
    <row r="80" spans="1:14" ht="15.75" thickBot="1">
      <c r="A80" s="209" t="s">
        <v>481</v>
      </c>
      <c r="B80" s="210">
        <f>_xlfn.STDEV.S(B35:B78)</f>
        <v>5.2732450342482688E-2</v>
      </c>
      <c r="C80" s="210">
        <f>_xlfn.STDEV.S(C35:C78)</f>
        <v>4.6218730609279293E-2</v>
      </c>
      <c r="D80" s="210">
        <f>_xlfn.STDEV.S(D35:D78)</f>
        <v>5.8064709952383442E-2</v>
      </c>
      <c r="E80" s="209"/>
      <c r="F80" s="210">
        <f>_xlfn.STDEV.S(F35:F78)</f>
        <v>1.9249035368833364E-2</v>
      </c>
      <c r="G80" s="210">
        <f>_xlfn.STDEV.S(G35:G78)</f>
        <v>3.4901080942742663E-2</v>
      </c>
      <c r="H80" s="210">
        <f>_xlfn.STDEV.S(H35:H78)</f>
        <v>2.3732707586128696E-2</v>
      </c>
    </row>
    <row r="81" spans="5:8" ht="15.75" thickBot="1">
      <c r="E81" s="213" t="s">
        <v>482</v>
      </c>
      <c r="F81" s="211">
        <f>F79/F80</f>
        <v>8.2462562777654652E-2</v>
      </c>
      <c r="G81" s="211">
        <f>G79/G80</f>
        <v>0.14504015614402219</v>
      </c>
      <c r="H81" s="212">
        <f>H79/H80</f>
        <v>0.1154571961544632</v>
      </c>
    </row>
  </sheetData>
  <mergeCells count="6">
    <mergeCell ref="B2:D2"/>
    <mergeCell ref="F2:H2"/>
    <mergeCell ref="K2:M2"/>
    <mergeCell ref="O2:R2"/>
    <mergeCell ref="K18:K19"/>
    <mergeCell ref="J18:J1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9"/>
  <sheetViews>
    <sheetView zoomScale="80" zoomScaleNormal="80" zoomScalePageLayoutView="80" workbookViewId="0">
      <selection activeCell="D8" sqref="D8"/>
    </sheetView>
  </sheetViews>
  <sheetFormatPr defaultColWidth="12.42578125" defaultRowHeight="15.75"/>
  <cols>
    <col min="1" max="3" width="12.42578125" style="94"/>
    <col min="4" max="4" width="35" style="94" customWidth="1"/>
    <col min="5" max="5" width="15.42578125" style="94" customWidth="1"/>
    <col min="6" max="16384" width="12.42578125" style="94"/>
  </cols>
  <sheetData>
    <row r="1" spans="1:12">
      <c r="A1" s="94" t="s">
        <v>362</v>
      </c>
      <c r="B1" s="94" t="s">
        <v>340</v>
      </c>
    </row>
    <row r="2" spans="1:12">
      <c r="A2" s="94" t="s">
        <v>361</v>
      </c>
      <c r="B2" s="94" t="s">
        <v>268</v>
      </c>
    </row>
    <row r="3" spans="1:12">
      <c r="A3" s="94" t="s">
        <v>360</v>
      </c>
      <c r="B3" s="94" t="s">
        <v>359</v>
      </c>
    </row>
    <row r="4" spans="1:12">
      <c r="A4" s="94" t="s">
        <v>358</v>
      </c>
      <c r="B4" s="94" t="s">
        <v>357</v>
      </c>
      <c r="D4" s="94" t="s">
        <v>356</v>
      </c>
      <c r="E4" s="94" t="s">
        <v>355</v>
      </c>
      <c r="G4" s="94" t="s">
        <v>354</v>
      </c>
      <c r="H4" s="94" t="s">
        <v>353</v>
      </c>
      <c r="I4" s="94" t="s">
        <v>352</v>
      </c>
      <c r="L4" s="94" t="s">
        <v>351</v>
      </c>
    </row>
    <row r="5" spans="1:12">
      <c r="A5" s="94" t="s">
        <v>350</v>
      </c>
      <c r="B5" s="94" t="s">
        <v>349</v>
      </c>
      <c r="D5" s="94" t="s">
        <v>348</v>
      </c>
      <c r="E5" s="94" t="s">
        <v>347</v>
      </c>
      <c r="G5" s="94" t="s">
        <v>346</v>
      </c>
      <c r="H5" s="94" t="s">
        <v>345</v>
      </c>
      <c r="I5" s="94" t="s">
        <v>344</v>
      </c>
      <c r="L5" s="94" t="s">
        <v>343</v>
      </c>
    </row>
    <row r="6" spans="1:12">
      <c r="A6" s="94" t="s">
        <v>342</v>
      </c>
      <c r="B6" s="94" t="s">
        <v>341</v>
      </c>
      <c r="D6" s="94" t="s">
        <v>341</v>
      </c>
      <c r="E6" s="94" t="s">
        <v>341</v>
      </c>
      <c r="G6" s="94" t="s">
        <v>341</v>
      </c>
      <c r="H6" s="94" t="s">
        <v>341</v>
      </c>
      <c r="I6" s="94" t="s">
        <v>341</v>
      </c>
      <c r="L6" s="94" t="s">
        <v>341</v>
      </c>
    </row>
    <row r="7" spans="1:12">
      <c r="A7" s="94" t="s">
        <v>340</v>
      </c>
      <c r="B7" s="94">
        <v>5.0640600000000004</v>
      </c>
      <c r="D7" s="94">
        <v>1149.952</v>
      </c>
      <c r="E7" s="94">
        <v>2977.1530000000002</v>
      </c>
      <c r="G7" s="94">
        <v>0.851607</v>
      </c>
      <c r="H7" s="94">
        <v>1.536</v>
      </c>
      <c r="I7" s="94">
        <v>7.6190000000000007</v>
      </c>
      <c r="L7" s="94">
        <v>4.9400000000000004</v>
      </c>
    </row>
    <row r="8" spans="1:12">
      <c r="A8" s="94" t="s">
        <v>339</v>
      </c>
      <c r="B8" s="94">
        <v>4.9371900000000002</v>
      </c>
      <c r="D8" s="94">
        <v>1187.5450000000001</v>
      </c>
      <c r="E8" s="94">
        <v>3086.0080000000003</v>
      </c>
      <c r="G8" s="94">
        <v>0.92626900000000001</v>
      </c>
      <c r="H8" s="94">
        <v>1.5128000000000001</v>
      </c>
      <c r="I8" s="94">
        <v>7.7287500000000007</v>
      </c>
      <c r="L8" s="94">
        <v>4.8100000000000005</v>
      </c>
    </row>
    <row r="9" spans="1:12">
      <c r="A9" s="94" t="s">
        <v>338</v>
      </c>
      <c r="B9" s="94">
        <v>5.2362500000000001</v>
      </c>
      <c r="D9" s="94">
        <v>1240.75</v>
      </c>
      <c r="E9" s="94">
        <v>3235.9140000000002</v>
      </c>
      <c r="G9" s="94">
        <v>0.96969699999999992</v>
      </c>
      <c r="H9" s="94">
        <v>1.4801000000000002</v>
      </c>
      <c r="I9" s="94">
        <v>7.8725000000000005</v>
      </c>
      <c r="L9" s="94">
        <v>5.13</v>
      </c>
    </row>
    <row r="10" spans="1:12">
      <c r="A10" s="94" t="s">
        <v>337</v>
      </c>
      <c r="B10" s="94">
        <v>5.4</v>
      </c>
      <c r="D10" s="94">
        <v>1218.8969999999999</v>
      </c>
      <c r="E10" s="94">
        <v>3190.5750000000003</v>
      </c>
      <c r="G10" s="94">
        <v>0.93901099999999993</v>
      </c>
      <c r="H10" s="94">
        <v>1.4695</v>
      </c>
      <c r="I10" s="94">
        <v>7.7525000000000004</v>
      </c>
      <c r="L10" s="94">
        <v>5.3100000000000005</v>
      </c>
    </row>
    <row r="11" spans="1:12">
      <c r="A11" s="94" t="s">
        <v>336</v>
      </c>
      <c r="B11" s="94">
        <v>5.8275000000000006</v>
      </c>
      <c r="D11" s="94">
        <v>1420.885</v>
      </c>
      <c r="E11" s="94">
        <v>3731.5590000000002</v>
      </c>
      <c r="G11" s="94">
        <v>0.99765599999999999</v>
      </c>
      <c r="H11" s="94">
        <v>1.4513</v>
      </c>
      <c r="I11" s="94">
        <v>8.0371500000000005</v>
      </c>
      <c r="L11" s="94">
        <v>5.69</v>
      </c>
    </row>
    <row r="12" spans="1:12">
      <c r="A12" s="94" t="s">
        <v>335</v>
      </c>
      <c r="B12" s="94">
        <v>6.1325000000000003</v>
      </c>
      <c r="D12" s="94">
        <v>1431.9380000000001</v>
      </c>
      <c r="E12" s="94">
        <v>3772.5219999999999</v>
      </c>
      <c r="G12" s="94">
        <v>1.0450390000000001</v>
      </c>
      <c r="H12" s="94">
        <v>1.4518000000000002</v>
      </c>
      <c r="I12" s="94">
        <v>8.4392000000000014</v>
      </c>
      <c r="L12" s="94">
        <v>6.0600000000000005</v>
      </c>
    </row>
    <row r="13" spans="1:12">
      <c r="A13" s="94" t="s">
        <v>334</v>
      </c>
      <c r="B13" s="94">
        <v>6.6418800000000005</v>
      </c>
      <c r="D13" s="94">
        <v>1377.722</v>
      </c>
      <c r="E13" s="94">
        <v>3641.498</v>
      </c>
      <c r="G13" s="94">
        <v>1.043242</v>
      </c>
      <c r="H13" s="94">
        <v>1.4817</v>
      </c>
      <c r="I13" s="94">
        <v>8.5477000000000007</v>
      </c>
      <c r="L13" s="94">
        <v>6.5600000000000005</v>
      </c>
    </row>
    <row r="14" spans="1:12">
      <c r="A14" s="94" t="s">
        <v>333</v>
      </c>
      <c r="B14" s="94">
        <v>6.6175000000000006</v>
      </c>
      <c r="D14" s="94">
        <v>1305.2450000000001</v>
      </c>
      <c r="E14" s="94">
        <v>3461.0950000000003</v>
      </c>
      <c r="G14" s="94">
        <v>1.1332069999999999</v>
      </c>
      <c r="H14" s="94">
        <v>1.5046000000000002</v>
      </c>
      <c r="I14" s="94">
        <v>9.0783500000000004</v>
      </c>
      <c r="L14" s="94">
        <v>6.53</v>
      </c>
    </row>
    <row r="15" spans="1:12">
      <c r="A15" s="94" t="s">
        <v>332</v>
      </c>
      <c r="B15" s="94">
        <v>6.5612500000000002</v>
      </c>
      <c r="D15" s="94">
        <v>1221.2529999999999</v>
      </c>
      <c r="E15" s="94">
        <v>3249.5129999999999</v>
      </c>
      <c r="G15" s="94">
        <v>1.065131</v>
      </c>
      <c r="H15" s="94">
        <v>1.5020000000000002</v>
      </c>
      <c r="I15" s="94">
        <v>8.8185000000000002</v>
      </c>
      <c r="L15" s="94">
        <v>6.48</v>
      </c>
    </row>
    <row r="16" spans="1:12">
      <c r="A16" s="94" t="s">
        <v>331</v>
      </c>
      <c r="B16" s="94">
        <v>5.08</v>
      </c>
      <c r="D16" s="94">
        <v>1061.2619999999999</v>
      </c>
      <c r="E16" s="94">
        <v>2834.3969999999999</v>
      </c>
      <c r="G16" s="94">
        <v>1.1312219999999999</v>
      </c>
      <c r="H16" s="94">
        <v>1.5746000000000002</v>
      </c>
      <c r="I16" s="94">
        <v>9.1091000000000015</v>
      </c>
      <c r="L16" s="94">
        <v>4.9800000000000004</v>
      </c>
    </row>
    <row r="17" spans="1:12">
      <c r="A17" s="94" t="s">
        <v>330</v>
      </c>
      <c r="B17" s="94">
        <v>3.8625000000000003</v>
      </c>
      <c r="D17" s="94">
        <v>1084.788</v>
      </c>
      <c r="E17" s="94">
        <v>2913.0160000000001</v>
      </c>
      <c r="G17" s="94">
        <v>1.181265</v>
      </c>
      <c r="H17" s="94">
        <v>1.5176000000000001</v>
      </c>
      <c r="I17" s="94">
        <v>9.3358500000000006</v>
      </c>
      <c r="L17" s="94">
        <v>3.79</v>
      </c>
    </row>
    <row r="18" spans="1:12">
      <c r="A18" s="94" t="s">
        <v>329</v>
      </c>
      <c r="B18" s="94">
        <v>2.6300000000000003</v>
      </c>
      <c r="D18" s="94">
        <v>926.02300000000002</v>
      </c>
      <c r="E18" s="94">
        <v>2496.4009999999998</v>
      </c>
      <c r="G18" s="94">
        <v>1.0980559999999999</v>
      </c>
      <c r="H18" s="94">
        <v>1.5797000000000001</v>
      </c>
      <c r="I18" s="94">
        <v>8.8695500000000003</v>
      </c>
      <c r="L18" s="94">
        <v>2.63</v>
      </c>
    </row>
    <row r="19" spans="1:12">
      <c r="A19" s="94" t="s">
        <v>328</v>
      </c>
      <c r="B19" s="94">
        <v>1.8737500000000002</v>
      </c>
      <c r="D19" s="94">
        <v>1003.5160000000001</v>
      </c>
      <c r="E19" s="94">
        <v>2712.6579999999999</v>
      </c>
      <c r="G19" s="94">
        <v>1.1230909999999998</v>
      </c>
      <c r="H19" s="94">
        <v>1.5962500000000002</v>
      </c>
      <c r="I19" s="94">
        <v>8.9693000000000005</v>
      </c>
      <c r="L19" s="94">
        <v>1.8</v>
      </c>
    </row>
    <row r="20" spans="1:12">
      <c r="A20" s="94" t="s">
        <v>327</v>
      </c>
      <c r="B20" s="94">
        <v>1.8787500000000001</v>
      </c>
      <c r="D20" s="94">
        <v>1003.597</v>
      </c>
      <c r="E20" s="94">
        <v>2724.27</v>
      </c>
      <c r="G20" s="94">
        <v>1.146261</v>
      </c>
      <c r="H20" s="94">
        <v>1.5954000000000002</v>
      </c>
      <c r="I20" s="94">
        <v>8.8317000000000014</v>
      </c>
      <c r="L20" s="94">
        <v>1.82</v>
      </c>
    </row>
    <row r="21" spans="1:12">
      <c r="A21" s="94" t="s">
        <v>326</v>
      </c>
      <c r="B21" s="94">
        <v>1.8387500000000001</v>
      </c>
      <c r="D21" s="94">
        <v>907.81000000000006</v>
      </c>
      <c r="E21" s="94">
        <v>2479.2849999999999</v>
      </c>
      <c r="G21" s="94">
        <v>1.012554</v>
      </c>
      <c r="H21" s="94">
        <v>1.5209000000000001</v>
      </c>
      <c r="I21" s="94">
        <v>7.5043000000000006</v>
      </c>
      <c r="L21" s="94">
        <v>1.78</v>
      </c>
    </row>
    <row r="22" spans="1:12">
      <c r="A22" s="94" t="s">
        <v>325</v>
      </c>
      <c r="B22" s="94">
        <v>1.8112500000000002</v>
      </c>
      <c r="D22" s="94">
        <v>738.17899999999997</v>
      </c>
      <c r="E22" s="94">
        <v>2025.606</v>
      </c>
      <c r="G22" s="94">
        <v>1.011889</v>
      </c>
      <c r="H22" s="94">
        <v>1.5862000000000001</v>
      </c>
      <c r="I22" s="94">
        <v>7.4108000000000009</v>
      </c>
      <c r="L22" s="94">
        <v>1.78</v>
      </c>
    </row>
    <row r="23" spans="1:12">
      <c r="A23" s="94" t="s">
        <v>324</v>
      </c>
      <c r="B23" s="94">
        <v>1.3800000000000001</v>
      </c>
      <c r="D23" s="94">
        <v>792.21500000000003</v>
      </c>
      <c r="E23" s="94">
        <v>2182.5700000000002</v>
      </c>
      <c r="G23" s="94">
        <v>0.95292499999999991</v>
      </c>
      <c r="H23" s="94">
        <v>1.5798000000000001</v>
      </c>
      <c r="I23" s="94">
        <v>6.9277500000000005</v>
      </c>
      <c r="L23" s="94">
        <v>1.3</v>
      </c>
    </row>
    <row r="24" spans="1:12">
      <c r="A24" s="94" t="s">
        <v>323</v>
      </c>
      <c r="B24" s="94">
        <v>1.3</v>
      </c>
      <c r="D24" s="94">
        <v>748.62800000000004</v>
      </c>
      <c r="E24" s="94">
        <v>2074.6660000000002</v>
      </c>
      <c r="G24" s="94">
        <v>0.91642199999999996</v>
      </c>
      <c r="H24" s="94">
        <v>1.4709500000000002</v>
      </c>
      <c r="I24" s="94">
        <v>7.2567000000000004</v>
      </c>
      <c r="L24" s="94">
        <v>1.25</v>
      </c>
    </row>
    <row r="25" spans="1:12">
      <c r="A25" s="94" t="s">
        <v>322</v>
      </c>
      <c r="B25" s="94">
        <v>1.1200000000000001</v>
      </c>
      <c r="D25" s="94">
        <v>871.06600000000003</v>
      </c>
      <c r="E25" s="94">
        <v>2432.4749999999999</v>
      </c>
      <c r="G25" s="94">
        <v>0.87081500000000001</v>
      </c>
      <c r="H25" s="94">
        <v>1.3587500000000001</v>
      </c>
      <c r="I25" s="94">
        <v>7.2184000000000008</v>
      </c>
      <c r="L25" s="94">
        <v>1.04</v>
      </c>
    </row>
    <row r="26" spans="1:12">
      <c r="A26" s="94" t="s">
        <v>321</v>
      </c>
      <c r="B26" s="94">
        <v>1.1200000000000001</v>
      </c>
      <c r="D26" s="94">
        <v>909.64099999999996</v>
      </c>
      <c r="E26" s="94">
        <v>2552.643</v>
      </c>
      <c r="G26" s="94">
        <v>0.85870099999999994</v>
      </c>
      <c r="H26" s="94">
        <v>1.34945</v>
      </c>
      <c r="I26" s="94">
        <v>7.0559000000000003</v>
      </c>
      <c r="L26" s="94">
        <v>1.05</v>
      </c>
    </row>
    <row r="27" spans="1:12">
      <c r="A27" s="94" t="s">
        <v>320</v>
      </c>
      <c r="B27" s="94">
        <v>1.1200000000000001</v>
      </c>
      <c r="D27" s="94">
        <v>1036.318</v>
      </c>
      <c r="E27" s="94">
        <v>2919.442</v>
      </c>
      <c r="G27" s="94">
        <v>0.79280099999999998</v>
      </c>
      <c r="H27" s="94">
        <v>1.2922500000000001</v>
      </c>
      <c r="I27" s="94">
        <v>6.6528000000000009</v>
      </c>
      <c r="L27" s="94">
        <v>1.04</v>
      </c>
    </row>
    <row r="28" spans="1:12">
      <c r="A28" s="94" t="s">
        <v>319</v>
      </c>
      <c r="B28" s="94">
        <v>1.0900000000000001</v>
      </c>
      <c r="D28" s="94">
        <v>1059.1569999999999</v>
      </c>
      <c r="E28" s="94">
        <v>2998.83</v>
      </c>
      <c r="G28" s="94">
        <v>0.81373600000000001</v>
      </c>
      <c r="H28" s="94">
        <v>1.3142500000000001</v>
      </c>
      <c r="I28" s="94">
        <v>6.8658500000000009</v>
      </c>
      <c r="L28" s="94">
        <v>1.02</v>
      </c>
    </row>
    <row r="29" spans="1:12">
      <c r="A29" s="94" t="s">
        <v>318</v>
      </c>
      <c r="B29" s="94">
        <v>1.3687500000000001</v>
      </c>
      <c r="D29" s="94">
        <v>1062.5140000000001</v>
      </c>
      <c r="E29" s="94">
        <v>3030.0929999999998</v>
      </c>
      <c r="G29" s="94">
        <v>0.82192899999999991</v>
      </c>
      <c r="H29" s="94">
        <v>1.3407500000000001</v>
      </c>
      <c r="I29" s="94">
        <v>6.9315000000000007</v>
      </c>
      <c r="L29" s="94">
        <v>1.28</v>
      </c>
    </row>
    <row r="30" spans="1:12">
      <c r="A30" s="94" t="s">
        <v>317</v>
      </c>
      <c r="B30" s="94">
        <v>1.84</v>
      </c>
      <c r="D30" s="94">
        <v>1047.8610000000001</v>
      </c>
      <c r="E30" s="94">
        <v>3002.6959999999999</v>
      </c>
      <c r="G30" s="94">
        <v>0.80515300000000001</v>
      </c>
      <c r="H30" s="94">
        <v>1.2655500000000002</v>
      </c>
      <c r="I30" s="94">
        <v>6.7315000000000005</v>
      </c>
      <c r="L30" s="94">
        <v>1.77</v>
      </c>
    </row>
    <row r="31" spans="1:12">
      <c r="A31" s="94" t="s">
        <v>316</v>
      </c>
      <c r="B31" s="94">
        <v>2.4000000000000004</v>
      </c>
      <c r="D31" s="94">
        <v>1169.3410000000001</v>
      </c>
      <c r="E31" s="94">
        <v>3364.558</v>
      </c>
      <c r="G31" s="94">
        <v>0.73570000000000002</v>
      </c>
      <c r="H31" s="94">
        <v>1.19815</v>
      </c>
      <c r="I31" s="94">
        <v>6.0566500000000003</v>
      </c>
      <c r="L31" s="94">
        <v>2.3199999999999998</v>
      </c>
    </row>
    <row r="32" spans="1:12">
      <c r="A32" s="94" t="s">
        <v>315</v>
      </c>
      <c r="B32" s="94">
        <v>2.87</v>
      </c>
      <c r="D32" s="94">
        <v>1151.184</v>
      </c>
      <c r="E32" s="94">
        <v>3330.6350000000002</v>
      </c>
      <c r="G32" s="94">
        <v>0.76943799999999996</v>
      </c>
      <c r="H32" s="94">
        <v>1.2098500000000001</v>
      </c>
      <c r="I32" s="94">
        <v>6.3144000000000009</v>
      </c>
      <c r="L32" s="94">
        <v>2.81</v>
      </c>
    </row>
    <row r="33" spans="1:12">
      <c r="A33" s="94" t="s">
        <v>314</v>
      </c>
      <c r="B33" s="94">
        <v>3.3400000000000003</v>
      </c>
      <c r="D33" s="94">
        <v>1148.8130000000001</v>
      </c>
      <c r="E33" s="94">
        <v>3351.0190000000002</v>
      </c>
      <c r="G33" s="94">
        <v>0.82600299999999993</v>
      </c>
      <c r="H33" s="94">
        <v>1.2248000000000001</v>
      </c>
      <c r="I33" s="94">
        <v>6.5378000000000007</v>
      </c>
      <c r="L33" s="94">
        <v>3.2800000000000002</v>
      </c>
    </row>
    <row r="34" spans="1:12">
      <c r="A34" s="94" t="s">
        <v>313</v>
      </c>
      <c r="B34" s="94">
        <v>3.8637500000000005</v>
      </c>
      <c r="D34" s="94">
        <v>1224.3140000000001</v>
      </c>
      <c r="E34" s="94">
        <v>3588.41</v>
      </c>
      <c r="G34" s="94">
        <v>0.82942799999999994</v>
      </c>
      <c r="H34" s="94">
        <v>1.1606000000000001</v>
      </c>
      <c r="I34" s="94">
        <v>6.5243000000000002</v>
      </c>
      <c r="L34" s="94">
        <v>3.8000000000000003</v>
      </c>
    </row>
    <row r="35" spans="1:12">
      <c r="A35" s="94" t="s">
        <v>312</v>
      </c>
      <c r="B35" s="94">
        <v>4.3900000000000006</v>
      </c>
      <c r="D35" s="94">
        <v>1257.7750000000001</v>
      </c>
      <c r="E35" s="94">
        <v>3701.7950000000001</v>
      </c>
      <c r="G35" s="94">
        <v>0.84778100000000001</v>
      </c>
      <c r="H35" s="94">
        <v>1.16815</v>
      </c>
      <c r="I35" s="94">
        <v>6.7712500000000002</v>
      </c>
      <c r="L35" s="94">
        <v>4.3600000000000003</v>
      </c>
    </row>
    <row r="36" spans="1:12">
      <c r="A36" s="94" t="s">
        <v>311</v>
      </c>
      <c r="B36" s="94">
        <v>4.8293800000000005</v>
      </c>
      <c r="D36" s="94">
        <v>1335.069</v>
      </c>
      <c r="E36" s="94">
        <v>3950.3809999999999</v>
      </c>
      <c r="G36" s="94">
        <v>0.82634399999999997</v>
      </c>
      <c r="H36" s="94">
        <v>1.1666000000000001</v>
      </c>
      <c r="I36" s="94">
        <v>6.562850000000001</v>
      </c>
      <c r="L36" s="94">
        <v>4.82</v>
      </c>
    </row>
    <row r="37" spans="1:12">
      <c r="A37" s="94" t="s">
        <v>310</v>
      </c>
      <c r="B37" s="94">
        <v>5.3343800000000003</v>
      </c>
      <c r="D37" s="94">
        <v>1319.934</v>
      </c>
      <c r="E37" s="94">
        <v>3937.433</v>
      </c>
      <c r="G37" s="94">
        <v>0.78207499999999996</v>
      </c>
      <c r="H37" s="94">
        <v>1.1121000000000001</v>
      </c>
      <c r="I37" s="94">
        <v>6.2226000000000008</v>
      </c>
      <c r="L37" s="94">
        <v>5.3100000000000005</v>
      </c>
    </row>
    <row r="38" spans="1:12">
      <c r="A38" s="94" t="s">
        <v>309</v>
      </c>
      <c r="B38" s="94">
        <v>5.3218800000000002</v>
      </c>
      <c r="D38" s="94">
        <v>1373.3679999999999</v>
      </c>
      <c r="E38" s="94">
        <v>4117.4290000000001</v>
      </c>
      <c r="G38" s="94">
        <v>0.78942199999999996</v>
      </c>
      <c r="H38" s="94">
        <v>1.11565</v>
      </c>
      <c r="I38" s="94">
        <v>6.5186500000000009</v>
      </c>
      <c r="L38" s="94">
        <v>5.32</v>
      </c>
    </row>
    <row r="39" spans="1:12">
      <c r="A39" s="94" t="s">
        <v>308</v>
      </c>
      <c r="B39" s="94">
        <v>5.3218800000000002</v>
      </c>
      <c r="D39" s="94">
        <v>1483.578</v>
      </c>
      <c r="E39" s="94">
        <v>4466.2979999999998</v>
      </c>
      <c r="G39" s="94">
        <v>0.758351</v>
      </c>
      <c r="H39" s="94">
        <v>1.1637000000000002</v>
      </c>
      <c r="I39" s="94">
        <v>6.2263500000000009</v>
      </c>
      <c r="L39" s="94">
        <v>5.32</v>
      </c>
    </row>
    <row r="40" spans="1:12">
      <c r="A40" s="94" t="s">
        <v>307</v>
      </c>
      <c r="B40" s="94">
        <v>5.32</v>
      </c>
      <c r="D40" s="94">
        <v>1514.181</v>
      </c>
      <c r="E40" s="94">
        <v>4582.5119999999997</v>
      </c>
      <c r="G40" s="94">
        <v>0.75122999999999995</v>
      </c>
      <c r="H40" s="94">
        <v>1.1536500000000001</v>
      </c>
      <c r="I40" s="94">
        <v>6.1041000000000007</v>
      </c>
      <c r="L40" s="94">
        <v>5.32</v>
      </c>
    </row>
    <row r="41" spans="1:12">
      <c r="A41" s="94" t="s">
        <v>306</v>
      </c>
      <c r="B41" s="94">
        <v>5.32</v>
      </c>
      <c r="D41" s="94">
        <v>1602.3600000000001</v>
      </c>
      <c r="E41" s="94">
        <v>4889.9220000000005</v>
      </c>
      <c r="G41" s="94">
        <v>0.74043899999999996</v>
      </c>
      <c r="H41" s="94">
        <v>1.0637500000000002</v>
      </c>
      <c r="I41" s="94">
        <v>5.9063500000000007</v>
      </c>
      <c r="L41" s="94">
        <v>5.3100000000000005</v>
      </c>
    </row>
    <row r="42" spans="1:12">
      <c r="A42" s="94" t="s">
        <v>305</v>
      </c>
      <c r="B42" s="94">
        <v>5.1237500000000002</v>
      </c>
      <c r="D42" s="94">
        <v>1633.576</v>
      </c>
      <c r="E42" s="94">
        <v>5010.0690000000004</v>
      </c>
      <c r="G42" s="94">
        <v>0.70316099999999992</v>
      </c>
      <c r="H42" s="94">
        <v>0.99370000000000003</v>
      </c>
      <c r="I42" s="94">
        <v>5.42225</v>
      </c>
      <c r="L42" s="94">
        <v>5.15</v>
      </c>
    </row>
    <row r="43" spans="1:12">
      <c r="A43" s="94" t="s">
        <v>304</v>
      </c>
      <c r="B43" s="94">
        <v>4.6000000000000005</v>
      </c>
      <c r="D43" s="94">
        <v>1588.8030000000001</v>
      </c>
      <c r="E43" s="94">
        <v>4893.5429999999997</v>
      </c>
      <c r="G43" s="94">
        <v>0.683971</v>
      </c>
      <c r="H43" s="94">
        <v>0.9869500000000001</v>
      </c>
      <c r="I43" s="94">
        <v>5.4298500000000001</v>
      </c>
      <c r="L43" s="94">
        <v>4.7</v>
      </c>
    </row>
    <row r="44" spans="1:12">
      <c r="A44" s="94" t="s">
        <v>303</v>
      </c>
      <c r="B44" s="94">
        <v>2.7031300000000003</v>
      </c>
      <c r="D44" s="94">
        <v>1437.403</v>
      </c>
      <c r="E44" s="94">
        <v>4455.8050000000003</v>
      </c>
      <c r="G44" s="94">
        <v>0.63109399999999993</v>
      </c>
      <c r="H44" s="94">
        <v>1.0260500000000001</v>
      </c>
      <c r="I44" s="94">
        <v>5.0817500000000004</v>
      </c>
      <c r="L44" s="94">
        <v>3</v>
      </c>
    </row>
    <row r="45" spans="1:12">
      <c r="A45" s="94" t="s">
        <v>302</v>
      </c>
      <c r="B45" s="94">
        <v>2.4625000000000004</v>
      </c>
      <c r="D45" s="94">
        <v>1402.1290000000001</v>
      </c>
      <c r="E45" s="94">
        <v>4392.1720000000005</v>
      </c>
      <c r="G45" s="94">
        <v>0.63469900000000001</v>
      </c>
      <c r="H45" s="94">
        <v>1.0145500000000001</v>
      </c>
      <c r="I45" s="94">
        <v>5.0934500000000007</v>
      </c>
      <c r="L45" s="94">
        <v>2.6</v>
      </c>
    </row>
    <row r="46" spans="1:12">
      <c r="A46" s="94" t="s">
        <v>301</v>
      </c>
      <c r="B46" s="94">
        <v>3.9262500000000005</v>
      </c>
      <c r="D46" s="94">
        <v>1182.443</v>
      </c>
      <c r="E46" s="94">
        <v>3726.6880000000001</v>
      </c>
      <c r="G46" s="94">
        <v>0.71192099999999991</v>
      </c>
      <c r="H46" s="94">
        <v>1.0632000000000001</v>
      </c>
      <c r="I46" s="94">
        <v>5.9123000000000001</v>
      </c>
      <c r="L46" s="94">
        <v>7</v>
      </c>
    </row>
    <row r="47" spans="1:12">
      <c r="A47" s="94" t="s">
        <v>300</v>
      </c>
      <c r="B47" s="94">
        <v>0.43625000000000003</v>
      </c>
      <c r="D47" s="94">
        <v>920.226</v>
      </c>
      <c r="E47" s="94">
        <v>2919.7829999999999</v>
      </c>
      <c r="G47" s="94">
        <v>0.71939900000000001</v>
      </c>
      <c r="H47" s="94">
        <v>1.2345000000000002</v>
      </c>
      <c r="I47" s="94">
        <v>7.0021000000000004</v>
      </c>
      <c r="L47" s="94">
        <v>0.8</v>
      </c>
    </row>
    <row r="48" spans="1:12">
      <c r="A48" s="94" t="s">
        <v>299</v>
      </c>
      <c r="B48" s="94">
        <v>0.50063000000000002</v>
      </c>
      <c r="D48" s="94">
        <v>805.21600000000001</v>
      </c>
      <c r="E48" s="94">
        <v>2575.8160000000003</v>
      </c>
      <c r="G48" s="94">
        <v>0.75318200000000002</v>
      </c>
      <c r="H48" s="94">
        <v>1.2581500000000001</v>
      </c>
      <c r="I48" s="94">
        <v>6.7521000000000004</v>
      </c>
      <c r="L48" s="94">
        <v>1</v>
      </c>
    </row>
    <row r="49" spans="1:12">
      <c r="A49" s="94" t="s">
        <v>298</v>
      </c>
      <c r="B49" s="94">
        <v>0.30875000000000002</v>
      </c>
      <c r="D49" s="94">
        <v>964.048</v>
      </c>
      <c r="E49" s="94">
        <v>3117.982</v>
      </c>
      <c r="G49" s="94">
        <v>0.71293600000000001</v>
      </c>
      <c r="H49" s="94">
        <v>1.1613500000000001</v>
      </c>
      <c r="I49" s="94">
        <v>6.4365500000000004</v>
      </c>
      <c r="L49" s="94">
        <v>0.65</v>
      </c>
    </row>
    <row r="50" spans="1:12">
      <c r="A50" s="94" t="s">
        <v>297</v>
      </c>
      <c r="B50" s="94">
        <v>0.24563000000000001</v>
      </c>
      <c r="D50" s="94">
        <v>1126.9850000000001</v>
      </c>
      <c r="E50" s="94">
        <v>3665.7559999999999</v>
      </c>
      <c r="G50" s="94">
        <v>0.68413499999999994</v>
      </c>
      <c r="H50" s="94">
        <v>1.0733000000000001</v>
      </c>
      <c r="I50" s="94">
        <v>5.8023000000000007</v>
      </c>
      <c r="L50" s="94">
        <v>0.4</v>
      </c>
    </row>
    <row r="51" spans="1:12">
      <c r="A51" s="94" t="s">
        <v>296</v>
      </c>
      <c r="B51" s="94">
        <v>0.23094000000000001</v>
      </c>
      <c r="D51" s="94">
        <v>1168.4680000000001</v>
      </c>
      <c r="E51" s="94">
        <v>3818.8589999999999</v>
      </c>
      <c r="G51" s="94">
        <v>0.69698599999999999</v>
      </c>
      <c r="H51" s="94">
        <v>1.0483500000000001</v>
      </c>
      <c r="I51" s="94">
        <v>5.7768000000000006</v>
      </c>
      <c r="L51" s="94">
        <v>0.32</v>
      </c>
    </row>
    <row r="52" spans="1:12">
      <c r="A52" s="94" t="s">
        <v>295</v>
      </c>
      <c r="B52" s="94">
        <v>0.24863000000000002</v>
      </c>
      <c r="D52" s="94">
        <v>1200.53</v>
      </c>
      <c r="E52" s="94">
        <v>3946.96</v>
      </c>
      <c r="G52" s="94">
        <v>0.73904399999999992</v>
      </c>
      <c r="H52" s="94">
        <v>1.0145500000000001</v>
      </c>
      <c r="I52" s="94">
        <v>5.9357000000000006</v>
      </c>
      <c r="L52" s="94">
        <v>0.3</v>
      </c>
    </row>
    <row r="53" spans="1:12">
      <c r="A53" s="94" t="s">
        <v>294</v>
      </c>
      <c r="B53" s="94">
        <v>0.34844000000000003</v>
      </c>
      <c r="D53" s="94">
        <v>1041.3230000000001</v>
      </c>
      <c r="E53" s="94">
        <v>3453.8910000000001</v>
      </c>
      <c r="G53" s="94">
        <v>0.81639299999999992</v>
      </c>
      <c r="H53" s="94">
        <v>1.0626500000000001</v>
      </c>
      <c r="I53" s="94">
        <v>6.5031500000000007</v>
      </c>
      <c r="L53" s="94">
        <v>0.45</v>
      </c>
    </row>
    <row r="54" spans="1:12">
      <c r="A54" s="94" t="s">
        <v>293</v>
      </c>
      <c r="B54" s="94">
        <v>0.25625000000000003</v>
      </c>
      <c r="D54" s="94">
        <v>1179.194</v>
      </c>
      <c r="E54" s="94">
        <v>3933.681</v>
      </c>
      <c r="G54" s="94">
        <v>0.73249299999999995</v>
      </c>
      <c r="H54" s="94">
        <v>1.0258500000000002</v>
      </c>
      <c r="I54" s="94">
        <v>5.8562000000000003</v>
      </c>
      <c r="L54" s="94">
        <v>0.35000000000000003</v>
      </c>
    </row>
    <row r="55" spans="1:12">
      <c r="A55" s="94" t="s">
        <v>292</v>
      </c>
      <c r="B55" s="94">
        <v>0.26063000000000003</v>
      </c>
      <c r="D55" s="94">
        <v>1280.0710000000001</v>
      </c>
      <c r="E55" s="94">
        <v>4290.0450000000001</v>
      </c>
      <c r="G55" s="94">
        <v>0.74540600000000001</v>
      </c>
      <c r="H55" s="94">
        <v>0.99365000000000003</v>
      </c>
      <c r="I55" s="94">
        <v>5.8125000000000009</v>
      </c>
      <c r="L55" s="94">
        <v>0.32</v>
      </c>
    </row>
    <row r="56" spans="1:12">
      <c r="A56" s="94" t="s">
        <v>291</v>
      </c>
      <c r="B56" s="94">
        <v>0.24345000000000003</v>
      </c>
      <c r="D56" s="94">
        <v>1334.925</v>
      </c>
      <c r="E56" s="94">
        <v>4500.8249999999998</v>
      </c>
      <c r="G56" s="94">
        <v>0.70467199999999997</v>
      </c>
      <c r="H56" s="94">
        <v>0.97275000000000011</v>
      </c>
      <c r="I56" s="94">
        <v>5.5317500000000006</v>
      </c>
      <c r="L56" s="94">
        <v>0.28999999999999998</v>
      </c>
    </row>
    <row r="57" spans="1:12">
      <c r="A57" s="94" t="s">
        <v>290</v>
      </c>
      <c r="B57" s="94">
        <v>0.18555000000000002</v>
      </c>
      <c r="D57" s="94">
        <v>1331.182</v>
      </c>
      <c r="E57" s="94">
        <v>4531.2080000000005</v>
      </c>
      <c r="G57" s="94">
        <v>0.68972699999999998</v>
      </c>
      <c r="H57" s="94">
        <v>0.96510000000000007</v>
      </c>
      <c r="I57" s="94">
        <v>5.3654500000000001</v>
      </c>
      <c r="L57" s="94">
        <v>0.24</v>
      </c>
    </row>
    <row r="58" spans="1:12">
      <c r="A58" s="94" t="s">
        <v>289</v>
      </c>
      <c r="B58" s="94">
        <v>0.23944000000000001</v>
      </c>
      <c r="D58" s="94">
        <v>1104.0650000000001</v>
      </c>
      <c r="E58" s="94">
        <v>3782.7570000000001</v>
      </c>
      <c r="G58" s="94">
        <v>0.74532299999999996</v>
      </c>
      <c r="H58" s="94">
        <v>1.0420500000000001</v>
      </c>
      <c r="I58" s="94">
        <v>5.8710000000000004</v>
      </c>
      <c r="L58" s="94">
        <v>0.35000000000000003</v>
      </c>
    </row>
    <row r="59" spans="1:12">
      <c r="A59" s="94" t="s">
        <v>288</v>
      </c>
      <c r="B59" s="94">
        <v>0.29530000000000001</v>
      </c>
      <c r="D59" s="94">
        <v>1182.595</v>
      </c>
      <c r="E59" s="94">
        <v>4074.8340000000003</v>
      </c>
      <c r="G59" s="94">
        <v>0.77032699999999998</v>
      </c>
      <c r="H59" s="94">
        <v>1.0182500000000001</v>
      </c>
      <c r="I59" s="94">
        <v>5.9679500000000001</v>
      </c>
      <c r="L59" s="94">
        <v>0.36</v>
      </c>
    </row>
    <row r="60" spans="1:12">
      <c r="A60" s="94" t="s">
        <v>287</v>
      </c>
      <c r="B60" s="94">
        <v>0.24125000000000002</v>
      </c>
      <c r="D60" s="94">
        <v>1312.011</v>
      </c>
      <c r="E60" s="94">
        <v>4552.2020000000002</v>
      </c>
      <c r="G60" s="94">
        <v>0.75091999999999992</v>
      </c>
      <c r="H60" s="94">
        <v>0.99945000000000006</v>
      </c>
      <c r="I60" s="94">
        <v>5.7040500000000005</v>
      </c>
      <c r="L60" s="94">
        <v>0.33</v>
      </c>
    </row>
    <row r="61" spans="1:12">
      <c r="A61" s="94" t="s">
        <v>286</v>
      </c>
      <c r="B61" s="94">
        <v>0.24575000000000002</v>
      </c>
      <c r="D61" s="94">
        <v>1235.7160000000001</v>
      </c>
      <c r="E61" s="94">
        <v>4331.1549999999997</v>
      </c>
      <c r="G61" s="94">
        <v>0.787991</v>
      </c>
      <c r="H61" s="94">
        <v>1.0194500000000002</v>
      </c>
      <c r="I61" s="94">
        <v>5.9444500000000007</v>
      </c>
      <c r="L61" s="94">
        <v>0.3</v>
      </c>
    </row>
    <row r="62" spans="1:12">
      <c r="A62" s="94" t="s">
        <v>285</v>
      </c>
      <c r="B62" s="94">
        <v>0.21425000000000002</v>
      </c>
      <c r="D62" s="94">
        <v>1311.5040000000001</v>
      </c>
      <c r="E62" s="94">
        <v>4627.1840000000002</v>
      </c>
      <c r="G62" s="94">
        <v>0.77730299999999997</v>
      </c>
      <c r="H62" s="94">
        <v>0.9839500000000001</v>
      </c>
      <c r="I62" s="94">
        <v>5.7248000000000001</v>
      </c>
      <c r="L62" s="94">
        <v>0.28999999999999998</v>
      </c>
    </row>
    <row r="63" spans="1:12">
      <c r="A63" s="94" t="s">
        <v>284</v>
      </c>
      <c r="B63" s="94">
        <v>0.20870000000000002</v>
      </c>
      <c r="D63" s="94">
        <v>1338.5</v>
      </c>
      <c r="E63" s="94">
        <v>4748.6990000000005</v>
      </c>
      <c r="G63" s="94">
        <v>0.75849499999999992</v>
      </c>
      <c r="H63" s="94">
        <v>0.99570000000000003</v>
      </c>
      <c r="I63" s="94">
        <v>5.5652500000000007</v>
      </c>
      <c r="L63" s="94">
        <v>0.27</v>
      </c>
    </row>
    <row r="64" spans="1:12">
      <c r="A64" s="94" t="s">
        <v>283</v>
      </c>
      <c r="B64" s="94">
        <v>0.20370000000000002</v>
      </c>
      <c r="D64" s="94">
        <v>1434.5150000000001</v>
      </c>
      <c r="E64" s="94">
        <v>5122.5630000000001</v>
      </c>
      <c r="G64" s="94">
        <v>0.778756</v>
      </c>
      <c r="H64" s="94">
        <v>1.0159500000000001</v>
      </c>
      <c r="I64" s="94">
        <v>5.8325000000000005</v>
      </c>
      <c r="L64" s="94">
        <v>0.23</v>
      </c>
    </row>
    <row r="65" spans="1:12">
      <c r="A65" s="94" t="s">
        <v>282</v>
      </c>
      <c r="B65" s="94">
        <v>0.19465000000000002</v>
      </c>
      <c r="D65" s="94">
        <v>1433.548</v>
      </c>
      <c r="E65" s="94">
        <v>5165.8770000000004</v>
      </c>
      <c r="G65" s="94">
        <v>0.76932</v>
      </c>
      <c r="H65" s="94">
        <v>1.0549500000000001</v>
      </c>
      <c r="I65" s="94">
        <v>6.1060500000000006</v>
      </c>
      <c r="L65" s="94">
        <v>0.22</v>
      </c>
    </row>
    <row r="66" spans="1:12">
      <c r="A66" s="94" t="s">
        <v>281</v>
      </c>
      <c r="B66" s="94">
        <v>0.17885000000000001</v>
      </c>
      <c r="D66" s="94">
        <v>1543.672</v>
      </c>
      <c r="E66" s="94">
        <v>5594.3360000000002</v>
      </c>
      <c r="G66" s="94">
        <v>0.73874299999999993</v>
      </c>
      <c r="H66" s="94">
        <v>1.0279</v>
      </c>
      <c r="I66" s="94">
        <v>6.0142500000000005</v>
      </c>
      <c r="L66" s="94">
        <v>0.22</v>
      </c>
    </row>
    <row r="67" spans="1:12">
      <c r="A67" s="94" t="s">
        <v>280</v>
      </c>
      <c r="B67" s="94">
        <v>0.16770000000000002</v>
      </c>
      <c r="D67" s="94">
        <v>1661.069</v>
      </c>
      <c r="E67" s="94">
        <v>6048.1810000000005</v>
      </c>
      <c r="G67" s="94">
        <v>0.72571599999999992</v>
      </c>
      <c r="H67" s="94">
        <v>1.0625</v>
      </c>
      <c r="I67" s="94">
        <v>6.0668500000000005</v>
      </c>
      <c r="L67" s="94">
        <v>0.2</v>
      </c>
    </row>
    <row r="68" spans="1:12">
      <c r="A68" s="94" t="s">
        <v>279</v>
      </c>
      <c r="B68" s="94">
        <v>0.15200000000000002</v>
      </c>
      <c r="D68" s="94">
        <v>1673.874</v>
      </c>
      <c r="E68" s="94">
        <v>6132.5920000000006</v>
      </c>
      <c r="G68" s="94">
        <v>0.72555799999999993</v>
      </c>
      <c r="H68" s="94">
        <v>1.10375</v>
      </c>
      <c r="I68" s="94">
        <v>5.9870500000000009</v>
      </c>
      <c r="L68" s="94">
        <v>0.19</v>
      </c>
    </row>
    <row r="69" spans="1:12">
      <c r="A69" s="94" t="s">
        <v>278</v>
      </c>
      <c r="B69" s="94">
        <v>0.1552</v>
      </c>
      <c r="D69" s="94">
        <v>1743.415</v>
      </c>
      <c r="E69" s="94">
        <v>6442.5010000000002</v>
      </c>
      <c r="G69" s="94">
        <v>0.73037999999999992</v>
      </c>
      <c r="H69" s="94">
        <v>1.06515</v>
      </c>
      <c r="I69" s="94">
        <v>6.1363000000000003</v>
      </c>
      <c r="L69" s="94">
        <v>0.17</v>
      </c>
    </row>
    <row r="70" spans="1:12">
      <c r="A70" s="94" t="s">
        <v>277</v>
      </c>
      <c r="B70" s="94">
        <v>0.1565</v>
      </c>
      <c r="D70" s="94">
        <v>1698.4080000000001</v>
      </c>
      <c r="E70" s="94">
        <v>6310.268</v>
      </c>
      <c r="G70" s="94">
        <v>0.79160900000000001</v>
      </c>
      <c r="H70" s="94">
        <v>1.11755</v>
      </c>
      <c r="I70" s="94">
        <v>6.4227500000000006</v>
      </c>
      <c r="L70" s="94">
        <v>0.17</v>
      </c>
    </row>
    <row r="71" spans="1:12">
      <c r="A71" s="94" t="s">
        <v>276</v>
      </c>
      <c r="B71" s="94">
        <v>0.17125000000000001</v>
      </c>
      <c r="D71" s="94">
        <v>1709.672</v>
      </c>
      <c r="E71" s="94">
        <v>6381.0540000000001</v>
      </c>
      <c r="G71" s="94">
        <v>0.82641199999999992</v>
      </c>
      <c r="H71" s="94">
        <v>1.15825</v>
      </c>
      <c r="I71" s="94">
        <v>7.4975500000000004</v>
      </c>
      <c r="L71" s="94">
        <v>0.19</v>
      </c>
    </row>
    <row r="72" spans="1:12">
      <c r="A72" s="94" t="s">
        <v>275</v>
      </c>
      <c r="B72" s="94">
        <v>0.17625000000000002</v>
      </c>
      <c r="D72" s="94">
        <v>1740.8140000000001</v>
      </c>
      <c r="E72" s="94">
        <v>6537.6189999999997</v>
      </c>
      <c r="G72" s="94">
        <v>0.93109900000000001</v>
      </c>
      <c r="H72" s="94">
        <v>1.2665000000000002</v>
      </c>
      <c r="I72" s="94">
        <v>8.0591000000000008</v>
      </c>
      <c r="L72" s="94">
        <v>0.19</v>
      </c>
    </row>
    <row r="73" spans="1:12">
      <c r="A73" s="94" t="s">
        <v>274</v>
      </c>
      <c r="B73" s="94">
        <v>0.18650000000000003</v>
      </c>
      <c r="D73" s="94">
        <v>1735.6130000000001</v>
      </c>
      <c r="E73" s="94">
        <v>6569.4660000000003</v>
      </c>
      <c r="G73" s="94">
        <v>0.897505</v>
      </c>
      <c r="H73" s="94">
        <v>1.2484500000000001</v>
      </c>
      <c r="I73" s="94">
        <v>7.8675000000000006</v>
      </c>
      <c r="L73" s="94">
        <v>0.19</v>
      </c>
    </row>
    <row r="74" spans="1:12">
      <c r="A74" s="94" t="s">
        <v>273</v>
      </c>
      <c r="B74" s="94">
        <v>0.193</v>
      </c>
      <c r="D74" s="94">
        <v>1581.922</v>
      </c>
      <c r="E74" s="94">
        <v>6021.9539999999997</v>
      </c>
      <c r="G74" s="94">
        <v>0.89585700000000001</v>
      </c>
      <c r="H74" s="94">
        <v>1.3407</v>
      </c>
      <c r="I74" s="94">
        <v>8.5300000000000011</v>
      </c>
      <c r="L74" s="94">
        <v>0.19</v>
      </c>
    </row>
    <row r="75" spans="1:12">
      <c r="A75" s="94" t="s">
        <v>272</v>
      </c>
      <c r="B75" s="94">
        <v>0.42950000000000005</v>
      </c>
      <c r="D75" s="94">
        <v>1662.7940000000001</v>
      </c>
      <c r="E75" s="94">
        <v>6360.5749999999998</v>
      </c>
      <c r="G75" s="94">
        <v>0.92055599999999993</v>
      </c>
      <c r="H75" s="94">
        <v>1.3891000000000002</v>
      </c>
      <c r="I75" s="94">
        <v>8.8513500000000001</v>
      </c>
      <c r="L75" s="94">
        <v>0.5</v>
      </c>
    </row>
    <row r="76" spans="1:12">
      <c r="A76" s="94" t="s">
        <v>271</v>
      </c>
      <c r="B76" s="94">
        <v>0.43725000000000003</v>
      </c>
      <c r="D76" s="94">
        <v>1648.1179999999999</v>
      </c>
      <c r="E76" s="94">
        <v>6348.2950000000001</v>
      </c>
      <c r="G76" s="94">
        <v>0.87753899999999996</v>
      </c>
      <c r="H76" s="94">
        <v>1.2934500000000002</v>
      </c>
      <c r="I76" s="94">
        <v>8.2712500000000002</v>
      </c>
      <c r="L76" s="94">
        <v>0.48</v>
      </c>
    </row>
    <row r="77" spans="1:12">
      <c r="A77" s="94" t="s">
        <v>270</v>
      </c>
      <c r="B77" s="94">
        <v>0.46505000000000002</v>
      </c>
      <c r="D77" s="94">
        <v>1653.229</v>
      </c>
      <c r="E77" s="94">
        <v>6425.28</v>
      </c>
      <c r="G77" s="94">
        <v>0.90013100000000001</v>
      </c>
      <c r="H77" s="94">
        <v>1.2987000000000002</v>
      </c>
      <c r="I77" s="94">
        <v>8.3679500000000004</v>
      </c>
      <c r="L77" s="94">
        <v>0.48</v>
      </c>
    </row>
    <row r="78" spans="1:12">
      <c r="A78" s="94" t="s">
        <v>269</v>
      </c>
      <c r="B78" s="94">
        <v>0.53111000000000008</v>
      </c>
      <c r="D78" s="94">
        <v>1725.665</v>
      </c>
      <c r="E78" s="94">
        <v>6746.0770000000002</v>
      </c>
      <c r="G78" s="94">
        <v>0.88983799999999991</v>
      </c>
      <c r="H78" s="94">
        <v>1.3142500000000001</v>
      </c>
      <c r="I78" s="94">
        <v>7.9923000000000011</v>
      </c>
      <c r="L78" s="94">
        <v>0.5</v>
      </c>
    </row>
    <row r="79" spans="1:12">
      <c r="A79" s="94" t="s">
        <v>268</v>
      </c>
      <c r="B79" s="94">
        <v>0.77167000000000008</v>
      </c>
      <c r="D79" s="94">
        <v>1751.2190000000001</v>
      </c>
      <c r="E79" s="94">
        <v>6879.1620000000003</v>
      </c>
      <c r="G79" s="94">
        <v>0.94809199999999993</v>
      </c>
      <c r="H79" s="94">
        <v>1.3410500000000001</v>
      </c>
      <c r="I79" s="94">
        <v>8.6077000000000012</v>
      </c>
      <c r="L79" s="94" t="e">
        <v>#N/A</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D98"/>
  <sheetViews>
    <sheetView workbookViewId="0">
      <pane xSplit="1" topLeftCell="T1" activePane="topRight" state="frozen"/>
      <selection activeCell="AI66" sqref="AI66"/>
      <selection pane="topRight" activeCell="AD3" sqref="AD3:AD6"/>
    </sheetView>
  </sheetViews>
  <sheetFormatPr defaultColWidth="10.140625" defaultRowHeight="15.75"/>
  <cols>
    <col min="1" max="1" width="14.28515625" style="572" hidden="1" customWidth="1"/>
    <col min="2" max="4" width="12.42578125" style="552" hidden="1" customWidth="1"/>
    <col min="5" max="5" width="13.28515625" style="552" hidden="1" customWidth="1"/>
    <col min="6" max="9" width="12.42578125" style="552" hidden="1" customWidth="1"/>
    <col min="10" max="10" width="15.28515625" style="552" hidden="1" customWidth="1"/>
    <col min="11" max="11" width="12.42578125" style="552" hidden="1" customWidth="1"/>
    <col min="12" max="12" width="15.42578125" style="552" hidden="1" customWidth="1"/>
    <col min="13" max="13" width="10.28515625" style="552" hidden="1" customWidth="1"/>
    <col min="14" max="14" width="13.28515625" style="552" hidden="1" customWidth="1"/>
    <col min="15" max="15" width="11.28515625" style="552" hidden="1" customWidth="1"/>
    <col min="16" max="17" width="0" style="552" hidden="1" customWidth="1"/>
    <col min="18" max="18" width="15.42578125" style="552" hidden="1" customWidth="1"/>
    <col min="19" max="19" width="0" style="552" hidden="1" customWidth="1"/>
    <col min="20" max="20" width="13.85546875" style="572" customWidth="1"/>
    <col min="21" max="16384" width="10.140625" style="552"/>
  </cols>
  <sheetData>
    <row r="1" spans="1:30" ht="63.95" customHeight="1">
      <c r="A1" s="550" t="s">
        <v>83</v>
      </c>
      <c r="B1" s="1006" t="s">
        <v>369</v>
      </c>
      <c r="C1" s="1006"/>
      <c r="D1" s="1006" t="s">
        <v>650</v>
      </c>
      <c r="E1" s="1006"/>
      <c r="F1" s="1006"/>
      <c r="G1" s="1006" t="s">
        <v>649</v>
      </c>
      <c r="H1" s="1007" t="s">
        <v>648</v>
      </c>
      <c r="I1" s="1007"/>
      <c r="J1" s="1007"/>
      <c r="K1" s="1007"/>
      <c r="L1" s="1007"/>
      <c r="M1" s="1007"/>
      <c r="N1" s="557"/>
      <c r="O1" s="557"/>
      <c r="T1" s="579" t="s">
        <v>651</v>
      </c>
      <c r="U1" s="1008" t="s">
        <v>369</v>
      </c>
      <c r="V1" s="1008"/>
      <c r="W1" s="1008" t="s">
        <v>650</v>
      </c>
      <c r="X1" s="1008"/>
      <c r="Y1" s="1008"/>
      <c r="Z1" s="1008" t="s">
        <v>649</v>
      </c>
      <c r="AA1" s="581" t="s">
        <v>643</v>
      </c>
      <c r="AB1" s="581" t="s">
        <v>485</v>
      </c>
      <c r="AC1" s="581" t="s">
        <v>486</v>
      </c>
      <c r="AD1" s="1008" t="s">
        <v>647</v>
      </c>
    </row>
    <row r="2" spans="1:30" ht="15.95" customHeight="1">
      <c r="A2" s="550" t="s">
        <v>633</v>
      </c>
      <c r="B2" s="1006"/>
      <c r="C2" s="1006"/>
      <c r="D2" s="1006"/>
      <c r="E2" s="1006"/>
      <c r="F2" s="1006"/>
      <c r="G2" s="1006"/>
      <c r="H2" s="1007"/>
      <c r="I2" s="1007"/>
      <c r="J2" s="1007"/>
      <c r="K2" s="1007"/>
      <c r="L2" s="1007"/>
      <c r="M2" s="1007"/>
      <c r="N2" s="557" t="s">
        <v>373</v>
      </c>
      <c r="O2" s="557" t="s">
        <v>647</v>
      </c>
      <c r="T2" s="580" t="s">
        <v>633</v>
      </c>
      <c r="U2" s="581" t="s">
        <v>370</v>
      </c>
      <c r="V2" s="581" t="s">
        <v>368</v>
      </c>
      <c r="W2" s="581" t="s">
        <v>645</v>
      </c>
      <c r="X2" s="581" t="s">
        <v>367</v>
      </c>
      <c r="Y2" s="581" t="s">
        <v>368</v>
      </c>
      <c r="Z2" s="1008"/>
      <c r="AA2" s="581"/>
      <c r="AB2" s="581"/>
      <c r="AC2" s="581"/>
      <c r="AD2" s="1008"/>
    </row>
    <row r="3" spans="1:30">
      <c r="A3" s="550">
        <v>2016</v>
      </c>
      <c r="B3" s="556"/>
      <c r="C3" s="556"/>
      <c r="D3" s="556"/>
      <c r="E3" s="556"/>
      <c r="F3" s="556"/>
      <c r="G3" s="556"/>
      <c r="H3" s="1005"/>
      <c r="I3" s="1005"/>
      <c r="J3" s="1005"/>
      <c r="K3" s="1005"/>
      <c r="L3" s="1005"/>
      <c r="M3" s="1005"/>
      <c r="N3" s="556"/>
      <c r="O3" s="556"/>
      <c r="T3" s="580">
        <v>2016</v>
      </c>
      <c r="U3" s="692">
        <f>0.252*'Datastream - Indices'!AV3</f>
        <v>4.729703915950333E-3</v>
      </c>
      <c r="V3" s="692">
        <f>0.085*'Datastream - Indices'!AW3</f>
        <v>-3.4712464391084261E-3</v>
      </c>
      <c r="W3" s="692">
        <f>0.133*'Datastream - Indices'!AX3</f>
        <v>6.1047000000000011E-4</v>
      </c>
      <c r="X3" s="692">
        <f>0.144*'Datastream - Indices'!AY3</f>
        <v>2.8655999999999999E-4</v>
      </c>
      <c r="Y3" s="692">
        <f>0.03*'Datastream - Indices'!AZ3</f>
        <v>3.414E-4</v>
      </c>
      <c r="Z3" s="692">
        <f>0.088*'Datastream - Indices'!BA3</f>
        <v>7.9024E-4</v>
      </c>
      <c r="AA3" s="692">
        <f>0.05*'Datastream - Indices'!BB3</f>
        <v>4.15E-4</v>
      </c>
      <c r="AB3" s="692">
        <f>(0.103+0.051)*'Datastream - Indices'!BC3</f>
        <v>-7.6520222045995201E-3</v>
      </c>
      <c r="AC3" s="692">
        <f>0.041*'Datastream - Indices'!BD3</f>
        <v>2.3625324202575415E-3</v>
      </c>
      <c r="AD3" s="692">
        <f>SUM(U3:AC3)</f>
        <v>-1.587362307500072E-3</v>
      </c>
    </row>
    <row r="4" spans="1:30">
      <c r="A4" s="690"/>
      <c r="B4" s="556"/>
      <c r="C4" s="556"/>
      <c r="D4" s="556"/>
      <c r="E4" s="556"/>
      <c r="F4" s="556"/>
      <c r="G4" s="556"/>
      <c r="H4" s="689"/>
      <c r="I4" s="689"/>
      <c r="J4" s="689"/>
      <c r="K4" s="689"/>
      <c r="L4" s="689"/>
      <c r="M4" s="689"/>
      <c r="N4" s="556"/>
      <c r="O4" s="556"/>
      <c r="T4" s="580"/>
      <c r="U4" s="692">
        <f>0.252*'Datastream - Indices'!AV4</f>
        <v>1.3644479248238056E-2</v>
      </c>
      <c r="V4" s="692">
        <f>0.085*'Datastream - Indices'!AW4</f>
        <v>7.7807596578600017E-3</v>
      </c>
      <c r="W4" s="692">
        <f>0.133*'Datastream - Indices'!AX4</f>
        <v>-3.8570000000000005E-5</v>
      </c>
      <c r="X4" s="692">
        <f>0.144*'Datastream - Indices'!AY4</f>
        <v>-1.7279999999999997E-4</v>
      </c>
      <c r="Y4" s="692">
        <f>0.03*'Datastream - Indices'!AZ4</f>
        <v>5.7899999999999998E-5</v>
      </c>
      <c r="Z4" s="692">
        <f>0.088*'Datastream - Indices'!BA4</f>
        <v>5.1919999999999998E-5</v>
      </c>
      <c r="AA4" s="692">
        <f>0.05*'Datastream - Indices'!BB4</f>
        <v>2.5600000000000004E-4</v>
      </c>
      <c r="AB4" s="692">
        <f>(0.103+0.051)*'Datastream - Indices'!BC4</f>
        <v>3.2869371721803937E-4</v>
      </c>
      <c r="AC4" s="692">
        <f>0.041*'Datastream - Indices'!BD4</f>
        <v>-1.7030399708805551E-3</v>
      </c>
      <c r="AD4" s="692">
        <f>SUM(U4:AC4)</f>
        <v>2.0205342652435537E-2</v>
      </c>
    </row>
    <row r="5" spans="1:30">
      <c r="A5" s="690"/>
      <c r="B5" s="556"/>
      <c r="C5" s="556"/>
      <c r="D5" s="556"/>
      <c r="E5" s="556"/>
      <c r="F5" s="556"/>
      <c r="G5" s="556"/>
      <c r="H5" s="689"/>
      <c r="I5" s="689"/>
      <c r="J5" s="689"/>
      <c r="K5" s="689"/>
      <c r="L5" s="689"/>
      <c r="M5" s="689"/>
      <c r="N5" s="556"/>
      <c r="O5" s="556"/>
      <c r="T5" s="580"/>
      <c r="U5" s="692">
        <f>0.252*'Datastream - Indices'!AV5</f>
        <v>2.9911221074079594E-3</v>
      </c>
      <c r="V5" s="692">
        <f>0.085*'Datastream - Indices'!AW5</f>
        <v>6.7776873358498749E-4</v>
      </c>
      <c r="W5" s="692">
        <f>0.133*'Datastream - Indices'!AX5</f>
        <v>1.96042E-3</v>
      </c>
      <c r="X5" s="692">
        <f>0.144*'Datastream - Indices'!AY5</f>
        <v>3.7079999999999999E-3</v>
      </c>
      <c r="Y5" s="692">
        <f>0.03*'Datastream - Indices'!AZ5</f>
        <v>8.588999999999999E-4</v>
      </c>
      <c r="Z5" s="692">
        <f>0.088*'Datastream - Indices'!BA5</f>
        <v>1.6957599999999997E-3</v>
      </c>
      <c r="AA5" s="692">
        <f>0.05*'Datastream - Indices'!BB5</f>
        <v>1.4800000000000002E-4</v>
      </c>
      <c r="AB5" s="692">
        <f>(0.103+0.051)*'Datastream - Indices'!BC5</f>
        <v>7.1581527787128304E-3</v>
      </c>
      <c r="AC5" s="692">
        <f>0.041*'Datastream - Indices'!BD5</f>
        <v>5.1961056228489759E-3</v>
      </c>
      <c r="AD5" s="692">
        <f>SUM(U5:AC5)</f>
        <v>2.4394229242554754E-2</v>
      </c>
    </row>
    <row r="6" spans="1:30">
      <c r="A6" s="690"/>
      <c r="B6" s="556"/>
      <c r="C6" s="556"/>
      <c r="D6" s="556"/>
      <c r="E6" s="556"/>
      <c r="F6" s="556"/>
      <c r="G6" s="556"/>
      <c r="H6" s="689"/>
      <c r="I6" s="689"/>
      <c r="J6" s="689"/>
      <c r="K6" s="689"/>
      <c r="L6" s="689"/>
      <c r="M6" s="689"/>
      <c r="N6" s="556"/>
      <c r="O6" s="556"/>
      <c r="T6" s="580"/>
      <c r="U6" s="692">
        <f>0.252*'Datastream - Indices'!AV6</f>
        <v>-1.6696832579188851E-4</v>
      </c>
      <c r="V6" s="692">
        <f>0.085*'Datastream - Indices'!AW6</f>
        <v>4.8915927369206514E-3</v>
      </c>
      <c r="W6" s="692">
        <f>0.133*'Datastream - Indices'!AX6</f>
        <v>4.9515900000000005E-3</v>
      </c>
      <c r="X6" s="692">
        <f>0.144*'Datastream - Indices'!AY6</f>
        <v>4.7620800000000001E-3</v>
      </c>
      <c r="Y6" s="692">
        <f>0.03*'Datastream - Indices'!AZ6</f>
        <v>9.2010000000000008E-4</v>
      </c>
      <c r="Z6" s="692">
        <f>0.088*'Datastream - Indices'!BA6</f>
        <v>3.2260799999999997E-3</v>
      </c>
      <c r="AA6" s="692">
        <f>0.05*'Datastream - Indices'!BB6</f>
        <v>9.4649999999999997E-4</v>
      </c>
      <c r="AB6" s="692">
        <f>(0.103+0.051)*'Datastream - Indices'!BC6</f>
        <v>1.0579650156384256E-2</v>
      </c>
      <c r="AC6" s="692">
        <f>0.041*'Datastream - Indices'!BD6</f>
        <v>-1.0233684923397302E-3</v>
      </c>
      <c r="AD6" s="692">
        <f>SUM(U6:AC6)</f>
        <v>2.9087256075173287E-2</v>
      </c>
    </row>
    <row r="7" spans="1:30">
      <c r="A7" s="550">
        <v>2015</v>
      </c>
      <c r="B7" s="1005">
        <v>0.30199999999999999</v>
      </c>
      <c r="C7" s="1005"/>
      <c r="D7" s="1005">
        <v>0.33700000000000002</v>
      </c>
      <c r="E7" s="1005"/>
      <c r="F7" s="1005"/>
      <c r="G7" s="556">
        <v>0.09</v>
      </c>
      <c r="H7" s="1005">
        <v>0.28000000000000003</v>
      </c>
      <c r="I7" s="1005"/>
      <c r="J7" s="1005"/>
      <c r="K7" s="1005"/>
      <c r="L7" s="1005"/>
      <c r="M7" s="1005"/>
      <c r="N7" s="555">
        <v>-8.9999999999999993E-3</v>
      </c>
      <c r="O7" s="560">
        <f>SUM(B7:N7)</f>
        <v>0.99999999999999989</v>
      </c>
      <c r="T7" s="580">
        <v>2015</v>
      </c>
      <c r="U7" s="554">
        <f>0.25*'Datastream - Indices'!AV7</f>
        <v>1.3476113429277055E-2</v>
      </c>
      <c r="V7" s="554">
        <f>0.1*'Datastream - Indices'!AW7</f>
        <v>7.3115162829542977E-4</v>
      </c>
      <c r="W7" s="554">
        <f>0.15*'Datastream - Indices'!AX7</f>
        <v>-4.5899999999999994E-4</v>
      </c>
      <c r="X7" s="554">
        <f>0.15*'Datastream - Indices'!AY7</f>
        <v>-4.035E-4</v>
      </c>
      <c r="Y7" s="554">
        <f>0.02*'Datastream - Indices'!AZ7</f>
        <v>-2.8000000000000003E-4</v>
      </c>
      <c r="Z7" s="554">
        <f>0.1*'Datastream - Indices'!BA7</f>
        <v>-1.7890000000000004E-3</v>
      </c>
      <c r="AA7" s="554">
        <f>0.05*'Datastream - Indices'!BB7</f>
        <v>-6.1700000000000004E-4</v>
      </c>
      <c r="AB7" s="554">
        <f>0.15*'Datastream - Indices'!BC7</f>
        <v>7.7753491250172543E-3</v>
      </c>
      <c r="AC7" s="554">
        <f>0.03*'Datastream - Indices'!BD7</f>
        <v>-4.9892841587603686E-3</v>
      </c>
      <c r="AD7" s="554">
        <f t="shared" ref="AD7:AD38" si="0">SUM(U7:AC7)</f>
        <v>1.344483002382937E-2</v>
      </c>
    </row>
    <row r="8" spans="1:30">
      <c r="A8" s="550"/>
      <c r="B8" s="561"/>
      <c r="C8" s="561"/>
      <c r="D8" s="561"/>
      <c r="E8" s="561"/>
      <c r="F8" s="561"/>
      <c r="G8" s="556"/>
      <c r="H8" s="561"/>
      <c r="I8" s="561"/>
      <c r="J8" s="561"/>
      <c r="K8" s="561"/>
      <c r="L8" s="561"/>
      <c r="M8" s="561"/>
      <c r="N8" s="555"/>
      <c r="O8" s="560"/>
      <c r="T8" s="580"/>
      <c r="U8" s="554">
        <f>0.25*'Datastream - Indices'!AV8</f>
        <v>-2.142668057739924E-2</v>
      </c>
      <c r="V8" s="554">
        <f>0.1*'Datastream - Indices'!AW8</f>
        <v>-1.7780296738002611E-2</v>
      </c>
      <c r="W8" s="554">
        <f>0.15*'Datastream - Indices'!AX8</f>
        <v>6.8999999999999997E-5</v>
      </c>
      <c r="X8" s="554">
        <f>0.15*'Datastream - Indices'!AY8</f>
        <v>-1.3950000000000002E-3</v>
      </c>
      <c r="Y8" s="554">
        <f>0.02*'Datastream - Indices'!AZ8</f>
        <v>-2.5179999999999999E-4</v>
      </c>
      <c r="Z8" s="554">
        <f>0.1*'Datastream - Indices'!BA8</f>
        <v>-6.9200000000000012E-4</v>
      </c>
      <c r="AA8" s="554">
        <f>0.05*'Datastream - Indices'!BB8</f>
        <v>-7.1300000000000009E-4</v>
      </c>
      <c r="AB8" s="554">
        <f>0.15*'Datastream - Indices'!BC8</f>
        <v>-6.9414471137371476E-5</v>
      </c>
      <c r="AC8" s="554">
        <f>0.03*'Datastream - Indices'!BD8</f>
        <v>-5.7886462270277262E-3</v>
      </c>
      <c r="AD8" s="554">
        <f t="shared" si="0"/>
        <v>-4.8047838013566942E-2</v>
      </c>
    </row>
    <row r="9" spans="1:30">
      <c r="A9" s="550"/>
      <c r="B9" s="561"/>
      <c r="C9" s="561"/>
      <c r="D9" s="561"/>
      <c r="E9" s="561"/>
      <c r="F9" s="561"/>
      <c r="G9" s="556"/>
      <c r="H9" s="561"/>
      <c r="I9" s="561"/>
      <c r="J9" s="561"/>
      <c r="K9" s="561"/>
      <c r="L9" s="561"/>
      <c r="M9" s="561"/>
      <c r="N9" s="555"/>
      <c r="O9" s="560"/>
      <c r="T9" s="580"/>
      <c r="U9" s="554">
        <f>0.25*'Datastream - Indices'!AV9</f>
        <v>1.5551063896462141E-3</v>
      </c>
      <c r="V9" s="554">
        <f>0.1*'Datastream - Indices'!AW9</f>
        <v>8.1654614368890607E-4</v>
      </c>
      <c r="W9" s="554">
        <f>0.15*'Datastream - Indices'!AX9</f>
        <v>-1.7639999999999999E-3</v>
      </c>
      <c r="X9" s="554">
        <f>0.15*'Datastream - Indices'!AY9</f>
        <v>-2.1329999999999999E-3</v>
      </c>
      <c r="Y9" s="554">
        <f>0.02*'Datastream - Indices'!AZ9</f>
        <v>-2.8300000000000005E-4</v>
      </c>
      <c r="Z9" s="554">
        <f>0.1*'Datastream - Indices'!BA9</f>
        <v>-2.6900000000000003E-4</v>
      </c>
      <c r="AA9" s="554">
        <f>0.05*'Datastream - Indices'!BB9</f>
        <v>-6.1950000000000015E-4</v>
      </c>
      <c r="AB9" s="554">
        <f>0.15*'Datastream - Indices'!BC9</f>
        <v>-1.1679878874418374E-2</v>
      </c>
      <c r="AC9" s="554">
        <f>0.03*'Datastream - Indices'!BD9</f>
        <v>2.6186596367320384E-3</v>
      </c>
      <c r="AD9" s="554">
        <f t="shared" si="0"/>
        <v>-1.1758066704351217E-2</v>
      </c>
    </row>
    <row r="10" spans="1:30">
      <c r="A10" s="550"/>
      <c r="B10" s="561"/>
      <c r="C10" s="561"/>
      <c r="D10" s="561"/>
      <c r="E10" s="561"/>
      <c r="F10" s="561"/>
      <c r="G10" s="556"/>
      <c r="H10" s="561"/>
      <c r="I10" s="561"/>
      <c r="J10" s="561"/>
      <c r="K10" s="561"/>
      <c r="L10" s="561"/>
      <c r="M10" s="561"/>
      <c r="N10" s="555"/>
      <c r="O10" s="560"/>
      <c r="T10" s="580"/>
      <c r="U10" s="554">
        <f>0.25*'Datastream - Indices'!AV10</f>
        <v>7.1684154537981571E-3</v>
      </c>
      <c r="V10" s="554">
        <f>0.1*'Datastream - Indices'!AW10</f>
        <v>2.280478972954041E-3</v>
      </c>
      <c r="W10" s="554">
        <f>0.15*'Datastream - Indices'!AX10</f>
        <v>-1.5449999999999999E-3</v>
      </c>
      <c r="X10" s="554">
        <f>0.15*'Datastream - Indices'!AY10</f>
        <v>-1.1249999999999999E-3</v>
      </c>
      <c r="Y10" s="554">
        <f>0.02*'Datastream - Indices'!AZ10</f>
        <v>1.16E-4</v>
      </c>
      <c r="Z10" s="554">
        <f>0.1*'Datastream - Indices'!BA10</f>
        <v>-1.09E-3</v>
      </c>
      <c r="AA10" s="554">
        <f>0.05*'Datastream - Indices'!BB10</f>
        <v>1.7400000000000003E-4</v>
      </c>
      <c r="AB10" s="554">
        <f>0.15*'Datastream - Indices'!BC10</f>
        <v>5.6840249386753893E-3</v>
      </c>
      <c r="AC10" s="554">
        <f>0.03*'Datastream - Indices'!BD10</f>
        <v>-2.4654525275009461E-3</v>
      </c>
      <c r="AD10" s="554">
        <f t="shared" si="0"/>
        <v>9.1974668379266426E-3</v>
      </c>
    </row>
    <row r="11" spans="1:30">
      <c r="A11" s="550">
        <v>2014</v>
      </c>
      <c r="B11" s="1005">
        <v>0.34699999999999998</v>
      </c>
      <c r="C11" s="1005"/>
      <c r="D11" s="1005">
        <v>0.309</v>
      </c>
      <c r="E11" s="1005"/>
      <c r="F11" s="1005"/>
      <c r="G11" s="556">
        <v>8.4000000000000005E-2</v>
      </c>
      <c r="H11" s="1005">
        <v>0.246</v>
      </c>
      <c r="I11" s="1005"/>
      <c r="J11" s="1005"/>
      <c r="K11" s="1005"/>
      <c r="L11" s="1005"/>
      <c r="M11" s="1005"/>
      <c r="N11" s="555">
        <v>1.4E-2</v>
      </c>
      <c r="O11" s="560">
        <f>SUM(B11:N11)</f>
        <v>0.99999999999999989</v>
      </c>
      <c r="T11" s="580">
        <v>2014</v>
      </c>
      <c r="U11" s="554">
        <f>0.25*'Datastream - Indices'!AV11</f>
        <v>2.8693001190107752E-3</v>
      </c>
      <c r="V11" s="554">
        <f>0.1*'Datastream - Indices'!AW11</f>
        <v>-4.4408047758378207E-3</v>
      </c>
      <c r="W11" s="554">
        <f>0.15*'Datastream - Indices'!AX11</f>
        <v>-9.4499999999999998E-4</v>
      </c>
      <c r="X11" s="554">
        <f>0.15*'Datastream - Indices'!AY11</f>
        <v>-1.89E-3</v>
      </c>
      <c r="Y11" s="554">
        <f>0.02*'Datastream - Indices'!AZ11</f>
        <v>-5.04E-4</v>
      </c>
      <c r="Z11" s="554">
        <f>0.1*'Datastream - Indices'!BA11</f>
        <v>-1.16E-3</v>
      </c>
      <c r="AA11" s="554">
        <f>0.05*'Datastream - Indices'!BB11</f>
        <v>-1.305E-4</v>
      </c>
      <c r="AB11" s="554">
        <f>0.15*'Datastream - Indices'!BC11</f>
        <v>1.5038726636335081E-2</v>
      </c>
      <c r="AC11" s="554">
        <f>0.03*'Datastream - Indices'!BD11</f>
        <v>-8.2998058294136007E-3</v>
      </c>
      <c r="AD11" s="554">
        <f t="shared" si="0"/>
        <v>5.3791615009443454E-4</v>
      </c>
    </row>
    <row r="12" spans="1:30">
      <c r="A12" s="550"/>
      <c r="B12" s="561"/>
      <c r="C12" s="561"/>
      <c r="D12" s="561"/>
      <c r="E12" s="561"/>
      <c r="F12" s="561"/>
      <c r="G12" s="556"/>
      <c r="H12" s="561"/>
      <c r="I12" s="561"/>
      <c r="J12" s="561"/>
      <c r="K12" s="561"/>
      <c r="L12" s="561"/>
      <c r="M12" s="561"/>
      <c r="N12" s="555"/>
      <c r="O12" s="560"/>
      <c r="T12" s="580"/>
      <c r="U12" s="554">
        <f>0.25*'Datastream - Indices'!AV12</f>
        <v>-6.9539100389894712E-3</v>
      </c>
      <c r="V12" s="554">
        <f>0.1*'Datastream - Indices'!AW12</f>
        <v>-3.3579832579250764E-3</v>
      </c>
      <c r="W12" s="554">
        <f>0.15*'Datastream - Indices'!AX12</f>
        <v>-3.4649999999999998E-3</v>
      </c>
      <c r="X12" s="554">
        <f>0.15*'Datastream - Indices'!AY12</f>
        <v>-3.3900000000000002E-3</v>
      </c>
      <c r="Y12" s="554">
        <f>0.02*'Datastream - Indices'!AZ12</f>
        <v>-2.9600000000000004E-4</v>
      </c>
      <c r="Z12" s="554">
        <f>0.1*'Datastream - Indices'!BA12</f>
        <v>-3.4099999999999998E-3</v>
      </c>
      <c r="AA12" s="554">
        <f>0.05*'Datastream - Indices'!BB12</f>
        <v>-4.8750000000000003E-4</v>
      </c>
      <c r="AB12" s="554">
        <f>0.15*'Datastream - Indices'!BC12</f>
        <v>-6.1278420198733587E-3</v>
      </c>
      <c r="AC12" s="554">
        <f>0.03*'Datastream - Indices'!BD12</f>
        <v>-3.7383205943596455E-3</v>
      </c>
      <c r="AD12" s="554">
        <f t="shared" si="0"/>
        <v>-3.1226555911147549E-2</v>
      </c>
    </row>
    <row r="13" spans="1:30">
      <c r="A13" s="550"/>
      <c r="B13" s="561"/>
      <c r="C13" s="561"/>
      <c r="D13" s="561"/>
      <c r="E13" s="561"/>
      <c r="F13" s="561"/>
      <c r="G13" s="556"/>
      <c r="H13" s="561"/>
      <c r="I13" s="561"/>
      <c r="J13" s="561"/>
      <c r="K13" s="561"/>
      <c r="L13" s="561"/>
      <c r="M13" s="561"/>
      <c r="N13" s="555"/>
      <c r="O13" s="560"/>
      <c r="T13" s="580"/>
      <c r="U13" s="554">
        <f>0.25*'Datastream - Indices'!AV13</f>
        <v>1.2118417335526894E-2</v>
      </c>
      <c r="V13" s="554">
        <f>0.1*'Datastream - Indices'!AW13</f>
        <v>6.7060766524565593E-3</v>
      </c>
      <c r="W13" s="554">
        <f>0.15*'Datastream - Indices'!AX13</f>
        <v>7.7999999999999999E-4</v>
      </c>
      <c r="X13" s="554">
        <f>0.15*'Datastream - Indices'!AY13</f>
        <v>4.4999999999999999E-4</v>
      </c>
      <c r="Y13" s="554">
        <f>0.02*'Datastream - Indices'!AZ13</f>
        <v>1.3800000000000002E-4</v>
      </c>
      <c r="Z13" s="554">
        <f>0.1*'Datastream - Indices'!BA13</f>
        <v>8.5000000000000006E-4</v>
      </c>
      <c r="AA13" s="554">
        <f>0.05*'Datastream - Indices'!BB13</f>
        <v>6.5000000000000008E-4</v>
      </c>
      <c r="AB13" s="554">
        <f>0.15*'Datastream - Indices'!BC13</f>
        <v>1.242797492748827E-2</v>
      </c>
      <c r="AC13" s="554">
        <f>0.03*'Datastream - Indices'!BD13</f>
        <v>8.0818162453377218E-4</v>
      </c>
      <c r="AD13" s="554">
        <f t="shared" si="0"/>
        <v>3.492865054000549E-2</v>
      </c>
    </row>
    <row r="14" spans="1:30">
      <c r="A14" s="550"/>
      <c r="B14" s="561"/>
      <c r="C14" s="561"/>
      <c r="D14" s="561"/>
      <c r="E14" s="561"/>
      <c r="F14" s="561"/>
      <c r="G14" s="556"/>
      <c r="H14" s="561"/>
      <c r="I14" s="561"/>
      <c r="J14" s="561"/>
      <c r="K14" s="561"/>
      <c r="L14" s="561"/>
      <c r="M14" s="561"/>
      <c r="N14" s="555"/>
      <c r="O14" s="560"/>
      <c r="T14" s="580"/>
      <c r="U14" s="554">
        <f>0.25*'Datastream - Indices'!AV14</f>
        <v>4.0829251815571515E-3</v>
      </c>
      <c r="V14" s="554">
        <f>0.1*'Datastream - Indices'!AW14</f>
        <v>-3.6503999541973974E-4</v>
      </c>
      <c r="W14" s="554">
        <f>0.15*'Datastream - Indices'!AX14</f>
        <v>1.0500000000000002E-4</v>
      </c>
      <c r="X14" s="554">
        <f>0.15*'Datastream - Indices'!AY14</f>
        <v>6.7500000000000004E-4</v>
      </c>
      <c r="Y14" s="554">
        <f>0.02*'Datastream - Indices'!AZ14</f>
        <v>1.5600000000000002E-4</v>
      </c>
      <c r="Z14" s="554">
        <f>0.1*'Datastream - Indices'!BA14</f>
        <v>2.7E-4</v>
      </c>
      <c r="AA14" s="554">
        <f>0.05*'Datastream - Indices'!BB14</f>
        <v>-1.4150000000000002E-4</v>
      </c>
      <c r="AB14" s="554">
        <f>0.15*'Datastream - Indices'!BC14</f>
        <v>1.1283672059777735E-2</v>
      </c>
      <c r="AC14" s="554">
        <f>0.03*'Datastream - Indices'!BD14</f>
        <v>8.8249526603878352E-4</v>
      </c>
      <c r="AD14" s="554">
        <f t="shared" si="0"/>
        <v>1.6948552511953929E-2</v>
      </c>
    </row>
    <row r="15" spans="1:30">
      <c r="A15" s="550">
        <v>2013</v>
      </c>
      <c r="B15" s="1005">
        <v>0.34699999999999998</v>
      </c>
      <c r="C15" s="1005"/>
      <c r="D15" s="1005">
        <v>0.308</v>
      </c>
      <c r="E15" s="1005"/>
      <c r="F15" s="1005"/>
      <c r="G15" s="556">
        <v>8.3000000000000004E-2</v>
      </c>
      <c r="H15" s="1005">
        <v>0.25</v>
      </c>
      <c r="I15" s="1005"/>
      <c r="J15" s="1005"/>
      <c r="K15" s="1005"/>
      <c r="L15" s="1005"/>
      <c r="M15" s="1005"/>
      <c r="N15" s="555">
        <v>1.2E-2</v>
      </c>
      <c r="O15" s="560">
        <f>SUM(B15:N15)</f>
        <v>1</v>
      </c>
      <c r="T15" s="580">
        <v>2013</v>
      </c>
      <c r="U15" s="554">
        <f>0.25*'Datastream - Indices'!AV15</f>
        <v>1.9611860918346928E-2</v>
      </c>
      <c r="V15" s="554">
        <f>0.1*'Datastream - Indices'!AW15</f>
        <v>1.8620500045822255E-3</v>
      </c>
      <c r="W15" s="554">
        <f>0.15*'Datastream - Indices'!AX15</f>
        <v>0</v>
      </c>
      <c r="X15" s="554">
        <f>0.15*'Datastream - Indices'!AY15</f>
        <v>2.5500000000000002E-4</v>
      </c>
      <c r="Y15" s="554">
        <f>0.02*'Datastream - Indices'!AZ15</f>
        <v>6.2000000000000003E-5</v>
      </c>
      <c r="Z15" s="554">
        <f>0.1*'Datastream - Indices'!BA15</f>
        <v>-7.400000000000001E-4</v>
      </c>
      <c r="AA15" s="554">
        <f>0.05*'Datastream - Indices'!BB15</f>
        <v>5.195E-4</v>
      </c>
      <c r="AB15" s="554">
        <f>0.15*'Datastream - Indices'!BC15</f>
        <v>-1.1171588536527208E-3</v>
      </c>
      <c r="AC15" s="554">
        <f>0.03*'Datastream - Indices'!BD15</f>
        <v>-9.7926209026884937E-5</v>
      </c>
      <c r="AD15" s="554">
        <f t="shared" si="0"/>
        <v>2.0355325860249546E-2</v>
      </c>
    </row>
    <row r="16" spans="1:30">
      <c r="A16" s="550"/>
      <c r="B16" s="561"/>
      <c r="C16" s="561"/>
      <c r="D16" s="561"/>
      <c r="E16" s="561"/>
      <c r="F16" s="561"/>
      <c r="G16" s="556"/>
      <c r="H16" s="561"/>
      <c r="I16" s="561"/>
      <c r="J16" s="561"/>
      <c r="K16" s="561"/>
      <c r="L16" s="561"/>
      <c r="M16" s="561"/>
      <c r="N16" s="555"/>
      <c r="O16" s="560"/>
      <c r="T16" s="580"/>
      <c r="U16" s="554">
        <f>0.25*'Datastream - Indices'!AV16</f>
        <v>2.2071795278399951E-2</v>
      </c>
      <c r="V16" s="554">
        <f>0.1*'Datastream - Indices'!AW16</f>
        <v>5.8980327024548635E-3</v>
      </c>
      <c r="W16" s="554">
        <f>0.15*'Datastream - Indices'!AX16</f>
        <v>2.8050000000000002E-3</v>
      </c>
      <c r="X16" s="554">
        <f>0.15*'Datastream - Indices'!AY16</f>
        <v>4.1549999999999998E-3</v>
      </c>
      <c r="Y16" s="554">
        <f>0.02*'Datastream - Indices'!AZ16</f>
        <v>4.5200000000000004E-4</v>
      </c>
      <c r="Z16" s="554">
        <f>0.1*'Datastream - Indices'!BA16</f>
        <v>3.0000000000000001E-3</v>
      </c>
      <c r="AA16" s="554">
        <f>0.05*'Datastream - Indices'!BB16</f>
        <v>7.6350000000000007E-4</v>
      </c>
      <c r="AB16" s="554">
        <f>0.15*'Datastream - Indices'!BC16</f>
        <v>1.4894645725783189E-4</v>
      </c>
      <c r="AC16" s="554">
        <f>0.03*'Datastream - Indices'!BD16</f>
        <v>1.4330158786451065E-3</v>
      </c>
      <c r="AD16" s="554">
        <f t="shared" si="0"/>
        <v>4.0727290316757751E-2</v>
      </c>
    </row>
    <row r="17" spans="1:30">
      <c r="A17" s="550"/>
      <c r="B17" s="561"/>
      <c r="C17" s="561"/>
      <c r="D17" s="561"/>
      <c r="E17" s="561"/>
      <c r="F17" s="561"/>
      <c r="G17" s="556"/>
      <c r="H17" s="561"/>
      <c r="I17" s="561"/>
      <c r="J17" s="561"/>
      <c r="K17" s="561"/>
      <c r="L17" s="561"/>
      <c r="M17" s="561"/>
      <c r="N17" s="555"/>
      <c r="O17" s="560"/>
      <c r="T17" s="580"/>
      <c r="U17" s="554">
        <f>0.25*'Datastream - Indices'!AV17</f>
        <v>1.4754850158514841E-3</v>
      </c>
      <c r="V17" s="554">
        <f>0.1*'Datastream - Indices'!AW17</f>
        <v>-7.9538689003360603E-3</v>
      </c>
      <c r="W17" s="554">
        <f>0.15*'Datastream - Indices'!AX17</f>
        <v>-3.6299999999999995E-3</v>
      </c>
      <c r="X17" s="554">
        <f>0.15*'Datastream - Indices'!AY17</f>
        <v>-5.5049999999999995E-3</v>
      </c>
      <c r="Y17" s="554">
        <f>0.02*'Datastream - Indices'!AZ17</f>
        <v>-8.9399999999999994E-4</v>
      </c>
      <c r="Z17" s="554">
        <f>0.1*'Datastream - Indices'!BA17</f>
        <v>-3.8700000000000002E-3</v>
      </c>
      <c r="AA17" s="554">
        <f>0.05*'Datastream - Indices'!BB17</f>
        <v>-7.4700000000000005E-4</v>
      </c>
      <c r="AB17" s="554">
        <f>0.15*'Datastream - Indices'!BC17</f>
        <v>-5.8499078223594441E-3</v>
      </c>
      <c r="AC17" s="554">
        <f>0.03*'Datastream - Indices'!BD17</f>
        <v>-1.7787252342015187E-3</v>
      </c>
      <c r="AD17" s="554">
        <f t="shared" si="0"/>
        <v>-2.8753016941045536E-2</v>
      </c>
    </row>
    <row r="18" spans="1:30">
      <c r="A18" s="550"/>
      <c r="B18" s="561"/>
      <c r="C18" s="561"/>
      <c r="D18" s="561"/>
      <c r="E18" s="561"/>
      <c r="F18" s="561"/>
      <c r="G18" s="556"/>
      <c r="H18" s="561"/>
      <c r="I18" s="561"/>
      <c r="J18" s="561"/>
      <c r="K18" s="561"/>
      <c r="L18" s="561"/>
      <c r="M18" s="561"/>
      <c r="N18" s="555"/>
      <c r="O18" s="560"/>
      <c r="T18" s="580"/>
      <c r="U18" s="554">
        <f>0.25*'Datastream - Indices'!AV18</f>
        <v>1.9982343188131177E-2</v>
      </c>
      <c r="V18" s="554">
        <f>0.1*'Datastream - Indices'!AW18</f>
        <v>-1.5679987370078672E-3</v>
      </c>
      <c r="W18" s="554">
        <f>0.15*'Datastream - Indices'!AX18</f>
        <v>-2.1000000000000004E-4</v>
      </c>
      <c r="X18" s="554">
        <f>0.15*'Datastream - Indices'!AY18</f>
        <v>-7.3499999999999998E-4</v>
      </c>
      <c r="Y18" s="554">
        <f>0.02*'Datastream - Indices'!AZ18</f>
        <v>-1.1400000000000001E-4</v>
      </c>
      <c r="Z18" s="554">
        <f>0.1*'Datastream - Indices'!BA18</f>
        <v>9.1000000000000011E-4</v>
      </c>
      <c r="AA18" s="554">
        <f>0.05*'Datastream - Indices'!BB18</f>
        <v>4.705E-4</v>
      </c>
      <c r="AB18" s="554">
        <f>0.15*'Datastream - Indices'!BC18</f>
        <v>1.075145901376023E-2</v>
      </c>
      <c r="AC18" s="554">
        <f>0.03*'Datastream - Indices'!BD18</f>
        <v>1.6472053226339607E-4</v>
      </c>
      <c r="AD18" s="554">
        <f t="shared" si="0"/>
        <v>2.9652023997146941E-2</v>
      </c>
    </row>
    <row r="19" spans="1:30">
      <c r="A19" s="550">
        <v>2012</v>
      </c>
      <c r="B19" s="1005">
        <f>0.259+0.067</f>
        <v>0.32600000000000001</v>
      </c>
      <c r="C19" s="1005"/>
      <c r="D19" s="1005">
        <f>0.395-0.068-0.011</f>
        <v>0.316</v>
      </c>
      <c r="E19" s="1005"/>
      <c r="F19" s="1005"/>
      <c r="G19" s="556">
        <f>0.068+0.011</f>
        <v>7.9000000000000001E-2</v>
      </c>
      <c r="H19" s="1005">
        <v>0.26</v>
      </c>
      <c r="I19" s="1005"/>
      <c r="J19" s="1005"/>
      <c r="K19" s="1005"/>
      <c r="L19" s="1005"/>
      <c r="M19" s="1005"/>
      <c r="N19" s="555">
        <v>1.9E-2</v>
      </c>
      <c r="O19" s="560">
        <f>SUM(B19:N19)</f>
        <v>1</v>
      </c>
      <c r="T19" s="580">
        <v>2012</v>
      </c>
      <c r="U19" s="554">
        <f>0.25*'Datastream - Indices'!AV19</f>
        <v>7.2395533300837461E-3</v>
      </c>
      <c r="V19" s="554">
        <f>0.1*'Datastream - Indices'!AW19</f>
        <v>5.6075081938842903E-3</v>
      </c>
      <c r="W19" s="554">
        <f>0.15*'Datastream - Indices'!AX19</f>
        <v>7.7999999999999999E-4</v>
      </c>
      <c r="X19" s="554">
        <f>0.15*'Datastream - Indices'!AY19</f>
        <v>8.699999999999999E-4</v>
      </c>
      <c r="Y19" s="554">
        <f>0.02*'Datastream - Indices'!AZ19</f>
        <v>2.0000000000000001E-4</v>
      </c>
      <c r="Z19" s="554">
        <f>0.1*'Datastream - Indices'!BA19</f>
        <v>7.5000000000000002E-4</v>
      </c>
      <c r="AA19" s="554">
        <f>0.05*'Datastream - Indices'!BB19</f>
        <v>6.9400000000000017E-4</v>
      </c>
      <c r="AB19" s="554">
        <f>0.15*'Datastream - Indices'!BC19</f>
        <v>5.6996215257901651E-3</v>
      </c>
      <c r="AC19" s="554">
        <f>0.03*'Datastream - Indices'!BD19</f>
        <v>-9.8399641529198743E-4</v>
      </c>
      <c r="AD19" s="554">
        <f t="shared" si="0"/>
        <v>2.0856686634466208E-2</v>
      </c>
    </row>
    <row r="20" spans="1:30">
      <c r="A20" s="550"/>
      <c r="B20" s="561"/>
      <c r="C20" s="561"/>
      <c r="D20" s="561"/>
      <c r="E20" s="561"/>
      <c r="F20" s="561"/>
      <c r="G20" s="556"/>
      <c r="H20" s="561"/>
      <c r="I20" s="561"/>
      <c r="J20" s="561"/>
      <c r="K20" s="561"/>
      <c r="L20" s="561"/>
      <c r="M20" s="561"/>
      <c r="N20" s="555"/>
      <c r="O20" s="560"/>
      <c r="T20" s="580"/>
      <c r="U20" s="554">
        <f>0.25*'Datastream - Indices'!AV20</f>
        <v>1.7330837755875694E-2</v>
      </c>
      <c r="V20" s="554">
        <f>0.1*'Datastream - Indices'!AW20</f>
        <v>7.8864051640226123E-3</v>
      </c>
      <c r="W20" s="554">
        <f>0.15*'Datastream - Indices'!AX20</f>
        <v>2.1749999999999999E-3</v>
      </c>
      <c r="X20" s="554">
        <f>0.15*'Datastream - Indices'!AY20</f>
        <v>2.1299999999999999E-3</v>
      </c>
      <c r="Y20" s="554">
        <f>0.02*'Datastream - Indices'!AZ20</f>
        <v>3.1800000000000003E-4</v>
      </c>
      <c r="Z20" s="554">
        <f>0.1*'Datastream - Indices'!BA20</f>
        <v>7.5000000000000002E-4</v>
      </c>
      <c r="AA20" s="554">
        <f>0.05*'Datastream - Indices'!BB20</f>
        <v>6.265000000000001E-4</v>
      </c>
      <c r="AB20" s="554">
        <f>0.15*'Datastream - Indices'!BC20</f>
        <v>5.1173296091311824E-3</v>
      </c>
      <c r="AC20" s="554">
        <f>0.03*'Datastream - Indices'!BD20</f>
        <v>3.4605574944721216E-3</v>
      </c>
      <c r="AD20" s="554">
        <f t="shared" si="0"/>
        <v>3.9794630023501601E-2</v>
      </c>
    </row>
    <row r="21" spans="1:30">
      <c r="A21" s="550"/>
      <c r="B21" s="561"/>
      <c r="C21" s="561"/>
      <c r="D21" s="561"/>
      <c r="E21" s="561"/>
      <c r="F21" s="561"/>
      <c r="G21" s="556"/>
      <c r="H21" s="561"/>
      <c r="I21" s="561"/>
      <c r="J21" s="561"/>
      <c r="K21" s="561"/>
      <c r="L21" s="561"/>
      <c r="M21" s="561"/>
      <c r="N21" s="555"/>
      <c r="O21" s="560"/>
      <c r="T21" s="580"/>
      <c r="U21" s="554">
        <f>0.25*'Datastream - Indices'!AV21</f>
        <v>-1.28231063160261E-2</v>
      </c>
      <c r="V21" s="554">
        <f>0.1*'Datastream - Indices'!AW21</f>
        <v>-8.7696466944530756E-3</v>
      </c>
      <c r="W21" s="554">
        <f>0.15*'Datastream - Indices'!AX21</f>
        <v>1.575E-3</v>
      </c>
      <c r="X21" s="554">
        <f>0.15*'Datastream - Indices'!AY21</f>
        <v>3.6149999999999997E-3</v>
      </c>
      <c r="Y21" s="554">
        <f>0.02*'Datastream - Indices'!AZ21</f>
        <v>5.5000000000000003E-4</v>
      </c>
      <c r="Z21" s="554">
        <f>0.1*'Datastream - Indices'!BA21</f>
        <v>1.6000000000000001E-4</v>
      </c>
      <c r="AA21" s="554">
        <f>0.05*'Datastream - Indices'!BB21</f>
        <v>1.4100000000000004E-4</v>
      </c>
      <c r="AB21" s="554">
        <f>0.15*'Datastream - Indices'!BC21</f>
        <v>4.9698070859830025E-3</v>
      </c>
      <c r="AC21" s="554">
        <f>0.03*'Datastream - Indices'!BD21</f>
        <v>-3.7153776690689857E-3</v>
      </c>
      <c r="AD21" s="554">
        <f t="shared" si="0"/>
        <v>-1.4297323593565159E-2</v>
      </c>
    </row>
    <row r="22" spans="1:30">
      <c r="A22" s="550"/>
      <c r="B22" s="561"/>
      <c r="C22" s="561"/>
      <c r="D22" s="561"/>
      <c r="E22" s="561"/>
      <c r="F22" s="561"/>
      <c r="G22" s="556"/>
      <c r="H22" s="561"/>
      <c r="I22" s="561"/>
      <c r="J22" s="561"/>
      <c r="K22" s="561"/>
      <c r="L22" s="561"/>
      <c r="M22" s="561"/>
      <c r="N22" s="555"/>
      <c r="O22" s="560"/>
      <c r="T22" s="580"/>
      <c r="U22" s="554">
        <f>0.25*'Datastream - Indices'!AV22</f>
        <v>3.0050861113908756E-2</v>
      </c>
      <c r="V22" s="554">
        <f>0.1*'Datastream - Indices'!AW22</f>
        <v>1.4125644520832105E-2</v>
      </c>
      <c r="W22" s="554">
        <f>0.15*'Datastream - Indices'!AX22</f>
        <v>-6.8999999999999997E-4</v>
      </c>
      <c r="X22" s="554">
        <f>0.15*'Datastream - Indices'!AY22</f>
        <v>5.5500000000000005E-4</v>
      </c>
      <c r="Y22" s="554">
        <f>0.02*'Datastream - Indices'!AZ22</f>
        <v>7.0000000000000007E-5</v>
      </c>
      <c r="Z22" s="554">
        <f>0.1*'Datastream - Indices'!BA22</f>
        <v>-8.6000000000000009E-4</v>
      </c>
      <c r="AA22" s="554">
        <f>0.05*'Datastream - Indices'!BB22</f>
        <v>-9.5500000000000004E-5</v>
      </c>
      <c r="AB22" s="554">
        <f>0.15*'Datastream - Indices'!BC22</f>
        <v>1.6324636078137032E-2</v>
      </c>
      <c r="AC22" s="554">
        <f>0.03*'Datastream - Indices'!BD22</f>
        <v>1.764798718756485E-3</v>
      </c>
      <c r="AD22" s="554">
        <f t="shared" si="0"/>
        <v>6.1245440431634379E-2</v>
      </c>
    </row>
    <row r="23" spans="1:30">
      <c r="A23" s="550">
        <v>2011</v>
      </c>
      <c r="B23" s="1005">
        <f>0.254+0.064</f>
        <v>0.318</v>
      </c>
      <c r="C23" s="1005"/>
      <c r="D23" s="1005">
        <f>0.402-0.068-0.009</f>
        <v>0.32500000000000001</v>
      </c>
      <c r="E23" s="1005"/>
      <c r="F23" s="1005"/>
      <c r="G23" s="556">
        <f>0.068+0.009</f>
        <v>7.6999999999999999E-2</v>
      </c>
      <c r="H23" s="1005">
        <v>0.26100000000000001</v>
      </c>
      <c r="I23" s="1005"/>
      <c r="J23" s="1005"/>
      <c r="K23" s="1005"/>
      <c r="L23" s="1005"/>
      <c r="M23" s="1005"/>
      <c r="N23" s="555">
        <v>1.9E-2</v>
      </c>
      <c r="O23" s="560">
        <f>SUM(B23:N23)</f>
        <v>1</v>
      </c>
      <c r="T23" s="580">
        <v>2011</v>
      </c>
      <c r="U23" s="554">
        <f>0.25*'Datastream - Indices'!AV23</f>
        <v>1.9195315041752516E-2</v>
      </c>
      <c r="V23" s="554">
        <f>0.1*'Datastream - Indices'!AW23</f>
        <v>4.4496814758276243E-3</v>
      </c>
      <c r="W23" s="554">
        <f>0.15*'Datastream - Indices'!AX23</f>
        <v>1.56E-3</v>
      </c>
      <c r="X23" s="554">
        <f>0.15*'Datastream - Indices'!AY23</f>
        <v>1.1249999999999999E-3</v>
      </c>
      <c r="Y23" s="554">
        <f>0.02*'Datastream - Indices'!AZ23</f>
        <v>2.8800000000000001E-4</v>
      </c>
      <c r="Z23" s="554">
        <f>0.1*'Datastream - Indices'!BA23</f>
        <v>1.0300000000000001E-3</v>
      </c>
      <c r="AA23" s="554">
        <f>0.05*'Datastream - Indices'!BB23</f>
        <v>-2.4499999999999999E-4</v>
      </c>
      <c r="AB23" s="554">
        <f>0.15*'Datastream - Indices'!BC23</f>
        <v>1.4612655703592398E-2</v>
      </c>
      <c r="AC23" s="554">
        <f>0.03*'Datastream - Indices'!BD23</f>
        <v>2.6865618714074255E-3</v>
      </c>
      <c r="AD23" s="554">
        <f t="shared" si="0"/>
        <v>4.4702214092579962E-2</v>
      </c>
    </row>
    <row r="24" spans="1:30">
      <c r="A24" s="550"/>
      <c r="B24" s="561"/>
      <c r="C24" s="561"/>
      <c r="D24" s="561"/>
      <c r="E24" s="561"/>
      <c r="F24" s="561"/>
      <c r="G24" s="556"/>
      <c r="H24" s="561"/>
      <c r="I24" s="561"/>
      <c r="J24" s="561"/>
      <c r="K24" s="561"/>
      <c r="L24" s="561"/>
      <c r="M24" s="561"/>
      <c r="N24" s="555"/>
      <c r="O24" s="560"/>
      <c r="T24" s="580"/>
      <c r="U24" s="554">
        <f>0.25*'Datastream - Indices'!AV24</f>
        <v>-4.3311366642010157E-2</v>
      </c>
      <c r="V24" s="554">
        <f>0.1*'Datastream - Indices'!AW24</f>
        <v>-2.2459019541018851E-2</v>
      </c>
      <c r="W24" s="554">
        <f>0.15*'Datastream - Indices'!AX24</f>
        <v>-4.6049999999999997E-3</v>
      </c>
      <c r="X24" s="554">
        <f>0.15*'Datastream - Indices'!AY24</f>
        <v>-6.0300000000000006E-3</v>
      </c>
      <c r="Y24" s="554">
        <f>0.02*'Datastream - Indices'!AZ24</f>
        <v>-8.9800000000000004E-4</v>
      </c>
      <c r="Z24" s="554">
        <f>0.1*'Datastream - Indices'!BA24</f>
        <v>-2.4600000000000004E-3</v>
      </c>
      <c r="AA24" s="554">
        <f>0.05*'Datastream - Indices'!BB24</f>
        <v>-2.0665000000000002E-3</v>
      </c>
      <c r="AB24" s="554">
        <f>0.15*'Datastream - Indices'!BC24</f>
        <v>-2.3376231282973985E-2</v>
      </c>
      <c r="AC24" s="554">
        <f>0.03*'Datastream - Indices'!BD24</f>
        <v>-3.5069346649738865E-3</v>
      </c>
      <c r="AD24" s="554">
        <f t="shared" si="0"/>
        <v>-0.10871305213097687</v>
      </c>
    </row>
    <row r="25" spans="1:30">
      <c r="A25" s="550"/>
      <c r="B25" s="561"/>
      <c r="C25" s="561"/>
      <c r="D25" s="561"/>
      <c r="E25" s="561"/>
      <c r="F25" s="561"/>
      <c r="G25" s="556"/>
      <c r="H25" s="561"/>
      <c r="I25" s="561"/>
      <c r="J25" s="561"/>
      <c r="K25" s="561"/>
      <c r="L25" s="561"/>
      <c r="M25" s="561"/>
      <c r="N25" s="555"/>
      <c r="O25" s="560"/>
      <c r="T25" s="580"/>
      <c r="U25" s="554">
        <f>0.25*'Datastream - Indices'!AV25</f>
        <v>1.4088316840610419E-3</v>
      </c>
      <c r="V25" s="554">
        <f>0.1*'Datastream - Indices'!AW25</f>
        <v>-1.0433316312595811E-3</v>
      </c>
      <c r="W25" s="554">
        <f>0.15*'Datastream - Indices'!AX25</f>
        <v>-7.9500000000000003E-4</v>
      </c>
      <c r="X25" s="554">
        <f>0.15*'Datastream - Indices'!AY25</f>
        <v>9.2999999999999995E-4</v>
      </c>
      <c r="Y25" s="554">
        <f>0.02*'Datastream - Indices'!AZ25</f>
        <v>1.34E-4</v>
      </c>
      <c r="Z25" s="554">
        <f>0.1*'Datastream - Indices'!BA25</f>
        <v>-1.0000000000000001E-5</v>
      </c>
      <c r="AA25" s="554">
        <f>0.05*'Datastream - Indices'!BB25</f>
        <v>-5.4750000000000003E-4</v>
      </c>
      <c r="AB25" s="554">
        <f>0.15*'Datastream - Indices'!BC25</f>
        <v>6.0653750721841853E-3</v>
      </c>
      <c r="AC25" s="554">
        <f>0.03*'Datastream - Indices'!BD25</f>
        <v>-2.3815502245760206E-3</v>
      </c>
      <c r="AD25" s="554">
        <f t="shared" si="0"/>
        <v>3.7608249004096256E-3</v>
      </c>
    </row>
    <row r="26" spans="1:30">
      <c r="A26" s="550"/>
      <c r="B26" s="561"/>
      <c r="C26" s="561"/>
      <c r="D26" s="561"/>
      <c r="E26" s="561"/>
      <c r="F26" s="561"/>
      <c r="G26" s="556"/>
      <c r="H26" s="561"/>
      <c r="I26" s="561"/>
      <c r="J26" s="561"/>
      <c r="K26" s="561"/>
      <c r="L26" s="561"/>
      <c r="M26" s="561"/>
      <c r="N26" s="555"/>
      <c r="O26" s="560"/>
      <c r="T26" s="580"/>
      <c r="U26" s="554">
        <f>0.25*'Datastream - Indices'!AV26</f>
        <v>1.2988475765911011E-2</v>
      </c>
      <c r="V26" s="554">
        <f>0.1*'Datastream - Indices'!AW26</f>
        <v>2.0966110292612943E-3</v>
      </c>
      <c r="W26" s="554">
        <f>0.15*'Datastream - Indices'!AX26</f>
        <v>7.6500000000000005E-4</v>
      </c>
      <c r="X26" s="554">
        <f>0.15*'Datastream - Indices'!AY26</f>
        <v>1.92E-3</v>
      </c>
      <c r="Y26" s="554">
        <f>0.02*'Datastream - Indices'!AZ26</f>
        <v>2.7399999999999999E-4</v>
      </c>
      <c r="Z26" s="554">
        <f>0.1*'Datastream - Indices'!BA26</f>
        <v>1.0300000000000001E-3</v>
      </c>
      <c r="AA26" s="554">
        <f>0.05*'Datastream - Indices'!BB26</f>
        <v>4.8999999999999998E-5</v>
      </c>
      <c r="AB26" s="554">
        <f>0.15*'Datastream - Indices'!BC26</f>
        <v>9.1404545821775762E-3</v>
      </c>
      <c r="AC26" s="554">
        <f>0.03*'Datastream - Indices'!BD26</f>
        <v>3.469157929445466E-3</v>
      </c>
      <c r="AD26" s="554">
        <f t="shared" si="0"/>
        <v>3.1732699306795349E-2</v>
      </c>
    </row>
    <row r="27" spans="1:30">
      <c r="A27" s="550">
        <v>2010</v>
      </c>
      <c r="B27" s="1005">
        <f>0.257+0.07</f>
        <v>0.32700000000000001</v>
      </c>
      <c r="C27" s="1005"/>
      <c r="D27" s="1005">
        <f>0.393-0.076</f>
        <v>0.317</v>
      </c>
      <c r="E27" s="1005"/>
      <c r="F27" s="1005"/>
      <c r="G27" s="556">
        <f>0.076+0.05</f>
        <v>0.126</v>
      </c>
      <c r="H27" s="1005">
        <v>0.21200000000000005</v>
      </c>
      <c r="I27" s="1005"/>
      <c r="J27" s="1005"/>
      <c r="K27" s="1005"/>
      <c r="L27" s="1005"/>
      <c r="M27" s="1005"/>
      <c r="N27" s="555">
        <v>1.7999999999999999E-2</v>
      </c>
      <c r="O27" s="560">
        <f>SUM(B27:N27)</f>
        <v>1</v>
      </c>
      <c r="T27" s="580">
        <v>2010</v>
      </c>
      <c r="U27" s="554">
        <f>0.25*'Datastream - Indices'!AV27</f>
        <v>2.4435796652523628E-2</v>
      </c>
      <c r="V27" s="554">
        <f>0.1*'Datastream - Indices'!AW27</f>
        <v>7.3618421292408233E-3</v>
      </c>
      <c r="W27" s="554">
        <f>0.15*'Datastream - Indices'!AX27</f>
        <v>1.23E-3</v>
      </c>
      <c r="X27" s="554">
        <f>0.15*'Datastream - Indices'!AY27</f>
        <v>4.2000000000000007E-4</v>
      </c>
      <c r="Y27" s="554">
        <f>0.02*'Datastream - Indices'!AZ27</f>
        <v>-1.0200000000000001E-4</v>
      </c>
      <c r="Z27" s="554">
        <f>0.1*'Datastream - Indices'!BA27</f>
        <v>1.5400000000000001E-3</v>
      </c>
      <c r="AA27" s="554">
        <f>0.05*'Datastream - Indices'!BB27</f>
        <v>1.4499999999999999E-3</v>
      </c>
      <c r="AB27" s="554">
        <f>0.15*'Datastream - Indices'!BC27</f>
        <v>9.7244227143358786E-3</v>
      </c>
      <c r="AC27" s="554">
        <f>0.03*'Datastream - Indices'!BD27</f>
        <v>4.0242855756473387E-3</v>
      </c>
      <c r="AD27" s="554">
        <f t="shared" si="0"/>
        <v>5.0084347071747665E-2</v>
      </c>
    </row>
    <row r="28" spans="1:30">
      <c r="A28" s="550"/>
      <c r="B28" s="561"/>
      <c r="C28" s="561"/>
      <c r="D28" s="561"/>
      <c r="E28" s="561"/>
      <c r="F28" s="561"/>
      <c r="G28" s="556"/>
      <c r="H28" s="561"/>
      <c r="I28" s="561"/>
      <c r="J28" s="561"/>
      <c r="K28" s="561"/>
      <c r="L28" s="561"/>
      <c r="M28" s="561"/>
      <c r="N28" s="555"/>
      <c r="O28" s="560"/>
      <c r="T28" s="580"/>
      <c r="U28" s="554">
        <f>0.25*'Datastream - Indices'!AV28</f>
        <v>3.5221097021352413E-2</v>
      </c>
      <c r="V28" s="554">
        <f>0.1*'Datastream - Indices'!AW28</f>
        <v>1.8160431189505465E-2</v>
      </c>
      <c r="W28" s="554">
        <f>0.15*'Datastream - Indices'!AX28</f>
        <v>4.3200000000000001E-3</v>
      </c>
      <c r="X28" s="554">
        <f>0.15*'Datastream - Indices'!AY28</f>
        <v>3.6450000000000002E-3</v>
      </c>
      <c r="Y28" s="554">
        <f>0.02*'Datastream - Indices'!AZ28</f>
        <v>3.5200000000000005E-4</v>
      </c>
      <c r="Z28" s="554">
        <f>0.1*'Datastream - Indices'!BA28</f>
        <v>2.9700000000000004E-3</v>
      </c>
      <c r="AA28" s="554">
        <f>0.05*'Datastream - Indices'!BB28</f>
        <v>1.6395000000000001E-3</v>
      </c>
      <c r="AB28" s="554">
        <f>0.15*'Datastream - Indices'!BC28</f>
        <v>2.5799879009897664E-2</v>
      </c>
      <c r="AC28" s="554">
        <f>0.03*'Datastream - Indices'!BD28</f>
        <v>2.4794950189680857E-3</v>
      </c>
      <c r="AD28" s="554">
        <f t="shared" si="0"/>
        <v>9.4587402239723631E-2</v>
      </c>
    </row>
    <row r="29" spans="1:30">
      <c r="A29" s="550"/>
      <c r="B29" s="561"/>
      <c r="C29" s="561"/>
      <c r="D29" s="561"/>
      <c r="E29" s="561"/>
      <c r="F29" s="561"/>
      <c r="G29" s="556"/>
      <c r="H29" s="561"/>
      <c r="I29" s="561"/>
      <c r="J29" s="561"/>
      <c r="K29" s="561"/>
      <c r="L29" s="561"/>
      <c r="M29" s="561"/>
      <c r="N29" s="555"/>
      <c r="O29" s="560"/>
      <c r="T29" s="580"/>
      <c r="U29" s="554">
        <f>0.25*'Datastream - Indices'!AV29</f>
        <v>-3.0030049647243252E-2</v>
      </c>
      <c r="V29" s="554">
        <f>0.1*'Datastream - Indices'!AW29</f>
        <v>-8.289225800663852E-3</v>
      </c>
      <c r="W29" s="554">
        <f>0.15*'Datastream - Indices'!AX29</f>
        <v>2.49E-3</v>
      </c>
      <c r="X29" s="554">
        <f>0.15*'Datastream - Indices'!AY29</f>
        <v>1.7549999999999998E-3</v>
      </c>
      <c r="Y29" s="554">
        <f>0.02*'Datastream - Indices'!AZ29</f>
        <v>5.0200000000000006E-4</v>
      </c>
      <c r="Z29" s="554">
        <f>0.1*'Datastream - Indices'!BA29</f>
        <v>1.1800000000000001E-3</v>
      </c>
      <c r="AA29" s="554">
        <f>0.05*'Datastream - Indices'!BB29</f>
        <v>-5.0299999999999997E-4</v>
      </c>
      <c r="AB29" s="554">
        <f>0.15*'Datastream - Indices'!BC29</f>
        <v>-9.803990859189109E-3</v>
      </c>
      <c r="AC29" s="554">
        <f>0.03*'Datastream - Indices'!BD29</f>
        <v>-3.1223840992400009E-3</v>
      </c>
      <c r="AD29" s="554">
        <f t="shared" si="0"/>
        <v>-4.5821650406336213E-2</v>
      </c>
    </row>
    <row r="30" spans="1:30">
      <c r="A30" s="550"/>
      <c r="B30" s="561"/>
      <c r="C30" s="561"/>
      <c r="D30" s="561"/>
      <c r="E30" s="561"/>
      <c r="F30" s="561"/>
      <c r="G30" s="556"/>
      <c r="H30" s="561"/>
      <c r="I30" s="561"/>
      <c r="J30" s="561"/>
      <c r="K30" s="561"/>
      <c r="L30" s="561"/>
      <c r="M30" s="561"/>
      <c r="N30" s="555"/>
      <c r="O30" s="560"/>
      <c r="T30" s="580"/>
      <c r="U30" s="554">
        <f>0.25*'Datastream - Indices'!AV30</f>
        <v>9.661835748792277E-3</v>
      </c>
      <c r="V30" s="554">
        <f>0.1*'Datastream - Indices'!AW30</f>
        <v>2.4514975175769704E-3</v>
      </c>
      <c r="W30" s="554">
        <f>0.15*'Datastream - Indices'!AX30</f>
        <v>3.5999999999999997E-4</v>
      </c>
      <c r="X30" s="554">
        <f>0.15*'Datastream - Indices'!AY30</f>
        <v>1.3950000000000002E-3</v>
      </c>
      <c r="Y30" s="554">
        <f>0.02*'Datastream - Indices'!AZ30</f>
        <v>5.9999999999999995E-4</v>
      </c>
      <c r="Z30" s="554">
        <f>0.1*'Datastream - Indices'!BA30</f>
        <v>8.8000000000000014E-4</v>
      </c>
      <c r="AA30" s="554">
        <f>0.05*'Datastream - Indices'!BB30</f>
        <v>1.2560000000000002E-3</v>
      </c>
      <c r="AB30" s="554">
        <f>0.15*'Datastream - Indices'!BC30</f>
        <v>7.9651835924578265E-3</v>
      </c>
      <c r="AC30" s="554">
        <f>0.03*'Datastream - Indices'!BD30</f>
        <v>-2.6793890301373389E-4</v>
      </c>
      <c r="AD30" s="554">
        <f t="shared" si="0"/>
        <v>2.4301577955813336E-2</v>
      </c>
    </row>
    <row r="31" spans="1:30">
      <c r="A31" s="550">
        <v>2009</v>
      </c>
      <c r="B31" s="1005">
        <f>0.057+0.298</f>
        <v>0.35499999999999998</v>
      </c>
      <c r="C31" s="1005"/>
      <c r="D31" s="1005">
        <f>0.387-0.087</f>
        <v>0.30000000000000004</v>
      </c>
      <c r="E31" s="1005"/>
      <c r="F31" s="1005"/>
      <c r="G31" s="556">
        <v>8.6999999999999994E-2</v>
      </c>
      <c r="H31" s="1005">
        <v>0.24500000000000005</v>
      </c>
      <c r="I31" s="1005"/>
      <c r="J31" s="1005"/>
      <c r="K31" s="1005"/>
      <c r="L31" s="1005"/>
      <c r="M31" s="1005"/>
      <c r="N31" s="555">
        <v>1.3000000000000001E-2</v>
      </c>
      <c r="O31" s="560">
        <f>SUM(B31:N31)</f>
        <v>1</v>
      </c>
      <c r="T31" s="580">
        <v>2009</v>
      </c>
      <c r="U31" s="554">
        <f>0.25*'Datastream - Indices'!AV31</f>
        <v>9.8301929369288034E-3</v>
      </c>
      <c r="V31" s="554">
        <f>0.1*'Datastream - Indices'!AW31</f>
        <v>8.5765374264425206E-3</v>
      </c>
      <c r="W31" s="554">
        <f>0.15*'Datastream - Indices'!AX31</f>
        <v>-3.7799999999999999E-3</v>
      </c>
      <c r="X31" s="554">
        <f>0.15*'Datastream - Indices'!AY31</f>
        <v>-3.3000000000000004E-3</v>
      </c>
      <c r="Y31" s="554">
        <f>0.02*'Datastream - Indices'!AZ31</f>
        <v>4.0000000000000003E-5</v>
      </c>
      <c r="Z31" s="554">
        <f>0.1*'Datastream - Indices'!BA31</f>
        <v>-3.4200000000000003E-3</v>
      </c>
      <c r="AA31" s="554">
        <f>0.05*'Datastream - Indices'!BB31</f>
        <v>6.7600000000000006E-4</v>
      </c>
      <c r="AB31" s="554">
        <f>0.15*'Datastream - Indices'!BC31</f>
        <v>7.7299685200966986E-3</v>
      </c>
      <c r="AC31" s="554">
        <f>0.03*'Datastream - Indices'!BD31</f>
        <v>2.5247028662139341E-3</v>
      </c>
      <c r="AD31" s="554">
        <f t="shared" si="0"/>
        <v>1.8877401749681954E-2</v>
      </c>
    </row>
    <row r="32" spans="1:30">
      <c r="A32" s="550"/>
      <c r="B32" s="561"/>
      <c r="C32" s="561"/>
      <c r="D32" s="561"/>
      <c r="E32" s="561"/>
      <c r="F32" s="561"/>
      <c r="G32" s="556"/>
      <c r="H32" s="561"/>
      <c r="I32" s="561"/>
      <c r="J32" s="561"/>
      <c r="K32" s="561"/>
      <c r="L32" s="561"/>
      <c r="M32" s="561"/>
      <c r="N32" s="555"/>
      <c r="O32" s="560"/>
      <c r="T32" s="580"/>
      <c r="U32" s="554">
        <f>0.25*'Datastream - Indices'!AV32</f>
        <v>4.6451148944710127E-2</v>
      </c>
      <c r="V32" s="554">
        <f>0.1*'Datastream - Indices'!AW32</f>
        <v>2.1036562900480026E-2</v>
      </c>
      <c r="W32" s="554">
        <f>0.15*'Datastream - Indices'!AX32</f>
        <v>3.6450000000000002E-3</v>
      </c>
      <c r="X32" s="554">
        <f>0.15*'Datastream - Indices'!AY32</f>
        <v>4.7849999999999993E-3</v>
      </c>
      <c r="Y32" s="554">
        <f>0.02*'Datastream - Indices'!AZ32</f>
        <v>9.1E-4</v>
      </c>
      <c r="Z32" s="554">
        <f>0.1*'Datastream - Indices'!BA32</f>
        <v>1.66E-3</v>
      </c>
      <c r="AA32" s="554">
        <f>0.05*'Datastream - Indices'!BB32</f>
        <v>1.3554999999999999E-3</v>
      </c>
      <c r="AB32" s="554">
        <f>0.15*'Datastream - Indices'!BC32</f>
        <v>5.0126463319836195E-2</v>
      </c>
      <c r="AC32" s="554">
        <f>0.03*'Datastream - Indices'!BD32</f>
        <v>-5.2870243918938943E-4</v>
      </c>
      <c r="AD32" s="554">
        <f t="shared" si="0"/>
        <v>0.12944097272583693</v>
      </c>
    </row>
    <row r="33" spans="1:30">
      <c r="A33" s="550"/>
      <c r="B33" s="561"/>
      <c r="C33" s="561"/>
      <c r="D33" s="561"/>
      <c r="E33" s="561"/>
      <c r="F33" s="561"/>
      <c r="G33" s="556"/>
      <c r="H33" s="561"/>
      <c r="I33" s="561"/>
      <c r="J33" s="561"/>
      <c r="K33" s="561"/>
      <c r="L33" s="561"/>
      <c r="M33" s="561"/>
      <c r="N33" s="555"/>
      <c r="O33" s="560"/>
      <c r="T33" s="580"/>
      <c r="U33" s="554">
        <f>0.25*'Datastream - Indices'!AV33</f>
        <v>5.584540469760213E-2</v>
      </c>
      <c r="V33" s="554">
        <f>0.1*'Datastream - Indices'!AW33</f>
        <v>3.4843316575090467E-2</v>
      </c>
      <c r="W33" s="554">
        <f>0.15*'Datastream - Indices'!AX33</f>
        <v>3.1949999999999999E-3</v>
      </c>
      <c r="X33" s="554">
        <f>0.15*'Datastream - Indices'!AY33</f>
        <v>4.0500000000000003E-4</v>
      </c>
      <c r="Y33" s="554">
        <f>0.02*'Datastream - Indices'!AZ33</f>
        <v>3.6400000000000001E-4</v>
      </c>
      <c r="Z33" s="554">
        <f>0.1*'Datastream - Indices'!BA33</f>
        <v>8.8000000000000014E-4</v>
      </c>
      <c r="AA33" s="554">
        <f>0.05*'Datastream - Indices'!BB33</f>
        <v>1.3600000000000003E-4</v>
      </c>
      <c r="AB33" s="554">
        <f>0.15*'Datastream - Indices'!BC33</f>
        <v>4.200204942378518E-2</v>
      </c>
      <c r="AC33" s="554">
        <f>0.03*'Datastream - Indices'!BD33</f>
        <v>5.7728711395936393E-3</v>
      </c>
      <c r="AD33" s="554">
        <f t="shared" si="0"/>
        <v>0.14344364183607142</v>
      </c>
    </row>
    <row r="34" spans="1:30">
      <c r="A34" s="550"/>
      <c r="B34" s="561"/>
      <c r="C34" s="561"/>
      <c r="D34" s="561"/>
      <c r="E34" s="561"/>
      <c r="F34" s="561"/>
      <c r="G34" s="556"/>
      <c r="H34" s="561"/>
      <c r="I34" s="561"/>
      <c r="J34" s="561"/>
      <c r="K34" s="561"/>
      <c r="L34" s="561"/>
      <c r="M34" s="561"/>
      <c r="N34" s="555"/>
      <c r="O34" s="560"/>
      <c r="T34" s="580"/>
      <c r="U34" s="554">
        <f>0.25*'Datastream - Indices'!AV34</f>
        <v>-2.8969646539560821E-2</v>
      </c>
      <c r="V34" s="554">
        <f>0.1*'Datastream - Indices'!AW34</f>
        <v>1.0236520328164647E-3</v>
      </c>
      <c r="W34" s="554">
        <f>0.15*'Datastream - Indices'!AX34</f>
        <v>1.56E-3</v>
      </c>
      <c r="X34" s="554">
        <f>0.15*'Datastream - Indices'!AY34</f>
        <v>4.2599999999999999E-3</v>
      </c>
      <c r="Y34" s="554">
        <f>0.02*'Datastream - Indices'!AZ34</f>
        <v>8.3000000000000001E-4</v>
      </c>
      <c r="Z34" s="554">
        <f>0.1*'Datastream - Indices'!BA34</f>
        <v>5.8300000000000001E-3</v>
      </c>
      <c r="AA34" s="554">
        <f>0.05*'Datastream - Indices'!BB34</f>
        <v>7.9349999999999993E-4</v>
      </c>
      <c r="AB34" s="554">
        <f>0.15*'Datastream - Indices'!BC34</f>
        <v>-3.9241498799249951E-2</v>
      </c>
      <c r="AC34" s="554">
        <f>0.03*'Datastream - Indices'!BD34</f>
        <v>-3.1924677228166846E-3</v>
      </c>
      <c r="AD34" s="554">
        <f t="shared" si="0"/>
        <v>-5.7106461028810993E-2</v>
      </c>
    </row>
    <row r="35" spans="1:30">
      <c r="A35" s="550">
        <v>2008</v>
      </c>
      <c r="B35" s="1005">
        <v>0.32400000000000001</v>
      </c>
      <c r="C35" s="1005"/>
      <c r="D35" s="1005">
        <f>0.448-0.083</f>
        <v>0.36499999999999999</v>
      </c>
      <c r="E35" s="1005"/>
      <c r="F35" s="1005"/>
      <c r="G35" s="556">
        <v>8.3000000000000004E-2</v>
      </c>
      <c r="H35" s="1005">
        <v>0.22399999999999998</v>
      </c>
      <c r="I35" s="1005"/>
      <c r="J35" s="1005"/>
      <c r="K35" s="1005"/>
      <c r="L35" s="1005"/>
      <c r="M35" s="1005"/>
      <c r="N35" s="555">
        <v>4.0000000000000001E-3</v>
      </c>
      <c r="O35" s="560">
        <f>SUM(B35:N35)</f>
        <v>1</v>
      </c>
      <c r="T35" s="580">
        <v>2008</v>
      </c>
      <c r="U35" s="554">
        <f>0.25*'Datastream - Indices'!AV35</f>
        <v>-5.5995395715769655E-2</v>
      </c>
      <c r="V35" s="554">
        <f>0.1*'Datastream - Indices'!AW35</f>
        <v>-2.7558356235035178E-2</v>
      </c>
      <c r="W35" s="554">
        <f>0.15*'Datastream - Indices'!AX35</f>
        <v>9.6600000000000002E-3</v>
      </c>
      <c r="X35" s="554">
        <f>0.15*'Datastream - Indices'!AY35</f>
        <v>1.1264999999999999E-2</v>
      </c>
      <c r="Y35" s="554">
        <f>0.02*'Datastream - Indices'!AZ35</f>
        <v>1.738E-3</v>
      </c>
      <c r="Z35" s="554">
        <f>0.1*'Datastream - Indices'!BA35</f>
        <v>7.5899999999999995E-3</v>
      </c>
      <c r="AA35" s="554">
        <f>0.05*'Datastream - Indices'!BB35</f>
        <v>7.8500000000000011E-5</v>
      </c>
      <c r="AB35" s="554">
        <f t="shared" ref="AB35:AB70" si="1">0.15*0</f>
        <v>0</v>
      </c>
      <c r="AC35" s="554">
        <f>0.03*'Datastream - Indices'!BD35</f>
        <v>-1.4099640436411102E-2</v>
      </c>
      <c r="AD35" s="554">
        <f t="shared" si="0"/>
        <v>-6.7321892387215934E-2</v>
      </c>
    </row>
    <row r="36" spans="1:30">
      <c r="A36" s="550"/>
      <c r="B36" s="561"/>
      <c r="C36" s="561"/>
      <c r="D36" s="561"/>
      <c r="E36" s="561"/>
      <c r="F36" s="561"/>
      <c r="G36" s="556"/>
      <c r="H36" s="561"/>
      <c r="I36" s="561"/>
      <c r="J36" s="561"/>
      <c r="K36" s="561"/>
      <c r="L36" s="561"/>
      <c r="M36" s="561"/>
      <c r="N36" s="555"/>
      <c r="O36" s="560"/>
      <c r="T36" s="580"/>
      <c r="U36" s="554">
        <f>0.25*'Datastream - Indices'!AV36</f>
        <v>-3.8395275889929185E-2</v>
      </c>
      <c r="V36" s="554">
        <f>0.1*'Datastream - Indices'!AW36</f>
        <v>-2.6857777641309984E-2</v>
      </c>
      <c r="W36" s="554">
        <f>0.15*'Datastream - Indices'!AX36</f>
        <v>-1.1309999999999999E-2</v>
      </c>
      <c r="X36" s="554">
        <f>0.15*'Datastream - Indices'!AY36</f>
        <v>-4.8900000000000002E-3</v>
      </c>
      <c r="Y36" s="554">
        <f>0.02*'Datastream - Indices'!AZ36</f>
        <v>-1.374E-3</v>
      </c>
      <c r="Z36" s="554">
        <f>0.1*'Datastream - Indices'!BA36</f>
        <v>-5.1399999999999996E-3</v>
      </c>
      <c r="AA36" s="554">
        <f>0.05*'Datastream - Indices'!BB36</f>
        <v>-3.1025000000000002E-3</v>
      </c>
      <c r="AB36" s="554">
        <f t="shared" si="1"/>
        <v>0</v>
      </c>
      <c r="AC36" s="554">
        <f>0.03*'Datastream - Indices'!BD36</f>
        <v>-8.5816226506229467E-3</v>
      </c>
      <c r="AD36" s="554">
        <f t="shared" si="0"/>
        <v>-9.9651176181862117E-2</v>
      </c>
    </row>
    <row r="37" spans="1:30">
      <c r="A37" s="550"/>
      <c r="B37" s="561"/>
      <c r="C37" s="561"/>
      <c r="D37" s="561"/>
      <c r="E37" s="561"/>
      <c r="F37" s="561"/>
      <c r="G37" s="556"/>
      <c r="H37" s="561"/>
      <c r="I37" s="561"/>
      <c r="J37" s="561"/>
      <c r="K37" s="561"/>
      <c r="L37" s="561"/>
      <c r="M37" s="561"/>
      <c r="N37" s="555"/>
      <c r="O37" s="560"/>
      <c r="T37" s="580"/>
      <c r="U37" s="554">
        <f>0.25*'Datastream - Indices'!AV37</f>
        <v>-3.7278494346777808E-3</v>
      </c>
      <c r="V37" s="554">
        <f>0.1*'Datastream - Indices'!AW37</f>
        <v>-8.0647442103316466E-4</v>
      </c>
      <c r="W37" s="554">
        <f>0.15*'Datastream - Indices'!AX37</f>
        <v>-5.8500000000000002E-4</v>
      </c>
      <c r="X37" s="554">
        <f>0.15*'Datastream - Indices'!AY37</f>
        <v>-7.7999999999999999E-4</v>
      </c>
      <c r="Y37" s="554">
        <f>0.02*'Datastream - Indices'!AZ37</f>
        <v>-3.9599999999999998E-4</v>
      </c>
      <c r="Z37" s="554">
        <f>0.1*'Datastream - Indices'!BA37</f>
        <v>1.8000000000000004E-3</v>
      </c>
      <c r="AA37" s="554">
        <f>0.05*'Datastream - Indices'!BB37</f>
        <v>-5.7799999999999995E-4</v>
      </c>
      <c r="AB37" s="554">
        <f t="shared" si="1"/>
        <v>0</v>
      </c>
      <c r="AC37" s="554">
        <f>0.03*'Datastream - Indices'!BD37</f>
        <v>8.5950271844617548E-3</v>
      </c>
      <c r="AD37" s="554">
        <f t="shared" si="0"/>
        <v>3.5217033287508106E-3</v>
      </c>
    </row>
    <row r="38" spans="1:30">
      <c r="A38" s="550"/>
      <c r="B38" s="561"/>
      <c r="C38" s="561"/>
      <c r="D38" s="561"/>
      <c r="E38" s="561"/>
      <c r="F38" s="561"/>
      <c r="G38" s="556"/>
      <c r="H38" s="561"/>
      <c r="I38" s="561"/>
      <c r="J38" s="561"/>
      <c r="K38" s="561"/>
      <c r="L38" s="561"/>
      <c r="M38" s="561"/>
      <c r="N38" s="555"/>
      <c r="O38" s="560"/>
      <c r="T38" s="580"/>
      <c r="U38" s="554">
        <f>0.25*'Datastream - Indices'!AV38</f>
        <v>-2.236443857106319E-2</v>
      </c>
      <c r="V38" s="554">
        <f>0.1*'Datastream - Indices'!AW38</f>
        <v>-1.0924277739208531E-2</v>
      </c>
      <c r="W38" s="554">
        <f>0.15*'Datastream - Indices'!AX38</f>
        <v>1.95E-4</v>
      </c>
      <c r="X38" s="554">
        <f>0.15*'Datastream - Indices'!AY38</f>
        <v>2.6700000000000001E-3</v>
      </c>
      <c r="Y38" s="554">
        <f>0.02*'Datastream - Indices'!AZ38</f>
        <v>-4.0000000000000003E-5</v>
      </c>
      <c r="Z38" s="554">
        <f>0.1*'Datastream - Indices'!BA38</f>
        <v>1.7500000000000003E-3</v>
      </c>
      <c r="AA38" s="554">
        <f>0.05*'Datastream - Indices'!BB38</f>
        <v>-1.031E-3</v>
      </c>
      <c r="AB38" s="554">
        <f t="shared" si="1"/>
        <v>0</v>
      </c>
      <c r="AC38" s="554">
        <f>0.03*'Datastream - Indices'!BD38</f>
        <v>2.9772389177660629E-3</v>
      </c>
      <c r="AD38" s="554">
        <f t="shared" si="0"/>
        <v>-2.6767477392505658E-2</v>
      </c>
    </row>
    <row r="39" spans="1:30">
      <c r="A39" s="550">
        <v>2007</v>
      </c>
      <c r="B39" s="1005">
        <v>0.38400000000000001</v>
      </c>
      <c r="C39" s="1005"/>
      <c r="D39" s="1005">
        <v>0.40400000000000003</v>
      </c>
      <c r="E39" s="1005"/>
      <c r="F39" s="1005"/>
      <c r="G39" s="556">
        <v>0</v>
      </c>
      <c r="H39" s="1005">
        <v>0.21200000000000002</v>
      </c>
      <c r="I39" s="1005"/>
      <c r="J39" s="1005"/>
      <c r="K39" s="1005"/>
      <c r="L39" s="1005"/>
      <c r="M39" s="1005"/>
      <c r="N39" s="561">
        <v>0</v>
      </c>
      <c r="O39" s="560">
        <f>SUM(B39:N39)</f>
        <v>1</v>
      </c>
      <c r="T39" s="580">
        <v>2007</v>
      </c>
      <c r="U39" s="554">
        <f>0.25*'Datastream - Indices'!AV39</f>
        <v>-6.2703904577852548E-3</v>
      </c>
      <c r="V39" s="554">
        <f>0.1*'Datastream - Indices'!AW39</f>
        <v>3.6558346013428333E-3</v>
      </c>
      <c r="W39" s="554">
        <f>0.15*'Datastream - Indices'!AX39</f>
        <v>-5.6999999999999998E-4</v>
      </c>
      <c r="X39" s="554">
        <f>0.15*'Datastream - Indices'!AY39</f>
        <v>-2.7E-4</v>
      </c>
      <c r="Y39" s="554">
        <f>0.02*'Datastream - Indices'!AZ39</f>
        <v>1.26E-4</v>
      </c>
      <c r="Z39" s="554">
        <f>0.1*'Datastream - Indices'!BA39</f>
        <v>-6.7000000000000002E-4</v>
      </c>
      <c r="AA39" s="554">
        <f>0.05*'Datastream - Indices'!BB39</f>
        <v>2.3300000000000003E-4</v>
      </c>
      <c r="AB39" s="554">
        <f t="shared" si="1"/>
        <v>0</v>
      </c>
      <c r="AC39" s="554">
        <f>0.03*'Datastream - Indices'!BD39</f>
        <v>3.4919860475047543E-3</v>
      </c>
      <c r="AD39" s="554">
        <f t="shared" ref="AD39:AD70" si="2">SUM(U39:AC39)</f>
        <v>-2.7356980893766683E-4</v>
      </c>
    </row>
    <row r="40" spans="1:30">
      <c r="A40" s="550"/>
      <c r="B40" s="561"/>
      <c r="C40" s="561"/>
      <c r="D40" s="561"/>
      <c r="E40" s="561"/>
      <c r="F40" s="561"/>
      <c r="G40" s="556"/>
      <c r="H40" s="561"/>
      <c r="I40" s="561"/>
      <c r="J40" s="561"/>
      <c r="K40" s="561"/>
      <c r="L40" s="561"/>
      <c r="M40" s="561"/>
      <c r="N40" s="561"/>
      <c r="O40" s="560"/>
      <c r="T40" s="580"/>
      <c r="U40" s="554">
        <f>0.25*'Datastream - Indices'!AV40</f>
        <v>5.1807152250455931E-3</v>
      </c>
      <c r="V40" s="554">
        <f>0.1*'Datastream - Indices'!AW40</f>
        <v>1.4521491434654411E-2</v>
      </c>
      <c r="W40" s="554">
        <f>0.15*'Datastream - Indices'!AX40</f>
        <v>2.9699999999999996E-3</v>
      </c>
      <c r="X40" s="554">
        <f>0.15*'Datastream - Indices'!AY40</f>
        <v>3.405E-3</v>
      </c>
      <c r="Y40" s="554">
        <f>0.02*'Datastream - Indices'!AZ40</f>
        <v>4.6200000000000001E-4</v>
      </c>
      <c r="Z40" s="554">
        <f>0.1*'Datastream - Indices'!BA40</f>
        <v>2.5500000000000002E-3</v>
      </c>
      <c r="AA40" s="554">
        <f>0.05*'Datastream - Indices'!BB40</f>
        <v>1.2195000000000001E-3</v>
      </c>
      <c r="AB40" s="554">
        <f t="shared" si="1"/>
        <v>0</v>
      </c>
      <c r="AC40" s="554">
        <f>0.03*'Datastream - Indices'!BD40</f>
        <v>3.4404005746209751E-3</v>
      </c>
      <c r="AD40" s="554">
        <f t="shared" si="2"/>
        <v>3.3749107234320973E-2</v>
      </c>
    </row>
    <row r="41" spans="1:30">
      <c r="A41" s="550"/>
      <c r="B41" s="561"/>
      <c r="C41" s="561"/>
      <c r="D41" s="561"/>
      <c r="E41" s="561"/>
      <c r="F41" s="561"/>
      <c r="G41" s="556"/>
      <c r="H41" s="561"/>
      <c r="I41" s="561"/>
      <c r="J41" s="561"/>
      <c r="K41" s="561"/>
      <c r="L41" s="561"/>
      <c r="M41" s="561"/>
      <c r="N41" s="561"/>
      <c r="O41" s="560"/>
      <c r="T41" s="580"/>
      <c r="U41" s="554">
        <f>0.25*'Datastream - Indices'!AV41</f>
        <v>1.7043523574325415E-2</v>
      </c>
      <c r="V41" s="554">
        <f>0.1*'Datastream - Indices'!AW41</f>
        <v>1.5071982486489624E-2</v>
      </c>
      <c r="W41" s="554">
        <f>0.15*'Datastream - Indices'!AX41</f>
        <v>-4.95E-4</v>
      </c>
      <c r="X41" s="554">
        <f>0.15*'Datastream - Indices'!AY41</f>
        <v>-7.1999999999999994E-4</v>
      </c>
      <c r="Y41" s="554">
        <f>0.02*'Datastream - Indices'!AZ41</f>
        <v>-3.4600000000000001E-4</v>
      </c>
      <c r="Z41" s="554">
        <f>0.1*'Datastream - Indices'!BA41</f>
        <v>7.0000000000000007E-5</v>
      </c>
      <c r="AA41" s="554">
        <f>0.05*'Datastream - Indices'!BB41</f>
        <v>3.1150000000000004E-4</v>
      </c>
      <c r="AB41" s="554">
        <f t="shared" si="1"/>
        <v>0</v>
      </c>
      <c r="AC41" s="554">
        <f>0.03*'Datastream - Indices'!BD41</f>
        <v>4.0148655183380586E-4</v>
      </c>
      <c r="AD41" s="554">
        <f t="shared" si="2"/>
        <v>3.1337492612648843E-2</v>
      </c>
    </row>
    <row r="42" spans="1:30">
      <c r="A42" s="550"/>
      <c r="B42" s="561"/>
      <c r="C42" s="561"/>
      <c r="D42" s="561"/>
      <c r="E42" s="561"/>
      <c r="F42" s="561"/>
      <c r="G42" s="556"/>
      <c r="H42" s="561"/>
      <c r="I42" s="561"/>
      <c r="J42" s="561"/>
      <c r="K42" s="561"/>
      <c r="L42" s="561"/>
      <c r="M42" s="561"/>
      <c r="N42" s="561"/>
      <c r="O42" s="560"/>
      <c r="T42" s="580"/>
      <c r="U42" s="554">
        <f>0.25*'Datastream - Indices'!AV42</f>
        <v>7.3165897113007857E-3</v>
      </c>
      <c r="V42" s="554">
        <f>0.1*'Datastream - Indices'!AW42</f>
        <v>2.3588998800329821E-3</v>
      </c>
      <c r="W42" s="554">
        <f>0.15*'Datastream - Indices'!AX42</f>
        <v>-2.2499999999999999E-4</v>
      </c>
      <c r="X42" s="554">
        <f>0.15*'Datastream - Indices'!AY42</f>
        <v>5.5500000000000005E-4</v>
      </c>
      <c r="Y42" s="554">
        <f>0.02*'Datastream - Indices'!AZ42</f>
        <v>1.6200000000000003E-4</v>
      </c>
      <c r="Z42" s="554">
        <f>0.1*'Datastream - Indices'!BA42</f>
        <v>-1E-4</v>
      </c>
      <c r="AA42" s="554">
        <f>0.05*'Datastream - Indices'!BB42</f>
        <v>4.0500000000000009E-4</v>
      </c>
      <c r="AB42" s="554">
        <f t="shared" si="1"/>
        <v>0</v>
      </c>
      <c r="AC42" s="554">
        <f>0.03*'Datastream - Indices'!BD42</f>
        <v>1.5614322235551269E-3</v>
      </c>
      <c r="AD42" s="554">
        <f t="shared" si="2"/>
        <v>1.2033921814888897E-2</v>
      </c>
    </row>
    <row r="43" spans="1:30">
      <c r="A43" s="550">
        <v>2006</v>
      </c>
      <c r="B43" s="1005">
        <f>0.54*0.135</f>
        <v>7.2900000000000006E-2</v>
      </c>
      <c r="C43" s="1005"/>
      <c r="D43" s="1005">
        <v>0.43</v>
      </c>
      <c r="E43" s="1005"/>
      <c r="F43" s="1005"/>
      <c r="G43" s="556">
        <v>0</v>
      </c>
      <c r="H43" s="1005">
        <v>0.49709999999999999</v>
      </c>
      <c r="I43" s="1005"/>
      <c r="J43" s="1005"/>
      <c r="K43" s="1005"/>
      <c r="L43" s="1005"/>
      <c r="M43" s="1005"/>
      <c r="N43" s="561">
        <v>0</v>
      </c>
      <c r="O43" s="560">
        <f>SUM(B43:N43)</f>
        <v>1</v>
      </c>
      <c r="T43" s="580">
        <v>2006</v>
      </c>
      <c r="U43" s="554">
        <f>0.25*'Datastream - Indices'!AV43</f>
        <v>2.1666413258324458E-2</v>
      </c>
      <c r="V43" s="554">
        <f>0.1*'Datastream - Indices'!AW43</f>
        <v>1.7635635595752742E-2</v>
      </c>
      <c r="W43" s="554">
        <f>0.15*'Datastream - Indices'!AX43</f>
        <v>-1.8599999999999999E-3</v>
      </c>
      <c r="X43" s="554">
        <f>0.15*'Datastream - Indices'!AY43</f>
        <v>-1.245E-3</v>
      </c>
      <c r="Y43" s="554">
        <f>0.02*'Datastream - Indices'!AZ43</f>
        <v>1.8000000000000001E-4</v>
      </c>
      <c r="Z43" s="554">
        <f>0.1*'Datastream - Indices'!BA43</f>
        <v>-2.3500000000000001E-3</v>
      </c>
      <c r="AA43" s="554">
        <f>0.05*'Datastream - Indices'!BB43</f>
        <v>6.6649999999999999E-4</v>
      </c>
      <c r="AB43" s="554">
        <f t="shared" si="1"/>
        <v>0</v>
      </c>
      <c r="AC43" s="554">
        <f>0.03*'Datastream - Indices'!BD43</f>
        <v>-1.3501662692360133E-3</v>
      </c>
      <c r="AD43" s="554">
        <f t="shared" si="2"/>
        <v>3.3343382584841187E-2</v>
      </c>
    </row>
    <row r="44" spans="1:30">
      <c r="A44" s="550"/>
      <c r="B44" s="561"/>
      <c r="C44" s="561"/>
      <c r="D44" s="561"/>
      <c r="E44" s="561"/>
      <c r="F44" s="561"/>
      <c r="G44" s="556"/>
      <c r="H44" s="561"/>
      <c r="I44" s="561"/>
      <c r="J44" s="561"/>
      <c r="K44" s="561"/>
      <c r="L44" s="561"/>
      <c r="M44" s="561"/>
      <c r="N44" s="561"/>
      <c r="O44" s="560"/>
      <c r="T44" s="580"/>
      <c r="U44" s="554">
        <f>0.25*'Datastream - Indices'!AV44</f>
        <v>1.0344645590330928E-2</v>
      </c>
      <c r="V44" s="554">
        <f>0.1*'Datastream - Indices'!AW44</f>
        <v>4.9817881265612207E-3</v>
      </c>
      <c r="W44" s="554">
        <f>0.15*'Datastream - Indices'!AX44</f>
        <v>2.2499999999999999E-4</v>
      </c>
      <c r="X44" s="554">
        <f>0.15*'Datastream - Indices'!AY44</f>
        <v>3.3E-4</v>
      </c>
      <c r="Y44" s="554">
        <f>0.02*'Datastream - Indices'!AZ44</f>
        <v>1.16E-4</v>
      </c>
      <c r="Z44" s="554">
        <f>0.1*'Datastream - Indices'!BA44</f>
        <v>-8.3000000000000001E-4</v>
      </c>
      <c r="AA44" s="554">
        <f>0.05*'Datastream - Indices'!BB44</f>
        <v>-6.5000000000000013E-6</v>
      </c>
      <c r="AB44" s="554">
        <f t="shared" si="1"/>
        <v>0</v>
      </c>
      <c r="AC44" s="554">
        <f>0.03*'Datastream - Indices'!BD44</f>
        <v>-4.6579061104807728E-3</v>
      </c>
      <c r="AD44" s="554">
        <f t="shared" si="2"/>
        <v>1.0503027606411374E-2</v>
      </c>
    </row>
    <row r="45" spans="1:30">
      <c r="A45" s="550"/>
      <c r="B45" s="561"/>
      <c r="C45" s="561"/>
      <c r="D45" s="561"/>
      <c r="E45" s="561"/>
      <c r="F45" s="561"/>
      <c r="G45" s="556"/>
      <c r="H45" s="561"/>
      <c r="I45" s="561"/>
      <c r="J45" s="561"/>
      <c r="K45" s="561"/>
      <c r="L45" s="561"/>
      <c r="M45" s="561"/>
      <c r="N45" s="561"/>
      <c r="O45" s="560"/>
      <c r="T45" s="580"/>
      <c r="U45" s="554">
        <f>0.25*'Datastream - Indices'!AV45</f>
        <v>-1.8727082242011614E-3</v>
      </c>
      <c r="V45" s="554">
        <f>0.1*'Datastream - Indices'!AW45</f>
        <v>-4.2697547029286716E-3</v>
      </c>
      <c r="W45" s="554">
        <f>0.15*'Datastream - Indices'!AX45</f>
        <v>-1.005E-3</v>
      </c>
      <c r="X45" s="554">
        <f>0.15*'Datastream - Indices'!AY45</f>
        <v>-6.1499999999999999E-4</v>
      </c>
      <c r="Y45" s="554">
        <f>0.02*'Datastream - Indices'!AZ45</f>
        <v>-4.0000000000000007E-6</v>
      </c>
      <c r="Z45" s="554">
        <f>0.1*'Datastream - Indices'!BA45</f>
        <v>-3.8000000000000002E-4</v>
      </c>
      <c r="AA45" s="554">
        <f>0.05*'Datastream - Indices'!BB45</f>
        <v>-2.1549999999999998E-4</v>
      </c>
      <c r="AB45" s="554">
        <f t="shared" si="1"/>
        <v>0</v>
      </c>
      <c r="AC45" s="554">
        <f>0.03*'Datastream - Indices'!BD45</f>
        <v>2.0224657208097662E-3</v>
      </c>
      <c r="AD45" s="554">
        <f t="shared" si="2"/>
        <v>-6.3394972063200656E-3</v>
      </c>
    </row>
    <row r="46" spans="1:30">
      <c r="A46" s="550"/>
      <c r="B46" s="561"/>
      <c r="C46" s="561"/>
      <c r="D46" s="561"/>
      <c r="E46" s="561"/>
      <c r="F46" s="561"/>
      <c r="G46" s="556"/>
      <c r="H46" s="561"/>
      <c r="I46" s="561"/>
      <c r="J46" s="561"/>
      <c r="K46" s="561"/>
      <c r="L46" s="561"/>
      <c r="M46" s="561"/>
      <c r="N46" s="561"/>
      <c r="O46" s="560"/>
      <c r="T46" s="580"/>
      <c r="U46" s="554">
        <f>0.25*'Datastream - Indices'!AV46</f>
        <v>1.8502630172438046E-2</v>
      </c>
      <c r="V46" s="554">
        <f>0.1*'Datastream - Indices'!AW46</f>
        <v>1.2120153684945857E-2</v>
      </c>
      <c r="W46" s="554">
        <f>0.15*'Datastream - Indices'!AX46</f>
        <v>-1.5900000000000001E-3</v>
      </c>
      <c r="X46" s="554">
        <f>0.15*'Datastream - Indices'!AY46</f>
        <v>-1.8749999999999999E-3</v>
      </c>
      <c r="Y46" s="554">
        <f>0.02*'Datastream - Indices'!AZ46</f>
        <v>-3.5599999999999998E-4</v>
      </c>
      <c r="Z46" s="554">
        <f>0.1*'Datastream - Indices'!BA46</f>
        <v>-1.9599999999999999E-3</v>
      </c>
      <c r="AA46" s="554">
        <f>0.05*'Datastream - Indices'!BB46</f>
        <v>8.7700000000000007E-4</v>
      </c>
      <c r="AB46" s="554">
        <f t="shared" si="1"/>
        <v>0</v>
      </c>
      <c r="AC46" s="554">
        <f>0.03*'Datastream - Indices'!BD46</f>
        <v>-4.1886004021172556E-4</v>
      </c>
      <c r="AD46" s="554">
        <f t="shared" si="2"/>
        <v>2.5299923817172172E-2</v>
      </c>
    </row>
    <row r="47" spans="1:30">
      <c r="A47" s="550">
        <v>2005</v>
      </c>
      <c r="B47" s="1005">
        <v>0.372</v>
      </c>
      <c r="C47" s="1005"/>
      <c r="D47" s="1005">
        <f>0.432-0.04</f>
        <v>0.39200000000000002</v>
      </c>
      <c r="E47" s="1005"/>
      <c r="F47" s="1005"/>
      <c r="G47" s="556">
        <v>0.04</v>
      </c>
      <c r="H47" s="1005">
        <v>0.19600000000000004</v>
      </c>
      <c r="I47" s="1005"/>
      <c r="J47" s="1005"/>
      <c r="K47" s="1005"/>
      <c r="L47" s="1005"/>
      <c r="M47" s="1005"/>
      <c r="N47" s="561">
        <v>0</v>
      </c>
      <c r="O47" s="560">
        <f>SUM(B47:N47)</f>
        <v>1</v>
      </c>
      <c r="T47" s="580">
        <v>2005</v>
      </c>
      <c r="U47" s="554">
        <f>0.25*'Datastream - Indices'!AV47</f>
        <v>8.7564781925115222E-3</v>
      </c>
      <c r="V47" s="554">
        <f>0.1*'Datastream - Indices'!AW47</f>
        <v>7.2003904121851793E-3</v>
      </c>
      <c r="W47" s="554">
        <f>0.15*'Datastream - Indices'!AX47</f>
        <v>1.23E-3</v>
      </c>
      <c r="X47" s="554">
        <f>0.15*'Datastream - Indices'!AY47</f>
        <v>1.245E-3</v>
      </c>
      <c r="Y47" s="554">
        <f>0.02*'Datastream - Indices'!AZ47</f>
        <v>4.6999999999999999E-4</v>
      </c>
      <c r="Z47" s="554">
        <f>0.1*'Datastream - Indices'!BA47</f>
        <v>1.41E-3</v>
      </c>
      <c r="AA47" s="554">
        <f>0.05*'Datastream - Indices'!BB47</f>
        <v>8.2600000000000002E-4</v>
      </c>
      <c r="AB47" s="554">
        <f t="shared" si="1"/>
        <v>0</v>
      </c>
      <c r="AC47" s="554">
        <f>0.03*'Datastream - Indices'!BD47</f>
        <v>-3.3906788873354818E-3</v>
      </c>
      <c r="AD47" s="554">
        <f t="shared" si="2"/>
        <v>1.7747189717361223E-2</v>
      </c>
    </row>
    <row r="48" spans="1:30">
      <c r="A48" s="550"/>
      <c r="B48" s="561"/>
      <c r="C48" s="561"/>
      <c r="D48" s="561"/>
      <c r="E48" s="561"/>
      <c r="F48" s="561"/>
      <c r="G48" s="556"/>
      <c r="H48" s="561"/>
      <c r="I48" s="561"/>
      <c r="J48" s="561"/>
      <c r="K48" s="561"/>
      <c r="L48" s="561"/>
      <c r="M48" s="561"/>
      <c r="N48" s="561"/>
      <c r="O48" s="560"/>
      <c r="T48" s="580"/>
      <c r="U48" s="554">
        <f>0.25*'Datastream - Indices'!AV48</f>
        <v>1.8907957783971672E-2</v>
      </c>
      <c r="V48" s="554">
        <f>0.1*'Datastream - Indices'!AW48</f>
        <v>1.8113954905545401E-2</v>
      </c>
      <c r="W48" s="554">
        <f>0.15*'Datastream - Indices'!AX48</f>
        <v>-2.6099999999999999E-3</v>
      </c>
      <c r="X48" s="554">
        <f>0.15*'Datastream - Indices'!AY48</f>
        <v>-1.4549999999999999E-3</v>
      </c>
      <c r="Y48" s="554">
        <f>0.02*'Datastream - Indices'!AZ48</f>
        <v>4.4999999999999999E-4</v>
      </c>
      <c r="Z48" s="554">
        <f>0.1*'Datastream - Indices'!BA48</f>
        <v>-7.3000000000000007E-4</v>
      </c>
      <c r="AA48" s="554">
        <f>0.05*'Datastream - Indices'!BB48</f>
        <v>9.2700000000000009E-4</v>
      </c>
      <c r="AB48" s="554">
        <f t="shared" si="1"/>
        <v>0</v>
      </c>
      <c r="AC48" s="554">
        <f>0.03*'Datastream - Indices'!BD48</f>
        <v>6.4477944199868645E-3</v>
      </c>
      <c r="AD48" s="554">
        <f t="shared" si="2"/>
        <v>4.0051707109503933E-2</v>
      </c>
    </row>
    <row r="49" spans="1:30">
      <c r="A49" s="550"/>
      <c r="B49" s="561"/>
      <c r="C49" s="561"/>
      <c r="D49" s="561"/>
      <c r="E49" s="561"/>
      <c r="F49" s="561"/>
      <c r="G49" s="556"/>
      <c r="H49" s="561"/>
      <c r="I49" s="561"/>
      <c r="J49" s="561"/>
      <c r="K49" s="561"/>
      <c r="L49" s="561"/>
      <c r="M49" s="561"/>
      <c r="N49" s="561"/>
      <c r="O49" s="560"/>
      <c r="T49" s="580"/>
      <c r="U49" s="554">
        <f>0.25*'Datastream - Indices'!AV49</f>
        <v>2.5307646072569583E-3</v>
      </c>
      <c r="V49" s="554">
        <f>0.1*'Datastream - Indices'!AW49</f>
        <v>4.239867267124906E-3</v>
      </c>
      <c r="W49" s="554">
        <f>0.15*'Datastream - Indices'!AX49</f>
        <v>-8.9999999999999992E-5</v>
      </c>
      <c r="X49" s="554">
        <f>0.15*'Datastream - Indices'!AY49</f>
        <v>2.2499999999999999E-4</v>
      </c>
      <c r="Y49" s="554">
        <f>0.02*'Datastream - Indices'!AZ49</f>
        <v>3.6200000000000002E-4</v>
      </c>
      <c r="Z49" s="554">
        <f>0.1*'Datastream - Indices'!BA49</f>
        <v>0</v>
      </c>
      <c r="AA49" s="554">
        <f>0.05*'Datastream - Indices'!BB49</f>
        <v>7.645000000000001E-4</v>
      </c>
      <c r="AB49" s="554">
        <f t="shared" si="1"/>
        <v>0</v>
      </c>
      <c r="AC49" s="554">
        <f>0.03*'Datastream - Indices'!BD49</f>
        <v>-1.3455645334744222E-3</v>
      </c>
      <c r="AD49" s="554">
        <f t="shared" si="2"/>
        <v>6.6865673409074429E-3</v>
      </c>
    </row>
    <row r="50" spans="1:30">
      <c r="A50" s="550"/>
      <c r="B50" s="561"/>
      <c r="C50" s="561"/>
      <c r="D50" s="561"/>
      <c r="E50" s="561"/>
      <c r="F50" s="561"/>
      <c r="G50" s="556"/>
      <c r="H50" s="561"/>
      <c r="I50" s="561"/>
      <c r="J50" s="561"/>
      <c r="K50" s="561"/>
      <c r="L50" s="561"/>
      <c r="M50" s="561"/>
      <c r="N50" s="561"/>
      <c r="O50" s="560"/>
      <c r="T50" s="580"/>
      <c r="U50" s="554">
        <f>0.25*'Datastream - Indices'!AV50</f>
        <v>-1.6654620871696607E-3</v>
      </c>
      <c r="V50" s="554">
        <f>0.1*'Datastream - Indices'!AW50</f>
        <v>1.9359125366192617E-3</v>
      </c>
      <c r="W50" s="554">
        <f>0.15*'Datastream - Indices'!AX50</f>
        <v>-2.4599999999999999E-3</v>
      </c>
      <c r="X50" s="554">
        <f>0.15*'Datastream - Indices'!AY50</f>
        <v>-2.3700000000000001E-3</v>
      </c>
      <c r="Y50" s="554">
        <f>0.02*'Datastream - Indices'!AZ50</f>
        <v>-5.1800000000000001E-4</v>
      </c>
      <c r="Z50" s="554">
        <f>0.1*'Datastream - Indices'!BA50</f>
        <v>-7.9000000000000012E-4</v>
      </c>
      <c r="AA50" s="554">
        <f>0.05*'Datastream - Indices'!BB50</f>
        <v>-4.6500000000000008E-4</v>
      </c>
      <c r="AB50" s="554">
        <f t="shared" si="1"/>
        <v>0</v>
      </c>
      <c r="AC50" s="554">
        <f>0.03*'Datastream - Indices'!BD50</f>
        <v>6.5944708605474127E-3</v>
      </c>
      <c r="AD50" s="554">
        <f t="shared" si="2"/>
        <v>2.6192130999701333E-4</v>
      </c>
    </row>
    <row r="51" spans="1:30">
      <c r="A51" s="550">
        <v>2004</v>
      </c>
      <c r="B51" s="1005">
        <v>0.55000000000000004</v>
      </c>
      <c r="C51" s="1005"/>
      <c r="D51" s="1005">
        <v>0.43</v>
      </c>
      <c r="E51" s="1005"/>
      <c r="F51" s="1005"/>
      <c r="G51" s="556">
        <v>0</v>
      </c>
      <c r="H51" s="1005">
        <v>0.02</v>
      </c>
      <c r="I51" s="1005"/>
      <c r="J51" s="1005"/>
      <c r="K51" s="1005"/>
      <c r="L51" s="1005"/>
      <c r="M51" s="1005"/>
      <c r="N51" s="561">
        <v>0</v>
      </c>
      <c r="O51" s="560">
        <f>SUM(B51:N51)</f>
        <v>1</v>
      </c>
      <c r="T51" s="580">
        <v>2004</v>
      </c>
      <c r="U51" s="554">
        <f>0.25*'Datastream - Indices'!AV51</f>
        <v>3.14799745258987E-2</v>
      </c>
      <c r="V51" s="554">
        <f>0.1*'Datastream - Indices'!AW51</f>
        <v>1.7266190107863216E-2</v>
      </c>
      <c r="W51" s="554">
        <f>0.15*'Datastream - Indices'!AX51</f>
        <v>2.5199999999999997E-3</v>
      </c>
      <c r="X51" s="554">
        <f>0.15*'Datastream - Indices'!AY51</f>
        <v>2.3999999999999998E-3</v>
      </c>
      <c r="Y51" s="554">
        <f>0.02*'Datastream - Indices'!AZ51</f>
        <v>4.6799999999999994E-4</v>
      </c>
      <c r="Z51" s="554">
        <f>0.1*'Datastream - Indices'!BA51</f>
        <v>2.2300000000000002E-3</v>
      </c>
      <c r="AA51" s="554">
        <f>0.05*'Datastream - Indices'!BB51</f>
        <v>8.005E-4</v>
      </c>
      <c r="AB51" s="554">
        <f t="shared" si="1"/>
        <v>0</v>
      </c>
      <c r="AC51" s="554">
        <f>0.03*'Datastream - Indices'!BD51</f>
        <v>-3.2368088849382267E-3</v>
      </c>
      <c r="AD51" s="554">
        <f t="shared" si="2"/>
        <v>5.3927855748823694E-2</v>
      </c>
    </row>
    <row r="52" spans="1:30">
      <c r="A52" s="550"/>
      <c r="B52" s="561"/>
      <c r="C52" s="561"/>
      <c r="D52" s="561"/>
      <c r="E52" s="561"/>
      <c r="F52" s="561"/>
      <c r="G52" s="556"/>
      <c r="H52" s="561"/>
      <c r="I52" s="561"/>
      <c r="J52" s="561"/>
      <c r="K52" s="561"/>
      <c r="L52" s="561"/>
      <c r="M52" s="561"/>
      <c r="N52" s="561"/>
      <c r="O52" s="560"/>
      <c r="T52" s="580"/>
      <c r="U52" s="554">
        <f>0.25*'Datastream - Indices'!AV52</f>
        <v>-2.1223602048691644E-3</v>
      </c>
      <c r="V52" s="554">
        <f>0.1*'Datastream - Indices'!AW52</f>
        <v>8.2548265745697909E-3</v>
      </c>
      <c r="W52" s="554">
        <f>0.15*'Datastream - Indices'!AX52</f>
        <v>1.9049999999999998E-3</v>
      </c>
      <c r="X52" s="554">
        <f>0.15*'Datastream - Indices'!AY52</f>
        <v>1.3799999999999999E-3</v>
      </c>
      <c r="Y52" s="554">
        <f>0.02*'Datastream - Indices'!AZ52</f>
        <v>3.0800000000000001E-4</v>
      </c>
      <c r="Z52" s="554">
        <f>0.1*'Datastream - Indices'!BA52</f>
        <v>1.34E-3</v>
      </c>
      <c r="AA52" s="554">
        <f>0.05*'Datastream - Indices'!BB52</f>
        <v>8.2800000000000018E-4</v>
      </c>
      <c r="AB52" s="554">
        <f t="shared" si="1"/>
        <v>0</v>
      </c>
      <c r="AC52" s="554">
        <f>0.03*'Datastream - Indices'!BD52</f>
        <v>4.9898168130103537E-3</v>
      </c>
      <c r="AD52" s="554">
        <f t="shared" si="2"/>
        <v>1.6883283182710977E-2</v>
      </c>
    </row>
    <row r="53" spans="1:30">
      <c r="A53" s="550"/>
      <c r="B53" s="561"/>
      <c r="C53" s="561"/>
      <c r="D53" s="561"/>
      <c r="E53" s="561"/>
      <c r="F53" s="561"/>
      <c r="G53" s="556"/>
      <c r="H53" s="561"/>
      <c r="I53" s="561"/>
      <c r="J53" s="561"/>
      <c r="K53" s="561"/>
      <c r="L53" s="561"/>
      <c r="M53" s="561"/>
      <c r="N53" s="561"/>
      <c r="O53" s="560"/>
      <c r="T53" s="580"/>
      <c r="U53" s="554">
        <f>0.25*'Datastream - Indices'!AV53</f>
        <v>2.033526665723592E-3</v>
      </c>
      <c r="V53" s="554">
        <f>0.1*'Datastream - Indices'!AW53</f>
        <v>-9.5730400028844979E-3</v>
      </c>
      <c r="W53" s="554">
        <f>0.15*'Datastream - Indices'!AX53</f>
        <v>4.2000000000000007E-4</v>
      </c>
      <c r="X53" s="554">
        <f>0.15*'Datastream - Indices'!AY53</f>
        <v>3.3E-4</v>
      </c>
      <c r="Y53" s="554">
        <f>0.02*'Datastream - Indices'!AZ53</f>
        <v>2.8200000000000002E-4</v>
      </c>
      <c r="Z53" s="554">
        <f>0.1*'Datastream - Indices'!BA53</f>
        <v>-5.0000000000000002E-5</v>
      </c>
      <c r="AA53" s="554">
        <f>0.05*'Datastream - Indices'!BB53</f>
        <v>4.2300000000000004E-4</v>
      </c>
      <c r="AB53" s="554">
        <f t="shared" si="1"/>
        <v>0</v>
      </c>
      <c r="AC53" s="554">
        <f>0.03*'Datastream - Indices'!BD53</f>
        <v>7.3780786170298148E-4</v>
      </c>
      <c r="AD53" s="554">
        <f t="shared" si="2"/>
        <v>-5.3967054754579238E-3</v>
      </c>
    </row>
    <row r="54" spans="1:30">
      <c r="A54" s="550"/>
      <c r="B54" s="561"/>
      <c r="C54" s="561"/>
      <c r="D54" s="561"/>
      <c r="E54" s="561"/>
      <c r="F54" s="561"/>
      <c r="G54" s="556"/>
      <c r="H54" s="561"/>
      <c r="I54" s="561"/>
      <c r="J54" s="561"/>
      <c r="K54" s="561"/>
      <c r="L54" s="561"/>
      <c r="M54" s="561"/>
      <c r="N54" s="561"/>
      <c r="O54" s="560"/>
      <c r="T54" s="580"/>
      <c r="U54" s="554">
        <f>0.25*'Datastream - Indices'!AV54</f>
        <v>9.6796708544559205E-3</v>
      </c>
      <c r="V54" s="554">
        <f>0.1*'Datastream - Indices'!AW54</f>
        <v>9.7202589715694315E-3</v>
      </c>
      <c r="W54" s="554">
        <f>0.15*'Datastream - Indices'!AX54</f>
        <v>1.3950000000000002E-3</v>
      </c>
      <c r="X54" s="554">
        <f>0.15*'Datastream - Indices'!AY54</f>
        <v>1.8749999999999999E-3</v>
      </c>
      <c r="Y54" s="554">
        <f>0.02*'Datastream - Indices'!AZ54</f>
        <v>4.9400000000000008E-4</v>
      </c>
      <c r="Z54" s="554">
        <f>0.1*'Datastream - Indices'!BA54</f>
        <v>1.2500000000000002E-3</v>
      </c>
      <c r="AA54" s="554">
        <f>0.05*'Datastream - Indices'!BB54</f>
        <v>3.0250000000000003E-4</v>
      </c>
      <c r="AB54" s="554">
        <f t="shared" si="1"/>
        <v>0</v>
      </c>
      <c r="AC54" s="554">
        <f>0.03*'Datastream - Indices'!BD54</f>
        <v>3.002532618572089E-3</v>
      </c>
      <c r="AD54" s="554">
        <f t="shared" si="2"/>
        <v>2.7718962444597442E-2</v>
      </c>
    </row>
    <row r="55" spans="1:30">
      <c r="A55" s="550">
        <v>2003</v>
      </c>
      <c r="B55" s="1005">
        <v>0.52500000000000002</v>
      </c>
      <c r="C55" s="1005"/>
      <c r="D55" s="1005">
        <v>0.45900000000000002</v>
      </c>
      <c r="E55" s="1005"/>
      <c r="F55" s="1005"/>
      <c r="G55" s="556">
        <v>0</v>
      </c>
      <c r="H55" s="1005">
        <v>1.6E-2</v>
      </c>
      <c r="I55" s="1005"/>
      <c r="J55" s="1005"/>
      <c r="K55" s="1005"/>
      <c r="L55" s="1005"/>
      <c r="M55" s="1005"/>
      <c r="N55" s="561">
        <v>0</v>
      </c>
      <c r="O55" s="560">
        <f>SUM(B55:N55)</f>
        <v>1</v>
      </c>
      <c r="T55" s="580">
        <v>2003</v>
      </c>
      <c r="U55" s="554">
        <f>0.25*'Datastream - Indices'!AV55</f>
        <v>3.5537467483427058E-2</v>
      </c>
      <c r="V55" s="554">
        <f>0.1*'Datastream - Indices'!AW55</f>
        <v>1.7806434034742417E-2</v>
      </c>
      <c r="W55" s="554">
        <f>0.15*'Datastream - Indices'!AX55</f>
        <v>4.7999999999999996E-3</v>
      </c>
      <c r="X55" s="554">
        <f>0.15*'Datastream - Indices'!AY55</f>
        <v>3.7499999999999999E-3</v>
      </c>
      <c r="Y55" s="554">
        <f>0.02*'Datastream - Indices'!AZ55</f>
        <v>5.7600000000000001E-4</v>
      </c>
      <c r="Z55" s="554">
        <f>0.1*'Datastream - Indices'!BA55</f>
        <v>4.1100000000000008E-3</v>
      </c>
      <c r="AA55" s="554">
        <f>0.05*'Datastream - Indices'!BB55</f>
        <v>9.3550000000000013E-4</v>
      </c>
      <c r="AB55" s="554">
        <f t="shared" si="1"/>
        <v>0</v>
      </c>
      <c r="AC55" s="554">
        <f>0.03*'Datastream - Indices'!BD55</f>
        <v>3.4052621944280926E-3</v>
      </c>
      <c r="AD55" s="554">
        <f t="shared" si="2"/>
        <v>7.0920663712597573E-2</v>
      </c>
    </row>
    <row r="56" spans="1:30">
      <c r="A56" s="550"/>
      <c r="B56" s="561"/>
      <c r="C56" s="561"/>
      <c r="D56" s="561"/>
      <c r="E56" s="561"/>
      <c r="F56" s="561"/>
      <c r="G56" s="556"/>
      <c r="H56" s="561"/>
      <c r="I56" s="561"/>
      <c r="J56" s="561"/>
      <c r="K56" s="561"/>
      <c r="L56" s="561"/>
      <c r="M56" s="561"/>
      <c r="N56" s="561"/>
      <c r="O56" s="560"/>
      <c r="T56" s="580"/>
      <c r="U56" s="554">
        <f>0.25*'Datastream - Indices'!AV56</f>
        <v>1.5211198646904334E-2</v>
      </c>
      <c r="V56" s="554">
        <f>0.1*'Datastream - Indices'!AW56</f>
        <v>1.4226365490298865E-2</v>
      </c>
      <c r="W56" s="554">
        <f>0.15*'Datastream - Indices'!AX56</f>
        <v>7.4999999999999997E-3</v>
      </c>
      <c r="X56" s="554">
        <f>0.15*'Datastream - Indices'!AY56</f>
        <v>6.8249999999999995E-3</v>
      </c>
      <c r="Y56" s="554">
        <f>0.02*'Datastream - Indices'!AZ56</f>
        <v>6.1000000000000008E-4</v>
      </c>
      <c r="Z56" s="554">
        <f>0.1*'Datastream - Indices'!BA56</f>
        <v>5.2900000000000004E-3</v>
      </c>
      <c r="AA56" s="554">
        <f>0.05*'Datastream - Indices'!BB56</f>
        <v>5.9150000000000001E-4</v>
      </c>
      <c r="AB56" s="554">
        <f t="shared" si="1"/>
        <v>0</v>
      </c>
      <c r="AC56" s="554">
        <f>0.03*'Datastream - Indices'!BD56</f>
        <v>1.640118991951131E-4</v>
      </c>
      <c r="AD56" s="554">
        <f t="shared" si="2"/>
        <v>5.0418076036398314E-2</v>
      </c>
    </row>
    <row r="57" spans="1:30">
      <c r="A57" s="550"/>
      <c r="B57" s="561"/>
      <c r="C57" s="561"/>
      <c r="D57" s="561"/>
      <c r="E57" s="561"/>
      <c r="F57" s="561"/>
      <c r="G57" s="556"/>
      <c r="H57" s="561"/>
      <c r="I57" s="561"/>
      <c r="J57" s="561"/>
      <c r="K57" s="561"/>
      <c r="L57" s="561"/>
      <c r="M57" s="561"/>
      <c r="N57" s="561"/>
      <c r="O57" s="560"/>
      <c r="T57" s="580"/>
      <c r="U57" s="554">
        <f>0.25*'Datastream - Indices'!AV57</f>
        <v>4.4997373949579846E-2</v>
      </c>
      <c r="V57" s="554">
        <f>0.1*'Datastream - Indices'!AW57</f>
        <v>2.337625265561729E-2</v>
      </c>
      <c r="W57" s="554">
        <f>0.15*'Datastream - Indices'!AX57</f>
        <v>-1.0950000000000001E-3</v>
      </c>
      <c r="X57" s="554">
        <f>0.15*'Datastream - Indices'!AY57</f>
        <v>-1.3799999999999999E-3</v>
      </c>
      <c r="Y57" s="554">
        <f>0.02*'Datastream - Indices'!AZ57</f>
        <v>8.6000000000000003E-5</v>
      </c>
      <c r="Z57" s="554">
        <f>0.1*'Datastream - Indices'!BA57</f>
        <v>-8.1000000000000017E-4</v>
      </c>
      <c r="AA57" s="554">
        <f>0.05*'Datastream - Indices'!BB57</f>
        <v>7.3850000000000001E-4</v>
      </c>
      <c r="AB57" s="554">
        <f t="shared" si="1"/>
        <v>0</v>
      </c>
      <c r="AC57" s="554">
        <f>0.03*'Datastream - Indices'!BD57</f>
        <v>9.2638224004553695E-4</v>
      </c>
      <c r="AD57" s="554">
        <f t="shared" si="2"/>
        <v>6.6839508845242673E-2</v>
      </c>
    </row>
    <row r="58" spans="1:30">
      <c r="A58" s="550"/>
      <c r="B58" s="561"/>
      <c r="C58" s="561"/>
      <c r="D58" s="561"/>
      <c r="E58" s="561"/>
      <c r="F58" s="561"/>
      <c r="G58" s="556"/>
      <c r="H58" s="561"/>
      <c r="I58" s="561"/>
      <c r="J58" s="561"/>
      <c r="K58" s="561"/>
      <c r="L58" s="561"/>
      <c r="M58" s="561"/>
      <c r="N58" s="561"/>
      <c r="O58" s="560"/>
      <c r="T58" s="580"/>
      <c r="U58" s="554">
        <f>0.25*'Datastream - Indices'!AV58</f>
        <v>-1.1666332866012409E-2</v>
      </c>
      <c r="V58" s="554">
        <f>0.1*'Datastream - Indices'!AW58</f>
        <v>-5.8695543618607435E-3</v>
      </c>
      <c r="W58" s="554">
        <f>0.15*'Datastream - Indices'!AX58</f>
        <v>4.2000000000000007E-4</v>
      </c>
      <c r="X58" s="554">
        <f>0.15*'Datastream - Indices'!AY58</f>
        <v>8.5499999999999997E-4</v>
      </c>
      <c r="Y58" s="554">
        <f>0.02*'Datastream - Indices'!AZ58</f>
        <v>3.6000000000000002E-4</v>
      </c>
      <c r="Z58" s="554">
        <f>0.1*'Datastream - Indices'!BA58</f>
        <v>-5.5000000000000003E-4</v>
      </c>
      <c r="AA58" s="554">
        <f>0.05*'Datastream - Indices'!BB58</f>
        <v>1.2999999999999999E-4</v>
      </c>
      <c r="AB58" s="554">
        <f t="shared" si="1"/>
        <v>0</v>
      </c>
      <c r="AC58" s="554">
        <f>0.03*'Datastream - Indices'!BD58</f>
        <v>1.3778038811830206E-3</v>
      </c>
      <c r="AD58" s="554">
        <f t="shared" si="2"/>
        <v>-1.4943083346690126E-2</v>
      </c>
    </row>
    <row r="59" spans="1:30">
      <c r="A59" s="550">
        <v>2002</v>
      </c>
      <c r="B59" s="1005">
        <v>0.3</v>
      </c>
      <c r="C59" s="1005"/>
      <c r="D59" s="1005">
        <v>0.54</v>
      </c>
      <c r="E59" s="1005"/>
      <c r="F59" s="1005"/>
      <c r="G59" s="556">
        <v>0</v>
      </c>
      <c r="H59" s="1005">
        <v>0.16</v>
      </c>
      <c r="I59" s="1005"/>
      <c r="J59" s="1005"/>
      <c r="K59" s="1005"/>
      <c r="L59" s="1005"/>
      <c r="M59" s="1005"/>
      <c r="N59" s="561">
        <v>0</v>
      </c>
      <c r="O59" s="560">
        <f>SUM(B59:N59)</f>
        <v>1</v>
      </c>
      <c r="T59" s="580">
        <v>2002</v>
      </c>
      <c r="U59" s="554">
        <f>0.25*'Datastream - Indices'!AV59</f>
        <v>1.719109541392411E-2</v>
      </c>
      <c r="V59" s="554">
        <f>0.1*'Datastream - Indices'!AW59</f>
        <v>1.0037076479068933E-2</v>
      </c>
      <c r="W59" s="554">
        <f>0.15*'Datastream - Indices'!AX59</f>
        <v>6.4800000000000005E-3</v>
      </c>
      <c r="X59" s="554">
        <f>0.15*'Datastream - Indices'!AY59</f>
        <v>5.4299999999999999E-3</v>
      </c>
      <c r="Y59" s="554">
        <f>0.02*'Datastream - Indices'!AZ59</f>
        <v>5.6799999999999993E-4</v>
      </c>
      <c r="Z59" s="554">
        <f>0.1*'Datastream - Indices'!BA59</f>
        <v>5.2300000000000011E-3</v>
      </c>
      <c r="AA59" s="554">
        <f>0.05*'Datastream - Indices'!BB59</f>
        <v>-3.1000000000000001E-5</v>
      </c>
      <c r="AB59" s="554">
        <f t="shared" si="1"/>
        <v>0</v>
      </c>
      <c r="AC59" s="554">
        <f>0.03*'Datastream - Indices'!BD59</f>
        <v>9.5562658254119898E-4</v>
      </c>
      <c r="AD59" s="554">
        <f t="shared" si="2"/>
        <v>4.5860798475534231E-2</v>
      </c>
    </row>
    <row r="60" spans="1:30">
      <c r="A60" s="550"/>
      <c r="B60" s="561"/>
      <c r="C60" s="561"/>
      <c r="D60" s="561"/>
      <c r="E60" s="561"/>
      <c r="F60" s="561"/>
      <c r="G60" s="556"/>
      <c r="H60" s="561"/>
      <c r="I60" s="561"/>
      <c r="J60" s="561"/>
      <c r="K60" s="561"/>
      <c r="L60" s="561"/>
      <c r="M60" s="561"/>
      <c r="N60" s="561"/>
      <c r="O60" s="560"/>
      <c r="T60" s="580"/>
      <c r="U60" s="554">
        <f>0.25*'Datastream - Indices'!AV60</f>
        <v>-4.398729990739516E-2</v>
      </c>
      <c r="V60" s="554">
        <f>0.1*'Datastream - Indices'!AW60</f>
        <v>-1.6304121690723185E-2</v>
      </c>
      <c r="W60" s="554">
        <f>0.15*'Datastream - Indices'!AX60</f>
        <v>2.055E-3</v>
      </c>
      <c r="X60" s="554">
        <f>0.15*'Datastream - Indices'!AY60</f>
        <v>1.4399999999999999E-3</v>
      </c>
      <c r="Y60" s="554">
        <f>0.02*'Datastream - Indices'!AZ60</f>
        <v>-5.8E-4</v>
      </c>
      <c r="Z60" s="554">
        <f>0.1*'Datastream - Indices'!BA60</f>
        <v>2.5800000000000003E-3</v>
      </c>
      <c r="AA60" s="554">
        <f>0.05*'Datastream - Indices'!BB60</f>
        <v>-7.0550000000000007E-4</v>
      </c>
      <c r="AB60" s="554">
        <f t="shared" si="1"/>
        <v>0</v>
      </c>
      <c r="AC60" s="554">
        <f>0.03*'Datastream - Indices'!BD60</f>
        <v>3.459618951793357E-3</v>
      </c>
      <c r="AD60" s="554">
        <f t="shared" si="2"/>
        <v>-5.2042302646324985E-2</v>
      </c>
    </row>
    <row r="61" spans="1:30">
      <c r="A61" s="550"/>
      <c r="B61" s="561"/>
      <c r="C61" s="561"/>
      <c r="D61" s="561"/>
      <c r="E61" s="561"/>
      <c r="F61" s="561"/>
      <c r="G61" s="556"/>
      <c r="H61" s="561"/>
      <c r="I61" s="561"/>
      <c r="J61" s="561"/>
      <c r="K61" s="561"/>
      <c r="L61" s="561"/>
      <c r="M61" s="561"/>
      <c r="N61" s="561"/>
      <c r="O61" s="560"/>
      <c r="T61" s="580"/>
      <c r="U61" s="554">
        <f>0.25*'Datastream - Indices'!AV61</f>
        <v>-2.0429236687588587E-2</v>
      </c>
      <c r="V61" s="554">
        <f>0.1*'Datastream - Indices'!AW61</f>
        <v>-8.385179775573964E-3</v>
      </c>
      <c r="W61" s="554">
        <f>0.15*'Datastream - Indices'!AX61</f>
        <v>3.4649999999999998E-3</v>
      </c>
      <c r="X61" s="554">
        <f>0.15*'Datastream - Indices'!AY61</f>
        <v>3.3449999999999999E-3</v>
      </c>
      <c r="Y61" s="554">
        <f>0.02*'Datastream - Indices'!AZ61</f>
        <v>-1.1120000000000001E-3</v>
      </c>
      <c r="Z61" s="554">
        <f>0.1*'Datastream - Indices'!BA61</f>
        <v>3.8800000000000002E-3</v>
      </c>
      <c r="AA61" s="554">
        <f>0.05*'Datastream - Indices'!BB61</f>
        <v>-8.5599999999999999E-4</v>
      </c>
      <c r="AB61" s="554">
        <f t="shared" si="1"/>
        <v>0</v>
      </c>
      <c r="AC61" s="554">
        <f>0.03*'Datastream - Indices'!BD61</f>
        <v>3.7041495735606219E-6</v>
      </c>
      <c r="AD61" s="554">
        <f t="shared" si="2"/>
        <v>-2.0088712313588986E-2</v>
      </c>
    </row>
    <row r="62" spans="1:30">
      <c r="A62" s="550"/>
      <c r="B62" s="561"/>
      <c r="C62" s="561"/>
      <c r="D62" s="561"/>
      <c r="E62" s="561"/>
      <c r="F62" s="561"/>
      <c r="G62" s="556"/>
      <c r="H62" s="561"/>
      <c r="I62" s="561"/>
      <c r="J62" s="561"/>
      <c r="K62" s="561"/>
      <c r="L62" s="561"/>
      <c r="M62" s="561"/>
      <c r="N62" s="561"/>
      <c r="O62" s="560"/>
      <c r="T62" s="580"/>
      <c r="U62" s="554">
        <f>0.25*'Datastream - Indices'!AV62</f>
        <v>2.5877587758775886E-3</v>
      </c>
      <c r="V62" s="554">
        <f>0.1*'Datastream - Indices'!AW62</f>
        <v>1.1408467389530769E-2</v>
      </c>
      <c r="W62" s="554">
        <f>0.15*'Datastream - Indices'!AX62</f>
        <v>-1.3500000000000001E-3</v>
      </c>
      <c r="X62" s="554">
        <f>0.15*'Datastream - Indices'!AY62</f>
        <v>-1.17E-3</v>
      </c>
      <c r="Y62" s="554">
        <f>0.02*'Datastream - Indices'!AZ62</f>
        <v>-5.9999999999999993E-6</v>
      </c>
      <c r="Z62" s="554">
        <f>0.1*'Datastream - Indices'!BA62</f>
        <v>2.5999999999999998E-4</v>
      </c>
      <c r="AA62" s="554">
        <f>0.05*'Datastream - Indices'!BB62</f>
        <v>1.0165E-3</v>
      </c>
      <c r="AB62" s="554">
        <f t="shared" si="1"/>
        <v>0</v>
      </c>
      <c r="AC62" s="554">
        <f>0.03*'Datastream - Indices'!BD62</f>
        <v>4.4230435475587533E-3</v>
      </c>
      <c r="AD62" s="554">
        <f t="shared" si="2"/>
        <v>1.716976971296711E-2</v>
      </c>
    </row>
    <row r="63" spans="1:30">
      <c r="A63" s="550">
        <v>2001</v>
      </c>
      <c r="B63" s="1005">
        <v>0.36399999999999999</v>
      </c>
      <c r="C63" s="1005"/>
      <c r="D63" s="1005">
        <v>0.51</v>
      </c>
      <c r="E63" s="1005"/>
      <c r="F63" s="1005"/>
      <c r="G63" s="556">
        <v>0</v>
      </c>
      <c r="H63" s="1005">
        <v>0.126</v>
      </c>
      <c r="I63" s="1005"/>
      <c r="J63" s="1005"/>
      <c r="K63" s="1005"/>
      <c r="L63" s="1005"/>
      <c r="M63" s="1005"/>
      <c r="N63" s="561">
        <v>0</v>
      </c>
      <c r="O63" s="560">
        <f>SUM(B63:N63)</f>
        <v>1</v>
      </c>
      <c r="T63" s="580">
        <v>2001</v>
      </c>
      <c r="U63" s="554">
        <f>0.25*'Datastream - Indices'!AV63</f>
        <v>2.6205758712651985E-2</v>
      </c>
      <c r="V63" s="554">
        <f>0.1*'Datastream - Indices'!AW63</f>
        <v>2.6604390815396714E-2</v>
      </c>
      <c r="W63" s="554">
        <f>0.15*'Datastream - Indices'!AX63</f>
        <v>-2.5049999999999998E-3</v>
      </c>
      <c r="X63" s="554">
        <f>0.15*'Datastream - Indices'!AY63</f>
        <v>-1.9950000000000002E-3</v>
      </c>
      <c r="Y63" s="554">
        <f>0.02*'Datastream - Indices'!AZ63</f>
        <v>1.34E-4</v>
      </c>
      <c r="Z63" s="554">
        <f>0.1*'Datastream - Indices'!BA63</f>
        <v>-3.9000000000000005E-4</v>
      </c>
      <c r="AA63" s="554">
        <f>0.05*'Datastream - Indices'!BB63</f>
        <v>9.2500000000000015E-4</v>
      </c>
      <c r="AB63" s="554">
        <f t="shared" si="1"/>
        <v>0</v>
      </c>
      <c r="AC63" s="554">
        <f>0.03*'Datastream - Indices'!BD63</f>
        <v>-3.4000891892570942E-3</v>
      </c>
      <c r="AD63" s="554">
        <f t="shared" si="2"/>
        <v>4.557906033879161E-2</v>
      </c>
    </row>
    <row r="64" spans="1:30">
      <c r="A64" s="550"/>
      <c r="B64" s="561"/>
      <c r="C64" s="561"/>
      <c r="D64" s="561"/>
      <c r="E64" s="561"/>
      <c r="F64" s="561"/>
      <c r="G64" s="556"/>
      <c r="H64" s="561"/>
      <c r="I64" s="561"/>
      <c r="J64" s="561"/>
      <c r="K64" s="561"/>
      <c r="L64" s="561"/>
      <c r="M64" s="561"/>
      <c r="N64" s="561"/>
      <c r="O64" s="560"/>
      <c r="T64" s="580"/>
      <c r="U64" s="554">
        <f>0.25*'Datastream - Indices'!AV64</f>
        <v>-3.8093869731800747E-2</v>
      </c>
      <c r="V64" s="554">
        <f>0.1*'Datastream - Indices'!AW64</f>
        <v>-2.1599975151531288E-2</v>
      </c>
      <c r="W64" s="554">
        <f>0.15*'Datastream - Indices'!AX64</f>
        <v>-1.95E-4</v>
      </c>
      <c r="X64" s="554">
        <f>0.15*'Datastream - Indices'!AY64</f>
        <v>3.5999999999999997E-4</v>
      </c>
      <c r="Y64" s="554">
        <f>0.02*'Datastream - Indices'!AZ64</f>
        <v>-6.9400000000000006E-4</v>
      </c>
      <c r="Z64" s="554">
        <f>0.1*'Datastream - Indices'!BA64</f>
        <v>-2.9E-4</v>
      </c>
      <c r="AA64" s="554">
        <f>0.05*'Datastream - Indices'!BB64</f>
        <v>-1.377E-3</v>
      </c>
      <c r="AB64" s="554">
        <f t="shared" si="1"/>
        <v>0</v>
      </c>
      <c r="AC64" s="554">
        <f>0.03*'Datastream - Indices'!BD64</f>
        <v>-2.9668818324084302E-3</v>
      </c>
      <c r="AD64" s="554">
        <f t="shared" si="2"/>
        <v>-6.485672671574047E-2</v>
      </c>
    </row>
    <row r="65" spans="1:30">
      <c r="A65" s="550"/>
      <c r="B65" s="561"/>
      <c r="C65" s="561"/>
      <c r="D65" s="561"/>
      <c r="E65" s="561"/>
      <c r="F65" s="561"/>
      <c r="G65" s="556"/>
      <c r="H65" s="561"/>
      <c r="I65" s="561"/>
      <c r="J65" s="561"/>
      <c r="K65" s="561"/>
      <c r="L65" s="561"/>
      <c r="M65" s="561"/>
      <c r="N65" s="561"/>
      <c r="O65" s="560"/>
      <c r="T65" s="580"/>
      <c r="U65" s="554">
        <f>0.25*'Datastream - Indices'!AV65</f>
        <v>1.1261261261261261E-2</v>
      </c>
      <c r="V65" s="554">
        <f>0.1*'Datastream - Indices'!AW65</f>
        <v>4.0139567727732178E-3</v>
      </c>
      <c r="W65" s="554">
        <f>0.15*'Datastream - Indices'!AX65</f>
        <v>-6.2999999999999992E-4</v>
      </c>
      <c r="X65" s="554">
        <f>0.15*'Datastream - Indices'!AY65</f>
        <v>-5.4000000000000001E-4</v>
      </c>
      <c r="Y65" s="554">
        <f>0.02*'Datastream - Indices'!AZ65</f>
        <v>4.3600000000000003E-4</v>
      </c>
      <c r="Z65" s="554">
        <f>0.1*'Datastream - Indices'!BA65</f>
        <v>2.5999999999999998E-4</v>
      </c>
      <c r="AA65" s="554">
        <f>0.05*'Datastream - Indices'!BB65</f>
        <v>1.6650000000000001E-4</v>
      </c>
      <c r="AB65" s="554">
        <f t="shared" si="1"/>
        <v>0</v>
      </c>
      <c r="AC65" s="554">
        <f>0.03*'Datastream - Indices'!BD65</f>
        <v>-1.5109926285832534E-3</v>
      </c>
      <c r="AD65" s="554">
        <f t="shared" si="2"/>
        <v>1.3456725405451224E-2</v>
      </c>
    </row>
    <row r="66" spans="1:30">
      <c r="A66" s="550"/>
      <c r="B66" s="561"/>
      <c r="C66" s="561"/>
      <c r="D66" s="561"/>
      <c r="E66" s="561"/>
      <c r="F66" s="561"/>
      <c r="G66" s="556"/>
      <c r="H66" s="561"/>
      <c r="I66" s="561"/>
      <c r="J66" s="561"/>
      <c r="K66" s="561"/>
      <c r="L66" s="561"/>
      <c r="M66" s="561"/>
      <c r="N66" s="561"/>
      <c r="O66" s="560"/>
      <c r="T66" s="580"/>
      <c r="U66" s="554">
        <f>0.25*'Datastream - Indices'!AV66</f>
        <v>-3.3007228748175445E-2</v>
      </c>
      <c r="V66" s="554">
        <f>0.1*'Datastream - Indices'!AW66</f>
        <v>-5.4377783645421646E-3</v>
      </c>
      <c r="W66" s="554">
        <f>0.15*'Datastream - Indices'!AX66</f>
        <v>-2.1900000000000001E-3</v>
      </c>
      <c r="X66" s="554">
        <f>0.15*'Datastream - Indices'!AY66</f>
        <v>-2.1149999999999997E-3</v>
      </c>
      <c r="Y66" s="554">
        <f>0.02*'Datastream - Indices'!AZ66</f>
        <v>-2.1400000000000002E-4</v>
      </c>
      <c r="Z66" s="554">
        <f>0.1*'Datastream - Indices'!BA66</f>
        <v>-1.5400000000000001E-3</v>
      </c>
      <c r="AA66" s="554">
        <f>0.05*'Datastream - Indices'!BB66</f>
        <v>-8.5750000000000019E-4</v>
      </c>
      <c r="AB66" s="554">
        <f t="shared" si="1"/>
        <v>0</v>
      </c>
      <c r="AC66" s="554">
        <f>0.03*'Datastream - Indices'!BD66</f>
        <v>-3.0866332778674887E-3</v>
      </c>
      <c r="AD66" s="554">
        <f t="shared" si="2"/>
        <v>-4.8448140390585093E-2</v>
      </c>
    </row>
    <row r="67" spans="1:30">
      <c r="A67" s="550">
        <v>2000</v>
      </c>
      <c r="B67" s="1005">
        <v>0.39</v>
      </c>
      <c r="C67" s="1005"/>
      <c r="D67" s="1005">
        <v>0.496</v>
      </c>
      <c r="E67" s="1005"/>
      <c r="F67" s="1005"/>
      <c r="G67" s="556">
        <v>0</v>
      </c>
      <c r="H67" s="1005">
        <v>0.11399999999999999</v>
      </c>
      <c r="I67" s="1005"/>
      <c r="J67" s="1005"/>
      <c r="K67" s="1005"/>
      <c r="L67" s="1005"/>
      <c r="M67" s="1005"/>
      <c r="N67" s="561">
        <v>0</v>
      </c>
      <c r="O67" s="560">
        <f>SUM(B67:N67)</f>
        <v>1</v>
      </c>
      <c r="T67" s="580">
        <v>2000</v>
      </c>
      <c r="U67" s="554">
        <f>0.25*'Datastream - Indices'!AV67</f>
        <v>-1.6209496571224277E-2</v>
      </c>
      <c r="V67" s="554">
        <f>0.1*'Datastream - Indices'!AW67</f>
        <v>-1.3316271133860708E-2</v>
      </c>
      <c r="W67" s="554">
        <f>0.15*'Datastream - Indices'!AX67</f>
        <v>3.4199999999999999E-3</v>
      </c>
      <c r="X67" s="554">
        <f>0.15*'Datastream - Indices'!AY67</f>
        <v>3.7650000000000001E-3</v>
      </c>
      <c r="Y67" s="554">
        <f>0.02*'Datastream - Indices'!AZ67</f>
        <v>6.6199999999999994E-4</v>
      </c>
      <c r="Z67" s="554">
        <f>0.1*'Datastream - Indices'!BA67</f>
        <v>3.4400000000000003E-3</v>
      </c>
      <c r="AA67" s="554">
        <f>0.05*'Datastream - Indices'!BB67</f>
        <v>9.1100000000000003E-4</v>
      </c>
      <c r="AB67" s="554">
        <f t="shared" si="1"/>
        <v>0</v>
      </c>
      <c r="AC67" s="554">
        <f>0.03*'Datastream - Indices'!BD67</f>
        <v>2.1613950386907706E-3</v>
      </c>
      <c r="AD67" s="554">
        <f t="shared" si="2"/>
        <v>-1.5166372666394217E-2</v>
      </c>
    </row>
    <row r="68" spans="1:30">
      <c r="A68" s="550"/>
      <c r="B68" s="561"/>
      <c r="C68" s="561"/>
      <c r="D68" s="561"/>
      <c r="E68" s="561"/>
      <c r="F68" s="561"/>
      <c r="G68" s="556"/>
      <c r="H68" s="561"/>
      <c r="I68" s="561"/>
      <c r="J68" s="561"/>
      <c r="K68" s="561"/>
      <c r="L68" s="561"/>
      <c r="M68" s="561"/>
      <c r="N68" s="561"/>
      <c r="O68" s="560"/>
      <c r="T68" s="580"/>
      <c r="U68" s="554">
        <f>0.25*'Datastream - Indices'!AV68</f>
        <v>-4.3824637588607265E-3</v>
      </c>
      <c r="V68" s="554">
        <f>0.1*'Datastream - Indices'!AW68</f>
        <v>-1.2999817328152703E-2</v>
      </c>
      <c r="W68" s="554">
        <f>0.15*'Datastream - Indices'!AX68</f>
        <v>5.8500000000000002E-4</v>
      </c>
      <c r="X68" s="554">
        <f>0.15*'Datastream - Indices'!AY68</f>
        <v>3.4499999999999998E-4</v>
      </c>
      <c r="Y68" s="554">
        <f>0.02*'Datastream - Indices'!AZ68</f>
        <v>-1.8200000000000001E-4</v>
      </c>
      <c r="Z68" s="554">
        <f>0.1*'Datastream - Indices'!BA68</f>
        <v>9.1000000000000011E-4</v>
      </c>
      <c r="AA68" s="554">
        <f>0.05*'Datastream - Indices'!BB68</f>
        <v>-7.3499999999999998E-4</v>
      </c>
      <c r="AB68" s="554">
        <f t="shared" si="1"/>
        <v>0</v>
      </c>
      <c r="AC68" s="554">
        <f>0.03*'Datastream - Indices'!BD68</f>
        <v>1.526053478550185E-3</v>
      </c>
      <c r="AD68" s="554">
        <f t="shared" si="2"/>
        <v>-1.4933227608463245E-2</v>
      </c>
    </row>
    <row r="69" spans="1:30">
      <c r="A69" s="550"/>
      <c r="B69" s="561"/>
      <c r="C69" s="561"/>
      <c r="D69" s="561"/>
      <c r="E69" s="561"/>
      <c r="F69" s="561"/>
      <c r="G69" s="556"/>
      <c r="H69" s="561"/>
      <c r="I69" s="561"/>
      <c r="J69" s="561"/>
      <c r="K69" s="561"/>
      <c r="L69" s="561"/>
      <c r="M69" s="561"/>
      <c r="N69" s="561"/>
      <c r="O69" s="560"/>
      <c r="T69" s="580"/>
      <c r="U69" s="554">
        <f>0.25*'Datastream - Indices'!AV69</f>
        <v>-6.8176170952913197E-3</v>
      </c>
      <c r="V69" s="554">
        <f>0.1*'Datastream - Indices'!AW69</f>
        <v>-1.0164813232367733E-2</v>
      </c>
      <c r="W69" s="554" t="e">
        <f>0.15*'Datastream - Indices'!AX69</f>
        <v>#N/A</v>
      </c>
      <c r="X69" s="554" t="e">
        <f>0.15*'Datastream - Indices'!AY69</f>
        <v>#N/A</v>
      </c>
      <c r="Y69" s="554">
        <f>0.02*'Datastream - Indices'!AZ69</f>
        <v>8.740000000000001E-4</v>
      </c>
      <c r="Z69" s="554">
        <f>0.1*'Datastream - Indices'!BA69</f>
        <v>3.0899999999999999E-3</v>
      </c>
      <c r="AA69" s="554">
        <f>0.05*'Datastream - Indices'!BB69</f>
        <v>1.6965000000000001E-3</v>
      </c>
      <c r="AB69" s="554">
        <f t="shared" si="1"/>
        <v>0</v>
      </c>
      <c r="AC69" s="554">
        <f>0.03*'Datastream - Indices'!BD69</f>
        <v>5.4111431346838788E-3</v>
      </c>
      <c r="AD69" s="554" t="e">
        <f t="shared" si="2"/>
        <v>#N/A</v>
      </c>
    </row>
    <row r="70" spans="1:30">
      <c r="A70" s="550"/>
      <c r="B70" s="561"/>
      <c r="C70" s="561"/>
      <c r="D70" s="561"/>
      <c r="E70" s="561"/>
      <c r="F70" s="561"/>
      <c r="G70" s="556"/>
      <c r="H70" s="561"/>
      <c r="I70" s="561"/>
      <c r="J70" s="561"/>
      <c r="K70" s="561"/>
      <c r="L70" s="561"/>
      <c r="M70" s="561"/>
      <c r="N70" s="561"/>
      <c r="O70" s="560"/>
      <c r="T70" s="580"/>
      <c r="U70" s="554">
        <f>0.25*'Datastream - Indices'!AV70</f>
        <v>7.25517770391203E-3</v>
      </c>
      <c r="V70" s="554">
        <f>0.1*'Datastream - Indices'!AW70</f>
        <v>2.4219912871910813E-3</v>
      </c>
      <c r="W70" s="554" t="e">
        <f>0.15*'Datastream - Indices'!AX70</f>
        <v>#N/A</v>
      </c>
      <c r="X70" s="554" t="e">
        <f>0.15*'Datastream - Indices'!AY70</f>
        <v>#N/A</v>
      </c>
      <c r="Y70" s="554">
        <f>0.02*'Datastream - Indices'!AZ70</f>
        <v>5.5800000000000001E-4</v>
      </c>
      <c r="Z70" s="554">
        <f>0.1*'Datastream - Indices'!BA70</f>
        <v>2.16E-3</v>
      </c>
      <c r="AA70" s="554">
        <f>0.05*'Datastream - Indices'!BB70</f>
        <v>3.4350000000000006E-4</v>
      </c>
      <c r="AB70" s="554">
        <f t="shared" si="1"/>
        <v>0</v>
      </c>
      <c r="AC70" s="554">
        <f>0.03*'Datastream - Indices'!BD70</f>
        <v>3.7821524110021234E-3</v>
      </c>
      <c r="AD70" s="554" t="e">
        <f t="shared" si="2"/>
        <v>#N/A</v>
      </c>
    </row>
    <row r="71" spans="1:30">
      <c r="A71" s="550">
        <v>1999</v>
      </c>
      <c r="B71" s="554"/>
      <c r="C71" s="554"/>
      <c r="D71" s="554"/>
      <c r="E71" s="554"/>
      <c r="F71" s="554"/>
      <c r="G71" s="554"/>
      <c r="H71" s="554"/>
      <c r="I71" s="554"/>
      <c r="J71" s="554"/>
      <c r="K71" s="554"/>
      <c r="L71" s="554"/>
      <c r="M71" s="554"/>
      <c r="N71" s="554"/>
      <c r="O71" s="554"/>
      <c r="T71" s="580">
        <v>1999</v>
      </c>
    </row>
    <row r="72" spans="1:30">
      <c r="A72" s="550">
        <v>1998</v>
      </c>
      <c r="T72" s="580">
        <v>1998</v>
      </c>
    </row>
    <row r="73" spans="1:30">
      <c r="A73" s="559"/>
    </row>
    <row r="74" spans="1:30">
      <c r="A74" s="559"/>
    </row>
    <row r="75" spans="1:30">
      <c r="A75" s="559"/>
    </row>
    <row r="76" spans="1:30" ht="32.1" customHeight="1">
      <c r="A76" s="550" t="s">
        <v>83</v>
      </c>
      <c r="B76" s="1006" t="s">
        <v>369</v>
      </c>
      <c r="C76" s="1006"/>
      <c r="D76" s="1006" t="s">
        <v>650</v>
      </c>
      <c r="E76" s="1006"/>
      <c r="F76" s="1006"/>
      <c r="G76" s="1006" t="s">
        <v>649</v>
      </c>
      <c r="H76" s="1006" t="s">
        <v>648</v>
      </c>
      <c r="I76" s="1006"/>
      <c r="J76" s="1006"/>
      <c r="K76" s="1006"/>
      <c r="L76" s="1006"/>
      <c r="M76" s="1006"/>
      <c r="N76" s="1006" t="s">
        <v>373</v>
      </c>
      <c r="O76" s="1006" t="s">
        <v>647</v>
      </c>
      <c r="Q76" s="573" t="s">
        <v>646</v>
      </c>
      <c r="R76" s="557"/>
      <c r="S76" s="557"/>
    </row>
    <row r="77" spans="1:30" ht="31.5">
      <c r="A77" s="550" t="s">
        <v>633</v>
      </c>
      <c r="B77" s="557" t="s">
        <v>370</v>
      </c>
      <c r="C77" s="557" t="s">
        <v>368</v>
      </c>
      <c r="D77" s="557" t="s">
        <v>645</v>
      </c>
      <c r="E77" s="557" t="s">
        <v>367</v>
      </c>
      <c r="F77" s="557" t="s">
        <v>368</v>
      </c>
      <c r="G77" s="1006"/>
      <c r="H77" s="558" t="s">
        <v>246</v>
      </c>
      <c r="I77" s="558" t="s">
        <v>371</v>
      </c>
      <c r="J77" s="558" t="s">
        <v>486</v>
      </c>
      <c r="K77" s="558" t="s">
        <v>644</v>
      </c>
      <c r="L77" s="558" t="s">
        <v>372</v>
      </c>
      <c r="M77" s="558" t="s">
        <v>643</v>
      </c>
      <c r="N77" s="1006"/>
      <c r="O77" s="1006"/>
      <c r="Q77" s="550" t="s">
        <v>633</v>
      </c>
      <c r="R77" s="557" t="s">
        <v>642</v>
      </c>
      <c r="S77" s="557" t="s">
        <v>641</v>
      </c>
    </row>
    <row r="78" spans="1:30">
      <c r="A78" s="550">
        <v>2016</v>
      </c>
      <c r="B78" s="556"/>
      <c r="C78" s="556"/>
      <c r="D78" s="556"/>
      <c r="E78" s="556"/>
      <c r="F78" s="556"/>
      <c r="G78" s="556" t="s">
        <v>640</v>
      </c>
      <c r="H78" s="556" t="s">
        <v>639</v>
      </c>
      <c r="I78" s="556"/>
      <c r="J78" s="556" t="s">
        <v>638</v>
      </c>
      <c r="K78" s="556"/>
      <c r="L78" s="556"/>
      <c r="M78" s="556" t="s">
        <v>638</v>
      </c>
      <c r="N78" s="574" t="s">
        <v>637</v>
      </c>
      <c r="O78" s="553"/>
      <c r="Q78" s="550">
        <v>2016</v>
      </c>
      <c r="R78" s="565"/>
    </row>
    <row r="79" spans="1:30">
      <c r="A79" s="550">
        <v>2015</v>
      </c>
      <c r="B79" s="555">
        <v>0.22500000000000001</v>
      </c>
      <c r="C79" s="555">
        <v>7.6999999999999999E-2</v>
      </c>
      <c r="D79" s="555">
        <v>0.14099999999999999</v>
      </c>
      <c r="E79" s="555">
        <f>0.149+0.027</f>
        <v>0.17599999999999999</v>
      </c>
      <c r="F79" s="555">
        <v>0.02</v>
      </c>
      <c r="G79" s="556">
        <v>0.09</v>
      </c>
      <c r="H79" s="556">
        <v>0.107</v>
      </c>
      <c r="I79" s="556">
        <v>5.0999999999999997E-2</v>
      </c>
      <c r="J79" s="556">
        <v>3.4000000000000002E-2</v>
      </c>
      <c r="K79" s="556">
        <v>8.0000000000000002E-3</v>
      </c>
      <c r="L79" s="556">
        <v>2.1000000000000001E-2</v>
      </c>
      <c r="M79" s="556">
        <v>5.8999999999999997E-2</v>
      </c>
      <c r="N79" s="575">
        <v>-8.9999999999999993E-3</v>
      </c>
      <c r="O79" s="553">
        <f t="shared" ref="O79:O94" si="3">SUM(B79:N79)</f>
        <v>1.0000000000000002</v>
      </c>
      <c r="Q79" s="550">
        <v>2015</v>
      </c>
      <c r="R79" s="553">
        <f t="shared" ref="R79:R95" si="4">I79+K79</f>
        <v>5.8999999999999997E-2</v>
      </c>
      <c r="S79" s="553">
        <f t="shared" ref="S79:S95" si="5">1-R79</f>
        <v>0.94100000000000006</v>
      </c>
    </row>
    <row r="80" spans="1:30">
      <c r="A80" s="550">
        <v>2014</v>
      </c>
      <c r="B80" s="555">
        <v>0.26600000000000001</v>
      </c>
      <c r="C80" s="555">
        <v>8.1000000000000003E-2</v>
      </c>
      <c r="D80" s="555">
        <v>0.14199999999999999</v>
      </c>
      <c r="E80" s="555">
        <v>0.152</v>
      </c>
      <c r="F80" s="555">
        <v>1.6E-2</v>
      </c>
      <c r="G80" s="556">
        <v>8.4000000000000005E-2</v>
      </c>
      <c r="H80" s="556">
        <v>9.7000000000000003E-2</v>
      </c>
      <c r="I80" s="556">
        <v>4.9000000000000002E-2</v>
      </c>
      <c r="J80" s="556">
        <v>2.8000000000000001E-2</v>
      </c>
      <c r="K80" s="556">
        <v>8.9999999999999993E-3</v>
      </c>
      <c r="L80" s="556">
        <v>1.7999999999999999E-2</v>
      </c>
      <c r="M80" s="556">
        <v>4.5999999999999999E-2</v>
      </c>
      <c r="N80" s="575">
        <v>1.2E-2</v>
      </c>
      <c r="O80" s="553">
        <f t="shared" si="3"/>
        <v>1</v>
      </c>
      <c r="Q80" s="550">
        <v>2014</v>
      </c>
      <c r="R80" s="553">
        <f t="shared" si="4"/>
        <v>5.8000000000000003E-2</v>
      </c>
      <c r="S80" s="553">
        <f t="shared" si="5"/>
        <v>0.94199999999999995</v>
      </c>
    </row>
    <row r="81" spans="1:19">
      <c r="A81" s="550">
        <v>2013</v>
      </c>
      <c r="B81" s="555">
        <v>0.27</v>
      </c>
      <c r="C81" s="555">
        <v>7.6999999999999999E-2</v>
      </c>
      <c r="D81" s="555">
        <v>0.154</v>
      </c>
      <c r="E81" s="555">
        <v>0.154</v>
      </c>
      <c r="F81" s="555">
        <v>0</v>
      </c>
      <c r="G81" s="556">
        <v>8.3000000000000004E-2</v>
      </c>
      <c r="H81" s="556">
        <v>8.8999999999999996E-2</v>
      </c>
      <c r="I81" s="556">
        <v>5.0999999999999997E-2</v>
      </c>
      <c r="J81" s="556">
        <v>0.04</v>
      </c>
      <c r="K81" s="556">
        <v>8.9999999999999993E-3</v>
      </c>
      <c r="L81" s="556">
        <v>1.6E-2</v>
      </c>
      <c r="M81" s="556">
        <v>4.3999999999999997E-2</v>
      </c>
      <c r="N81" s="575">
        <v>1.2999999999999999E-2</v>
      </c>
      <c r="O81" s="553">
        <f t="shared" si="3"/>
        <v>1</v>
      </c>
      <c r="Q81" s="550">
        <v>2013</v>
      </c>
      <c r="R81" s="553">
        <f t="shared" si="4"/>
        <v>0.06</v>
      </c>
      <c r="S81" s="553">
        <f t="shared" si="5"/>
        <v>0.94</v>
      </c>
    </row>
    <row r="82" spans="1:19">
      <c r="A82" s="550">
        <v>2012</v>
      </c>
      <c r="B82" s="555">
        <v>0.25900000000000001</v>
      </c>
      <c r="C82" s="555">
        <v>6.7000000000000004E-2</v>
      </c>
      <c r="D82" s="555">
        <v>0.16500000000000001</v>
      </c>
      <c r="E82" s="555">
        <v>0.151</v>
      </c>
      <c r="F82" s="555">
        <v>0</v>
      </c>
      <c r="G82" s="556">
        <f>0.068+0.011</f>
        <v>7.9000000000000001E-2</v>
      </c>
      <c r="H82" s="556">
        <v>0.10100000000000001</v>
      </c>
      <c r="I82" s="556">
        <v>5.1999999999999998E-2</v>
      </c>
      <c r="J82" s="556">
        <v>3.5999999999999997E-2</v>
      </c>
      <c r="K82" s="556">
        <v>7.0000000000000001E-3</v>
      </c>
      <c r="L82" s="556">
        <v>1.9E-2</v>
      </c>
      <c r="M82" s="556">
        <v>4.4999999999999998E-2</v>
      </c>
      <c r="N82" s="575">
        <v>1.9E-2</v>
      </c>
      <c r="O82" s="553">
        <f t="shared" si="3"/>
        <v>1</v>
      </c>
      <c r="Q82" s="550">
        <v>2012</v>
      </c>
      <c r="R82" s="553">
        <f t="shared" si="4"/>
        <v>5.8999999999999997E-2</v>
      </c>
      <c r="S82" s="553">
        <f t="shared" si="5"/>
        <v>0.94100000000000006</v>
      </c>
    </row>
    <row r="83" spans="1:19">
      <c r="A83" s="550">
        <v>2011</v>
      </c>
      <c r="B83" s="555">
        <v>0.254</v>
      </c>
      <c r="C83" s="555">
        <v>6.4000000000000001E-2</v>
      </c>
      <c r="D83" s="555">
        <v>0.20200000000000001</v>
      </c>
      <c r="E83" s="555">
        <v>0.123</v>
      </c>
      <c r="F83" s="555">
        <v>0</v>
      </c>
      <c r="G83" s="556">
        <f>0.068+0.009</f>
        <v>7.6999999999999999E-2</v>
      </c>
      <c r="H83" s="556">
        <v>9.6000000000000002E-2</v>
      </c>
      <c r="I83" s="556">
        <v>5.7000000000000002E-2</v>
      </c>
      <c r="J83" s="556">
        <v>3.9E-2</v>
      </c>
      <c r="K83" s="556">
        <v>6.0000000000000001E-3</v>
      </c>
      <c r="L83" s="556">
        <v>1.9E-2</v>
      </c>
      <c r="M83" s="556">
        <v>4.3999999999999997E-2</v>
      </c>
      <c r="N83" s="575">
        <v>1.9E-2</v>
      </c>
      <c r="O83" s="553">
        <f t="shared" si="3"/>
        <v>1</v>
      </c>
      <c r="Q83" s="550">
        <v>2011</v>
      </c>
      <c r="R83" s="553">
        <f t="shared" si="4"/>
        <v>6.3E-2</v>
      </c>
      <c r="S83" s="553">
        <f t="shared" si="5"/>
        <v>0.93700000000000006</v>
      </c>
    </row>
    <row r="84" spans="1:19">
      <c r="A84" s="550">
        <v>2010</v>
      </c>
      <c r="B84" s="555">
        <f>0.257</f>
        <v>0.25700000000000001</v>
      </c>
      <c r="C84" s="555">
        <v>7.0000000000000007E-2</v>
      </c>
      <c r="D84" s="555">
        <v>0.19900000000000001</v>
      </c>
      <c r="E84" s="555">
        <v>0.11799999999999999</v>
      </c>
      <c r="F84" s="555">
        <v>0</v>
      </c>
      <c r="G84" s="556">
        <f>0.076+0.05</f>
        <v>0.126</v>
      </c>
      <c r="H84" s="556">
        <v>8.3000000000000004E-2</v>
      </c>
      <c r="I84" s="556">
        <v>5.5E-2</v>
      </c>
      <c r="J84" s="556">
        <v>4.0000000000000001E-3</v>
      </c>
      <c r="K84" s="556">
        <v>2.8000000000000001E-2</v>
      </c>
      <c r="L84" s="556">
        <v>3.0000000000000001E-3</v>
      </c>
      <c r="M84" s="556">
        <v>3.9E-2</v>
      </c>
      <c r="N84" s="575">
        <v>1.7999999999999999E-2</v>
      </c>
      <c r="O84" s="553">
        <f t="shared" si="3"/>
        <v>1</v>
      </c>
      <c r="Q84" s="550">
        <v>2010</v>
      </c>
      <c r="R84" s="553">
        <f t="shared" si="4"/>
        <v>8.3000000000000004E-2</v>
      </c>
      <c r="S84" s="553">
        <f t="shared" si="5"/>
        <v>0.91700000000000004</v>
      </c>
    </row>
    <row r="85" spans="1:19">
      <c r="A85" s="550">
        <v>2009</v>
      </c>
      <c r="B85" s="555">
        <v>0.29799999999999999</v>
      </c>
      <c r="C85" s="555">
        <v>5.7000000000000002E-2</v>
      </c>
      <c r="D85" s="555">
        <v>0.21</v>
      </c>
      <c r="E85" s="555">
        <v>0.09</v>
      </c>
      <c r="F85" s="555">
        <v>0</v>
      </c>
      <c r="G85" s="556">
        <v>8.6999999999999994E-2</v>
      </c>
      <c r="H85" s="556">
        <v>7.4999999999999997E-2</v>
      </c>
      <c r="I85" s="556">
        <v>4.3999999999999997E-2</v>
      </c>
      <c r="J85" s="556">
        <v>2.8000000000000001E-2</v>
      </c>
      <c r="K85" s="556">
        <v>3.3000000000000002E-2</v>
      </c>
      <c r="L85" s="556">
        <v>1.2E-2</v>
      </c>
      <c r="M85" s="556">
        <v>5.2999999999999999E-2</v>
      </c>
      <c r="N85" s="575">
        <v>1.3000000000000001E-2</v>
      </c>
      <c r="O85" s="553">
        <f t="shared" si="3"/>
        <v>1</v>
      </c>
      <c r="Q85" s="550">
        <v>2009</v>
      </c>
      <c r="R85" s="553">
        <f t="shared" si="4"/>
        <v>7.6999999999999999E-2</v>
      </c>
      <c r="S85" s="553">
        <f t="shared" si="5"/>
        <v>0.92300000000000004</v>
      </c>
    </row>
    <row r="86" spans="1:19">
      <c r="A86" s="550">
        <v>2008</v>
      </c>
      <c r="B86" s="555">
        <v>0.32400000000000001</v>
      </c>
      <c r="C86" s="556"/>
      <c r="D86" s="555">
        <f>0.448-0.083</f>
        <v>0.36499999999999999</v>
      </c>
      <c r="E86" s="555"/>
      <c r="F86" s="555"/>
      <c r="G86" s="556">
        <v>8.3000000000000004E-2</v>
      </c>
      <c r="H86" s="556">
        <v>8.5999999999999993E-2</v>
      </c>
      <c r="I86" s="556">
        <v>0.04</v>
      </c>
      <c r="J86" s="556">
        <v>2.3E-2</v>
      </c>
      <c r="K86" s="556">
        <v>0</v>
      </c>
      <c r="L86" s="556">
        <v>1.7000000000000001E-2</v>
      </c>
      <c r="M86" s="556">
        <v>5.8000000000000003E-2</v>
      </c>
      <c r="N86" s="575">
        <v>4.0000000000000001E-3</v>
      </c>
      <c r="O86" s="553">
        <f t="shared" si="3"/>
        <v>1</v>
      </c>
      <c r="Q86" s="550">
        <v>2008</v>
      </c>
      <c r="R86" s="553">
        <f t="shared" si="4"/>
        <v>0.04</v>
      </c>
      <c r="S86" s="553">
        <f t="shared" si="5"/>
        <v>0.96</v>
      </c>
    </row>
    <row r="87" spans="1:19">
      <c r="A87" s="550">
        <v>2007</v>
      </c>
      <c r="B87" s="555">
        <v>0.38400000000000001</v>
      </c>
      <c r="C87" s="556"/>
      <c r="D87" s="555">
        <v>0.40400000000000003</v>
      </c>
      <c r="E87" s="555"/>
      <c r="F87" s="555"/>
      <c r="G87" s="556">
        <v>0</v>
      </c>
      <c r="H87" s="556">
        <v>9.1999999999999998E-2</v>
      </c>
      <c r="I87" s="556">
        <v>3.4000000000000002E-2</v>
      </c>
      <c r="J87" s="556">
        <v>3.2000000000000001E-2</v>
      </c>
      <c r="K87" s="556">
        <v>0</v>
      </c>
      <c r="L87" s="556">
        <v>0.01</v>
      </c>
      <c r="M87" s="556">
        <v>4.3999999999999997E-2</v>
      </c>
      <c r="N87" s="575">
        <v>0</v>
      </c>
      <c r="O87" s="553">
        <f t="shared" si="3"/>
        <v>1</v>
      </c>
      <c r="Q87" s="550">
        <v>2007</v>
      </c>
      <c r="R87" s="553">
        <f t="shared" si="4"/>
        <v>3.4000000000000002E-2</v>
      </c>
      <c r="S87" s="553">
        <f t="shared" si="5"/>
        <v>0.96599999999999997</v>
      </c>
    </row>
    <row r="88" spans="1:19">
      <c r="A88" s="550">
        <v>2006</v>
      </c>
      <c r="B88" s="555">
        <f>0.135*0.54</f>
        <v>7.2900000000000006E-2</v>
      </c>
      <c r="C88" s="556"/>
      <c r="D88" s="555">
        <v>0.43</v>
      </c>
      <c r="E88" s="555"/>
      <c r="F88" s="555"/>
      <c r="G88" s="556">
        <v>0</v>
      </c>
      <c r="H88" s="556">
        <v>0.19278000000000001</v>
      </c>
      <c r="I88" s="556">
        <v>0.16092000000000001</v>
      </c>
      <c r="J88" s="556">
        <v>-9.9900000000000003E-2</v>
      </c>
      <c r="K88" s="556">
        <v>0</v>
      </c>
      <c r="L88" s="556">
        <v>0.22302</v>
      </c>
      <c r="M88" s="556">
        <v>0.03</v>
      </c>
      <c r="N88" s="575"/>
      <c r="O88" s="553">
        <f t="shared" si="3"/>
        <v>1.00972</v>
      </c>
      <c r="Q88" s="550">
        <v>2006</v>
      </c>
      <c r="R88" s="553">
        <f t="shared" si="4"/>
        <v>0.16092000000000001</v>
      </c>
      <c r="S88" s="553">
        <f t="shared" si="5"/>
        <v>0.83908000000000005</v>
      </c>
    </row>
    <row r="89" spans="1:19">
      <c r="A89" s="550">
        <v>2005</v>
      </c>
      <c r="B89" s="555">
        <v>0.372</v>
      </c>
      <c r="C89" s="556"/>
      <c r="D89" s="555">
        <f>0.432-0.04</f>
        <v>0.39200000000000002</v>
      </c>
      <c r="E89" s="555"/>
      <c r="F89" s="555"/>
      <c r="G89" s="556">
        <v>0.04</v>
      </c>
      <c r="H89" s="556">
        <v>0.107</v>
      </c>
      <c r="I89" s="556">
        <v>0.03</v>
      </c>
      <c r="J89" s="556">
        <v>2.7E-2</v>
      </c>
      <c r="K89" s="556"/>
      <c r="L89" s="556">
        <v>0</v>
      </c>
      <c r="M89" s="556">
        <v>3.2000000000000001E-2</v>
      </c>
      <c r="N89" s="575">
        <v>0</v>
      </c>
      <c r="O89" s="553">
        <f t="shared" si="3"/>
        <v>1</v>
      </c>
      <c r="Q89" s="550">
        <v>2005</v>
      </c>
      <c r="R89" s="553">
        <f t="shared" si="4"/>
        <v>0.03</v>
      </c>
      <c r="S89" s="553">
        <f t="shared" si="5"/>
        <v>0.97</v>
      </c>
    </row>
    <row r="90" spans="1:19">
      <c r="A90" s="550">
        <v>2004</v>
      </c>
      <c r="B90" s="555">
        <v>0.55000000000000004</v>
      </c>
      <c r="C90" s="555"/>
      <c r="D90" s="555">
        <v>0.43</v>
      </c>
      <c r="E90" s="555"/>
      <c r="F90" s="555"/>
      <c r="G90" s="556">
        <v>0</v>
      </c>
      <c r="H90" s="556"/>
      <c r="I90" s="556"/>
      <c r="J90" s="556"/>
      <c r="K90" s="556"/>
      <c r="L90" s="556"/>
      <c r="M90" s="556">
        <v>0.02</v>
      </c>
      <c r="N90" s="575">
        <v>0</v>
      </c>
      <c r="O90" s="553">
        <f t="shared" si="3"/>
        <v>1</v>
      </c>
      <c r="Q90" s="550">
        <v>2004</v>
      </c>
      <c r="R90" s="553">
        <f t="shared" si="4"/>
        <v>0</v>
      </c>
      <c r="S90" s="553">
        <f t="shared" si="5"/>
        <v>1</v>
      </c>
    </row>
    <row r="91" spans="1:19">
      <c r="A91" s="550">
        <v>2003</v>
      </c>
      <c r="B91" s="555">
        <v>0.52500000000000002</v>
      </c>
      <c r="C91" s="556"/>
      <c r="D91" s="555">
        <v>0.45900000000000002</v>
      </c>
      <c r="E91" s="555"/>
      <c r="F91" s="555"/>
      <c r="G91" s="556">
        <v>0</v>
      </c>
      <c r="H91" s="556"/>
      <c r="I91" s="556"/>
      <c r="J91" s="556"/>
      <c r="K91" s="556"/>
      <c r="L91" s="556"/>
      <c r="M91" s="556">
        <v>1.6E-2</v>
      </c>
      <c r="N91" s="575">
        <v>0</v>
      </c>
      <c r="O91" s="553">
        <f t="shared" si="3"/>
        <v>1</v>
      </c>
      <c r="Q91" s="550">
        <v>2003</v>
      </c>
      <c r="R91" s="553">
        <f t="shared" si="4"/>
        <v>0</v>
      </c>
      <c r="S91" s="553">
        <f t="shared" si="5"/>
        <v>1</v>
      </c>
    </row>
    <row r="92" spans="1:19">
      <c r="A92" s="550">
        <v>2002</v>
      </c>
      <c r="B92" s="555">
        <v>0.3</v>
      </c>
      <c r="C92" s="555"/>
      <c r="D92" s="555">
        <v>0.54</v>
      </c>
      <c r="E92" s="555"/>
      <c r="F92" s="555"/>
      <c r="G92" s="556">
        <v>0</v>
      </c>
      <c r="H92" s="556"/>
      <c r="I92" s="556"/>
      <c r="J92" s="556"/>
      <c r="K92" s="556"/>
      <c r="L92" s="556"/>
      <c r="M92" s="556">
        <v>0.16</v>
      </c>
      <c r="N92" s="575">
        <v>0</v>
      </c>
      <c r="O92" s="553">
        <f t="shared" si="3"/>
        <v>1</v>
      </c>
      <c r="Q92" s="550">
        <v>2002</v>
      </c>
      <c r="R92" s="553">
        <f t="shared" si="4"/>
        <v>0</v>
      </c>
      <c r="S92" s="553">
        <f t="shared" si="5"/>
        <v>1</v>
      </c>
    </row>
    <row r="93" spans="1:19">
      <c r="A93" s="550">
        <v>2001</v>
      </c>
      <c r="B93" s="555">
        <f>0.957*0.364</f>
        <v>0.34834799999999999</v>
      </c>
      <c r="C93" s="555">
        <f>0.043*0.364</f>
        <v>1.5651999999999999E-2</v>
      </c>
      <c r="D93" s="555">
        <v>0.51</v>
      </c>
      <c r="E93" s="555"/>
      <c r="F93" s="555"/>
      <c r="G93" s="556">
        <v>0</v>
      </c>
      <c r="H93" s="556">
        <v>0.10143000000000001</v>
      </c>
      <c r="I93" s="556">
        <v>2.3310000000000001E-2</v>
      </c>
      <c r="J93" s="556">
        <v>1.2600000000000001E-3</v>
      </c>
      <c r="K93" s="556"/>
      <c r="L93" s="556"/>
      <c r="M93" s="556">
        <v>0</v>
      </c>
      <c r="N93" s="576"/>
      <c r="O93" s="553">
        <f t="shared" si="3"/>
        <v>1</v>
      </c>
      <c r="Q93" s="550">
        <v>2001</v>
      </c>
      <c r="R93" s="553">
        <f t="shared" si="4"/>
        <v>2.3310000000000001E-2</v>
      </c>
      <c r="S93" s="553">
        <f t="shared" si="5"/>
        <v>0.97668999999999995</v>
      </c>
    </row>
    <row r="94" spans="1:19">
      <c r="A94" s="550">
        <v>2000</v>
      </c>
      <c r="B94" s="555">
        <v>0.39</v>
      </c>
      <c r="C94" s="555"/>
      <c r="D94" s="555">
        <v>0.496</v>
      </c>
      <c r="E94" s="555"/>
      <c r="F94" s="555"/>
      <c r="G94" s="556">
        <v>0</v>
      </c>
      <c r="H94" s="556">
        <v>9.9000000000000005E-2</v>
      </c>
      <c r="I94" s="556">
        <v>1.4999999999999999E-2</v>
      </c>
      <c r="J94" s="556">
        <v>0</v>
      </c>
      <c r="K94" s="556"/>
      <c r="L94" s="556">
        <v>0</v>
      </c>
      <c r="M94" s="556">
        <v>0</v>
      </c>
      <c r="N94" s="576"/>
      <c r="O94" s="553">
        <f t="shared" si="3"/>
        <v>1</v>
      </c>
      <c r="Q94" s="550">
        <v>2000</v>
      </c>
      <c r="R94" s="553">
        <f t="shared" si="4"/>
        <v>1.4999999999999999E-2</v>
      </c>
      <c r="S94" s="553">
        <f t="shared" si="5"/>
        <v>0.98499999999999999</v>
      </c>
    </row>
    <row r="95" spans="1:19">
      <c r="A95" s="550">
        <v>1999</v>
      </c>
      <c r="B95" s="554"/>
      <c r="C95" s="554"/>
      <c r="D95" s="554"/>
      <c r="E95" s="554"/>
      <c r="F95" s="554"/>
      <c r="G95" s="554"/>
      <c r="H95" s="554"/>
      <c r="I95" s="554"/>
      <c r="J95" s="554"/>
      <c r="K95" s="554"/>
      <c r="L95" s="554"/>
      <c r="M95" s="554"/>
      <c r="N95" s="577"/>
      <c r="O95" s="553"/>
      <c r="Q95" s="550">
        <v>1999</v>
      </c>
      <c r="R95" s="553">
        <f t="shared" si="4"/>
        <v>0</v>
      </c>
      <c r="S95" s="553">
        <f t="shared" si="5"/>
        <v>1</v>
      </c>
    </row>
    <row r="96" spans="1:19">
      <c r="A96" s="550">
        <v>1998</v>
      </c>
      <c r="B96" s="553" t="s">
        <v>634</v>
      </c>
      <c r="C96" s="553"/>
      <c r="D96" s="553" t="s">
        <v>636</v>
      </c>
      <c r="E96" s="553" t="s">
        <v>635</v>
      </c>
      <c r="F96" s="553"/>
      <c r="G96" s="553"/>
      <c r="H96" s="553"/>
      <c r="I96" s="553" t="s">
        <v>634</v>
      </c>
      <c r="J96" s="553"/>
      <c r="K96" s="553"/>
      <c r="L96" s="553"/>
      <c r="M96" s="553"/>
      <c r="N96" s="578"/>
      <c r="O96" s="553"/>
      <c r="Q96" s="550">
        <v>1998</v>
      </c>
    </row>
    <row r="97" spans="17:17">
      <c r="Q97" s="550"/>
    </row>
    <row r="98" spans="17:17">
      <c r="Q98" s="550"/>
    </row>
  </sheetData>
  <mergeCells count="63">
    <mergeCell ref="Z1:Z2"/>
    <mergeCell ref="AD1:AD2"/>
    <mergeCell ref="H7:M7"/>
    <mergeCell ref="H11:M11"/>
    <mergeCell ref="H15:M15"/>
    <mergeCell ref="U1:V1"/>
    <mergeCell ref="W1:Y1"/>
    <mergeCell ref="D31:F31"/>
    <mergeCell ref="D27:F27"/>
    <mergeCell ref="H27:M27"/>
    <mergeCell ref="B51:C51"/>
    <mergeCell ref="B55:C55"/>
    <mergeCell ref="H55:M55"/>
    <mergeCell ref="D55:F55"/>
    <mergeCell ref="D51:F51"/>
    <mergeCell ref="H43:M43"/>
    <mergeCell ref="H47:M47"/>
    <mergeCell ref="H51:M51"/>
    <mergeCell ref="D7:F7"/>
    <mergeCell ref="H19:M19"/>
    <mergeCell ref="H23:M23"/>
    <mergeCell ref="B47:C47"/>
    <mergeCell ref="D43:F43"/>
    <mergeCell ref="B35:C35"/>
    <mergeCell ref="B39:C39"/>
    <mergeCell ref="D23:F23"/>
    <mergeCell ref="B31:C31"/>
    <mergeCell ref="H35:M35"/>
    <mergeCell ref="H39:M39"/>
    <mergeCell ref="D19:F19"/>
    <mergeCell ref="D15:F15"/>
    <mergeCell ref="D11:F11"/>
    <mergeCell ref="D39:F39"/>
    <mergeCell ref="D35:F35"/>
    <mergeCell ref="G1:G2"/>
    <mergeCell ref="D1:F2"/>
    <mergeCell ref="B1:C2"/>
    <mergeCell ref="H1:M2"/>
    <mergeCell ref="H3:M3"/>
    <mergeCell ref="B7:C7"/>
    <mergeCell ref="B11:C11"/>
    <mergeCell ref="O76:O77"/>
    <mergeCell ref="N76:N77"/>
    <mergeCell ref="G76:G77"/>
    <mergeCell ref="H67:M67"/>
    <mergeCell ref="H31:M31"/>
    <mergeCell ref="H76:M76"/>
    <mergeCell ref="D76:F76"/>
    <mergeCell ref="B67:C67"/>
    <mergeCell ref="B76:C76"/>
    <mergeCell ref="D67:F67"/>
    <mergeCell ref="B15:C15"/>
    <mergeCell ref="B19:C19"/>
    <mergeCell ref="B23:C23"/>
    <mergeCell ref="B27:C27"/>
    <mergeCell ref="D63:F63"/>
    <mergeCell ref="B63:C63"/>
    <mergeCell ref="D47:F47"/>
    <mergeCell ref="B43:C43"/>
    <mergeCell ref="H59:M59"/>
    <mergeCell ref="H63:M63"/>
    <mergeCell ref="D59:F59"/>
    <mergeCell ref="B59:C5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81"/>
  <sheetViews>
    <sheetView workbookViewId="0">
      <selection activeCell="E2" sqref="E2"/>
    </sheetView>
  </sheetViews>
  <sheetFormatPr defaultColWidth="12.42578125" defaultRowHeight="15.75"/>
  <cols>
    <col min="1" max="1" width="15.42578125" style="572" customWidth="1"/>
    <col min="2" max="2" width="12.42578125" style="572"/>
    <col min="3" max="6" width="17.85546875" style="572" customWidth="1"/>
    <col min="7" max="16384" width="12.42578125" style="572"/>
  </cols>
  <sheetData>
    <row r="1" spans="1:8" ht="49.5" customHeight="1">
      <c r="A1" s="585" t="s">
        <v>655</v>
      </c>
      <c r="B1" s="1008" t="s">
        <v>374</v>
      </c>
      <c r="C1" s="1008"/>
      <c r="D1" s="1008" t="s">
        <v>650</v>
      </c>
      <c r="E1" s="1008"/>
      <c r="F1" s="1008"/>
      <c r="G1" s="581" t="s">
        <v>485</v>
      </c>
      <c r="H1" s="586" t="s">
        <v>654</v>
      </c>
    </row>
    <row r="2" spans="1:8" ht="27" customHeight="1">
      <c r="A2" s="580" t="s">
        <v>633</v>
      </c>
      <c r="B2" s="581" t="s">
        <v>653</v>
      </c>
      <c r="C2" s="581" t="s">
        <v>652</v>
      </c>
      <c r="D2" s="581" t="s">
        <v>645</v>
      </c>
      <c r="E2" s="581" t="s">
        <v>367</v>
      </c>
      <c r="F2" s="581" t="s">
        <v>368</v>
      </c>
      <c r="G2" s="581"/>
      <c r="H2" s="586"/>
    </row>
    <row r="3" spans="1:8">
      <c r="A3" s="580">
        <v>2016</v>
      </c>
      <c r="B3" s="560">
        <f>60%*'Datastream - Indices'!AV3</f>
        <v>1.1261199799881744E-2</v>
      </c>
      <c r="C3" s="560">
        <f>0%*'Datastream - Indices'!AW3</f>
        <v>0</v>
      </c>
      <c r="D3" s="560">
        <f>0.375*0.3*'Datastream - Indices'!AX3</f>
        <v>5.1637500000000002E-4</v>
      </c>
      <c r="E3" s="560">
        <f>0.375*0.7*'Datastream - Indices'!AY3</f>
        <v>5.2237499999999994E-4</v>
      </c>
      <c r="F3" s="560"/>
      <c r="G3" s="560">
        <f>2.5%*'Datastream - Indices'!BC3</f>
        <v>-1.2422113968505715E-3</v>
      </c>
      <c r="H3" s="560">
        <f t="shared" ref="H3:H34" si="0">SUM(B3:G3)</f>
        <v>1.1057738403031172E-2</v>
      </c>
    </row>
    <row r="4" spans="1:8">
      <c r="A4" s="580"/>
      <c r="B4" s="560">
        <f>60%*'Datastream - Indices'!AV4</f>
        <v>3.2486855352947749E-2</v>
      </c>
      <c r="C4" s="560">
        <f>0%*'Datastream - Indices'!AW4</f>
        <v>0</v>
      </c>
      <c r="D4" s="560">
        <f>0.375*0.3*'Datastream - Indices'!AX4</f>
        <v>-3.2625E-5</v>
      </c>
      <c r="E4" s="560">
        <f>0.375*0.7*'Datastream - Indices'!AY4</f>
        <v>-3.149999999999999E-4</v>
      </c>
      <c r="F4" s="560"/>
      <c r="G4" s="560">
        <f>2.5%*'Datastream - Indices'!BC4</f>
        <v>5.3359369678253153E-5</v>
      </c>
      <c r="H4" s="560">
        <f t="shared" si="0"/>
        <v>3.2192589722626001E-2</v>
      </c>
    </row>
    <row r="5" spans="1:8">
      <c r="A5" s="580"/>
      <c r="B5" s="560">
        <f>60%*'Datastream - Indices'!AV5</f>
        <v>7.1217193033522837E-3</v>
      </c>
      <c r="C5" s="560">
        <f>0%*'Datastream - Indices'!AW5</f>
        <v>0</v>
      </c>
      <c r="D5" s="560">
        <f>0.375*0.3*'Datastream - Indices'!AX5</f>
        <v>1.6582499999999998E-3</v>
      </c>
      <c r="E5" s="560">
        <f>0.375*0.7*'Datastream - Indices'!AY5</f>
        <v>6.7593749999999998E-3</v>
      </c>
      <c r="F5" s="560"/>
      <c r="G5" s="560">
        <f>2.5%*'Datastream - Indices'!BC5</f>
        <v>1.1620377887520828E-3</v>
      </c>
      <c r="H5" s="560">
        <f t="shared" si="0"/>
        <v>1.6701382092104367E-2</v>
      </c>
    </row>
    <row r="6" spans="1:8">
      <c r="A6" s="580"/>
      <c r="B6" s="560">
        <f>60%*'Datastream - Indices'!AV6</f>
        <v>-3.9754363283782981E-4</v>
      </c>
      <c r="C6" s="560">
        <f>0%*'Datastream - Indices'!AW6</f>
        <v>0</v>
      </c>
      <c r="D6" s="560">
        <f>0.375*0.3*'Datastream - Indices'!AX6</f>
        <v>4.1883749999999994E-3</v>
      </c>
      <c r="E6" s="560">
        <f>0.375*0.7*'Datastream - Indices'!AY6</f>
        <v>8.6808749999999994E-3</v>
      </c>
      <c r="F6" s="560"/>
      <c r="G6" s="560">
        <f>2.5%*'Datastream - Indices'!BC6</f>
        <v>1.7174756747377039E-3</v>
      </c>
      <c r="H6" s="560">
        <f t="shared" si="0"/>
        <v>1.4189182041899874E-2</v>
      </c>
    </row>
    <row r="7" spans="1:8">
      <c r="A7" s="580">
        <v>2015</v>
      </c>
      <c r="B7" s="560">
        <f>60%*'Datastream - Indices'!AV7</f>
        <v>3.2342672230264928E-2</v>
      </c>
      <c r="C7" s="560">
        <f>0%*'Datastream - Indices'!AW7</f>
        <v>0</v>
      </c>
      <c r="D7" s="560">
        <f>0.375*0.3*'Datastream - Indices'!AX7</f>
        <v>-3.4424999999999994E-4</v>
      </c>
      <c r="E7" s="560">
        <f>0.375*0.7*'Datastream - Indices'!AY7</f>
        <v>-7.0612499999999994E-4</v>
      </c>
      <c r="F7" s="560"/>
      <c r="G7" s="560">
        <f>2.5%*'Datastream - Indices'!BC7</f>
        <v>1.2958915208362092E-3</v>
      </c>
      <c r="H7" s="560">
        <f t="shared" si="0"/>
        <v>3.2588188751101137E-2</v>
      </c>
    </row>
    <row r="8" spans="1:8">
      <c r="A8" s="580"/>
      <c r="B8" s="560">
        <f>60%*'Datastream - Indices'!AV8</f>
        <v>-5.1424033385758176E-2</v>
      </c>
      <c r="C8" s="560">
        <f>0%*'Datastream - Indices'!AW8</f>
        <v>0</v>
      </c>
      <c r="D8" s="560">
        <f>0.375*0.3*'Datastream - Indices'!AX8</f>
        <v>5.1749999999999997E-5</v>
      </c>
      <c r="E8" s="560">
        <f>0.375*0.7*'Datastream - Indices'!AY8</f>
        <v>-2.4412499999999998E-3</v>
      </c>
      <c r="F8" s="560"/>
      <c r="G8" s="560">
        <f>2.5%*'Datastream - Indices'!BC8</f>
        <v>-1.1569078522895248E-5</v>
      </c>
      <c r="H8" s="560">
        <f t="shared" si="0"/>
        <v>-5.3825102464281065E-2</v>
      </c>
    </row>
    <row r="9" spans="1:8">
      <c r="A9" s="580"/>
      <c r="B9" s="560">
        <f>60%*'Datastream - Indices'!AV9</f>
        <v>3.7322553351509134E-3</v>
      </c>
      <c r="C9" s="560">
        <f>0%*'Datastream - Indices'!AW9</f>
        <v>0</v>
      </c>
      <c r="D9" s="560">
        <f>0.375*0.3*'Datastream - Indices'!AX9</f>
        <v>-1.3229999999999997E-3</v>
      </c>
      <c r="E9" s="560">
        <f>0.375*0.7*'Datastream - Indices'!AY9</f>
        <v>-3.7327499999999995E-3</v>
      </c>
      <c r="F9" s="560"/>
      <c r="G9" s="560">
        <f>2.5%*'Datastream - Indices'!BC9</f>
        <v>-1.9466464790697292E-3</v>
      </c>
      <c r="H9" s="560">
        <f t="shared" si="0"/>
        <v>-3.2701411439188151E-3</v>
      </c>
    </row>
    <row r="10" spans="1:8">
      <c r="A10" s="580"/>
      <c r="B10" s="560">
        <f>60%*'Datastream - Indices'!AV10</f>
        <v>1.7204197089115577E-2</v>
      </c>
      <c r="C10" s="560">
        <f>0%*'Datastream - Indices'!AW10</f>
        <v>0</v>
      </c>
      <c r="D10" s="560">
        <f>0.375*0.3*'Datastream - Indices'!AX10</f>
        <v>-1.1587499999999998E-3</v>
      </c>
      <c r="E10" s="560">
        <f>0.375*0.7*'Datastream - Indices'!AY10</f>
        <v>-1.9687499999999996E-3</v>
      </c>
      <c r="F10" s="560"/>
      <c r="G10" s="560">
        <f>2.5%*'Datastream - Indices'!BC10</f>
        <v>9.4733748977923163E-4</v>
      </c>
      <c r="H10" s="560">
        <f t="shared" si="0"/>
        <v>1.5024034578894809E-2</v>
      </c>
    </row>
    <row r="11" spans="1:8">
      <c r="A11" s="580">
        <v>2014</v>
      </c>
      <c r="B11" s="560">
        <f>60%*'Datastream - Indices'!AV11</f>
        <v>6.8863202856258602E-3</v>
      </c>
      <c r="C11" s="560">
        <f>0%*'Datastream - Indices'!AW11</f>
        <v>0</v>
      </c>
      <c r="D11" s="560">
        <f>0.375*0.3*'Datastream - Indices'!AX11</f>
        <v>-7.0874999999999996E-4</v>
      </c>
      <c r="E11" s="560">
        <f>0.375*0.7*'Datastream - Indices'!AY11</f>
        <v>-3.3074999999999997E-3</v>
      </c>
      <c r="F11" s="560"/>
      <c r="G11" s="560">
        <f>2.5%*'Datastream - Indices'!BC11</f>
        <v>2.5064544393891804E-3</v>
      </c>
      <c r="H11" s="560">
        <f t="shared" si="0"/>
        <v>5.3765247250150408E-3</v>
      </c>
    </row>
    <row r="12" spans="1:8">
      <c r="A12" s="580"/>
      <c r="B12" s="560">
        <f>60%*'Datastream - Indices'!AV12</f>
        <v>-1.6689384093574729E-2</v>
      </c>
      <c r="C12" s="560">
        <f>0%*'Datastream - Indices'!AW12</f>
        <v>0</v>
      </c>
      <c r="D12" s="560">
        <f>0.375*0.3*'Datastream - Indices'!AX12</f>
        <v>-2.5987499999999995E-3</v>
      </c>
      <c r="E12" s="560">
        <f>0.375*0.7*'Datastream - Indices'!AY12</f>
        <v>-5.9324999999999994E-3</v>
      </c>
      <c r="F12" s="560"/>
      <c r="G12" s="560">
        <f>2.5%*'Datastream - Indices'!BC12</f>
        <v>-1.0213070033122265E-3</v>
      </c>
      <c r="H12" s="560">
        <f t="shared" si="0"/>
        <v>-2.6241941096886958E-2</v>
      </c>
    </row>
    <row r="13" spans="1:8">
      <c r="A13" s="580"/>
      <c r="B13" s="560">
        <f>60%*'Datastream - Indices'!AV13</f>
        <v>2.9084201605264544E-2</v>
      </c>
      <c r="C13" s="560">
        <f>0%*'Datastream - Indices'!AW13</f>
        <v>0</v>
      </c>
      <c r="D13" s="560">
        <f>0.375*0.3*'Datastream - Indices'!AX13</f>
        <v>5.8499999999999991E-4</v>
      </c>
      <c r="E13" s="560">
        <f>0.375*0.7*'Datastream - Indices'!AY13</f>
        <v>7.874999999999999E-4</v>
      </c>
      <c r="F13" s="560"/>
      <c r="G13" s="560">
        <f>2.5%*'Datastream - Indices'!BC13</f>
        <v>2.0713291545813787E-3</v>
      </c>
      <c r="H13" s="560">
        <f t="shared" si="0"/>
        <v>3.2528030759845922E-2</v>
      </c>
    </row>
    <row r="14" spans="1:8">
      <c r="A14" s="580"/>
      <c r="B14" s="560">
        <f>60%*'Datastream - Indices'!AV14</f>
        <v>9.7990204357371637E-3</v>
      </c>
      <c r="C14" s="560">
        <f>0%*'Datastream - Indices'!AW14</f>
        <v>0</v>
      </c>
      <c r="D14" s="560">
        <f>0.375*0.3*'Datastream - Indices'!AX14</f>
        <v>7.8750000000000003E-5</v>
      </c>
      <c r="E14" s="560">
        <f>0.375*0.7*'Datastream - Indices'!AY14</f>
        <v>1.18125E-3</v>
      </c>
      <c r="F14" s="560"/>
      <c r="G14" s="560">
        <f>2.5%*'Datastream - Indices'!BC14</f>
        <v>1.8806120099629558E-3</v>
      </c>
      <c r="H14" s="560">
        <f t="shared" si="0"/>
        <v>1.293963244570012E-2</v>
      </c>
    </row>
    <row r="15" spans="1:8">
      <c r="A15" s="580">
        <v>2013</v>
      </c>
      <c r="B15" s="560">
        <f>60%*'Datastream - Indices'!AV15</f>
        <v>4.7068466204032627E-2</v>
      </c>
      <c r="C15" s="560">
        <f>0%*'Datastream - Indices'!AW15</f>
        <v>0</v>
      </c>
      <c r="D15" s="560">
        <f>0.375*0.3*'Datastream - Indices'!AX15</f>
        <v>0</v>
      </c>
      <c r="E15" s="560">
        <f>0.375*0.7*'Datastream - Indices'!AY15</f>
        <v>4.4624999999999998E-4</v>
      </c>
      <c r="F15" s="560"/>
      <c r="G15" s="560">
        <f>2.5%*'Datastream - Indices'!BC15</f>
        <v>-1.8619314227545349E-4</v>
      </c>
      <c r="H15" s="560">
        <f t="shared" si="0"/>
        <v>4.7328523061757173E-2</v>
      </c>
    </row>
    <row r="16" spans="1:8">
      <c r="A16" s="580"/>
      <c r="B16" s="560">
        <f>60%*'Datastream - Indices'!AV16</f>
        <v>5.2972308668159877E-2</v>
      </c>
      <c r="C16" s="560">
        <f>0%*'Datastream - Indices'!AW16</f>
        <v>0</v>
      </c>
      <c r="D16" s="560">
        <f>0.375*0.3*'Datastream - Indices'!AX16</f>
        <v>2.1037500000000002E-3</v>
      </c>
      <c r="E16" s="560">
        <f>0.375*0.7*'Datastream - Indices'!AY16</f>
        <v>7.2712499999999982E-3</v>
      </c>
      <c r="F16" s="560"/>
      <c r="G16" s="560">
        <f>2.5%*'Datastream - Indices'!BC16</f>
        <v>2.4824409542971986E-5</v>
      </c>
      <c r="H16" s="560">
        <f t="shared" si="0"/>
        <v>6.2372133077702847E-2</v>
      </c>
    </row>
    <row r="17" spans="1:8">
      <c r="A17" s="580"/>
      <c r="B17" s="560">
        <f>60%*'Datastream - Indices'!AV17</f>
        <v>3.5411640380435616E-3</v>
      </c>
      <c r="C17" s="560">
        <f>0%*'Datastream - Indices'!AW17</f>
        <v>0</v>
      </c>
      <c r="D17" s="560">
        <f>0.375*0.3*'Datastream - Indices'!AX17</f>
        <v>-2.7224999999999997E-3</v>
      </c>
      <c r="E17" s="560">
        <f>0.375*0.7*'Datastream - Indices'!AY17</f>
        <v>-9.6337499999999982E-3</v>
      </c>
      <c r="F17" s="560"/>
      <c r="G17" s="560">
        <f>2.5%*'Datastream - Indices'!BC17</f>
        <v>-9.7498463705990735E-4</v>
      </c>
      <c r="H17" s="560">
        <f t="shared" si="0"/>
        <v>-9.7900705990163449E-3</v>
      </c>
    </row>
    <row r="18" spans="1:8">
      <c r="A18" s="580"/>
      <c r="B18" s="560">
        <f>60%*'Datastream - Indices'!AV18</f>
        <v>4.7957623651514826E-2</v>
      </c>
      <c r="C18" s="560">
        <f>0%*'Datastream - Indices'!AW18</f>
        <v>0</v>
      </c>
      <c r="D18" s="560">
        <f>0.375*0.3*'Datastream - Indices'!AX18</f>
        <v>-1.5750000000000001E-4</v>
      </c>
      <c r="E18" s="560">
        <f>0.375*0.7*'Datastream - Indices'!AY18</f>
        <v>-1.2862499999999996E-3</v>
      </c>
      <c r="F18" s="560"/>
      <c r="G18" s="560">
        <f>2.5%*'Datastream - Indices'!BC18</f>
        <v>1.7919098356267054E-3</v>
      </c>
      <c r="H18" s="560">
        <f t="shared" si="0"/>
        <v>4.8305783487141533E-2</v>
      </c>
    </row>
    <row r="19" spans="1:8">
      <c r="A19" s="580">
        <v>2012</v>
      </c>
      <c r="B19" s="560">
        <f>60%*'Datastream - Indices'!AV19</f>
        <v>1.737492799220099E-2</v>
      </c>
      <c r="C19" s="560">
        <f>0%*'Datastream - Indices'!AW19</f>
        <v>0</v>
      </c>
      <c r="D19" s="560">
        <f>0.375*0.3*'Datastream - Indices'!AX19</f>
        <v>5.8499999999999991E-4</v>
      </c>
      <c r="E19" s="560">
        <f>0.375*0.7*'Datastream - Indices'!AY19</f>
        <v>1.5224999999999995E-3</v>
      </c>
      <c r="F19" s="582"/>
      <c r="G19" s="560">
        <f>2.5%*'Datastream - Indices'!BC19</f>
        <v>9.4993692096502751E-4</v>
      </c>
      <c r="H19" s="560">
        <f t="shared" si="0"/>
        <v>2.0432364913166016E-2</v>
      </c>
    </row>
    <row r="20" spans="1:8">
      <c r="A20" s="580"/>
      <c r="B20" s="560">
        <f>60%*'Datastream - Indices'!AV20</f>
        <v>4.1594010614101666E-2</v>
      </c>
      <c r="C20" s="560">
        <f>0%*'Datastream - Indices'!AW20</f>
        <v>0</v>
      </c>
      <c r="D20" s="560">
        <f>0.375*0.3*'Datastream - Indices'!AX20</f>
        <v>1.6312499999999997E-3</v>
      </c>
      <c r="E20" s="560">
        <f>0.375*0.7*'Datastream - Indices'!AY20</f>
        <v>3.727499999999999E-3</v>
      </c>
      <c r="F20" s="582"/>
      <c r="G20" s="560">
        <f>2.5%*'Datastream - Indices'!BC20</f>
        <v>8.5288826818853052E-4</v>
      </c>
      <c r="H20" s="560">
        <f t="shared" si="0"/>
        <v>4.7805648882290198E-2</v>
      </c>
    </row>
    <row r="21" spans="1:8">
      <c r="A21" s="580"/>
      <c r="B21" s="560">
        <f>60%*'Datastream - Indices'!AV21</f>
        <v>-3.0775455158462639E-2</v>
      </c>
      <c r="C21" s="560">
        <f>0%*'Datastream - Indices'!AW21</f>
        <v>0</v>
      </c>
      <c r="D21" s="560">
        <f>0.375*0.3*'Datastream - Indices'!AX21</f>
        <v>1.18125E-3</v>
      </c>
      <c r="E21" s="560">
        <f>0.375*0.7*'Datastream - Indices'!AY21</f>
        <v>6.3262499999999985E-3</v>
      </c>
      <c r="F21" s="582"/>
      <c r="G21" s="560">
        <f>2.5%*'Datastream - Indices'!BC21</f>
        <v>8.2830118099716716E-4</v>
      </c>
      <c r="H21" s="560">
        <f t="shared" si="0"/>
        <v>-2.243965397746547E-2</v>
      </c>
    </row>
    <row r="22" spans="1:8">
      <c r="A22" s="580"/>
      <c r="B22" s="560">
        <f>60%*'Datastream - Indices'!AV22</f>
        <v>7.2122066673381016E-2</v>
      </c>
      <c r="C22" s="560">
        <f>0%*'Datastream - Indices'!AW22</f>
        <v>0</v>
      </c>
      <c r="D22" s="560">
        <f>0.375*0.3*'Datastream - Indices'!AX22</f>
        <v>-5.1749999999999995E-4</v>
      </c>
      <c r="E22" s="560">
        <f>0.375*0.7*'Datastream - Indices'!AY22</f>
        <v>9.7124999999999989E-4</v>
      </c>
      <c r="F22" s="582"/>
      <c r="G22" s="560">
        <f>2.5%*'Datastream - Indices'!BC22</f>
        <v>2.7207726796895054E-3</v>
      </c>
      <c r="H22" s="560">
        <f t="shared" si="0"/>
        <v>7.5296589353070514E-2</v>
      </c>
    </row>
    <row r="23" spans="1:8">
      <c r="A23" s="580">
        <v>2011</v>
      </c>
      <c r="B23" s="560">
        <f>60%*'Datastream - Indices'!AV23</f>
        <v>4.6068756100206033E-2</v>
      </c>
      <c r="C23" s="560">
        <f>0%*'Datastream - Indices'!AW23</f>
        <v>0</v>
      </c>
      <c r="D23" s="560">
        <f>0.375*0.3*'Datastream - Indices'!AX23</f>
        <v>1.1699999999999998E-3</v>
      </c>
      <c r="E23" s="560">
        <f>0.375*0.7*'Datastream - Indices'!AY23</f>
        <v>1.9687499999999996E-3</v>
      </c>
      <c r="F23" s="560"/>
      <c r="G23" s="582"/>
      <c r="H23" s="560">
        <f t="shared" si="0"/>
        <v>4.9207506100206029E-2</v>
      </c>
    </row>
    <row r="24" spans="1:8">
      <c r="A24" s="580"/>
      <c r="B24" s="560">
        <f>60%*'Datastream - Indices'!AV24</f>
        <v>-0.10394727994082438</v>
      </c>
      <c r="C24" s="560">
        <f>0%*'Datastream - Indices'!AW24</f>
        <v>0</v>
      </c>
      <c r="D24" s="560">
        <f>0.375*0.3*'Datastream - Indices'!AX24</f>
        <v>-3.4537499999999998E-3</v>
      </c>
      <c r="E24" s="560">
        <f>0.375*0.7*'Datastream - Indices'!AY24</f>
        <v>-1.0552499999999999E-2</v>
      </c>
      <c r="F24" s="560"/>
      <c r="G24" s="582"/>
      <c r="H24" s="560">
        <f t="shared" si="0"/>
        <v>-0.11795352994082439</v>
      </c>
    </row>
    <row r="25" spans="1:8">
      <c r="A25" s="580"/>
      <c r="B25" s="560">
        <f>60%*'Datastream - Indices'!AV25</f>
        <v>3.3811960417465003E-3</v>
      </c>
      <c r="C25" s="560">
        <f>0%*'Datastream - Indices'!AW25</f>
        <v>0</v>
      </c>
      <c r="D25" s="560">
        <f>0.375*0.3*'Datastream - Indices'!AX25</f>
        <v>-5.9624999999999999E-4</v>
      </c>
      <c r="E25" s="560">
        <f>0.375*0.7*'Datastream - Indices'!AY25</f>
        <v>1.6274999999999996E-3</v>
      </c>
      <c r="F25" s="560"/>
      <c r="G25" s="582"/>
      <c r="H25" s="560">
        <f t="shared" si="0"/>
        <v>4.4124460417464999E-3</v>
      </c>
    </row>
    <row r="26" spans="1:8">
      <c r="A26" s="580"/>
      <c r="B26" s="560">
        <f>60%*'Datastream - Indices'!AV26</f>
        <v>3.1172341838186426E-2</v>
      </c>
      <c r="C26" s="560">
        <f>0%*'Datastream - Indices'!AW26</f>
        <v>0</v>
      </c>
      <c r="D26" s="560">
        <f>0.375*0.3*'Datastream - Indices'!AX26</f>
        <v>5.7374999999999993E-4</v>
      </c>
      <c r="E26" s="560">
        <f>0.375*0.7*'Datastream - Indices'!AY26</f>
        <v>3.3599999999999997E-3</v>
      </c>
      <c r="F26" s="560"/>
      <c r="G26" s="582"/>
      <c r="H26" s="560">
        <f t="shared" si="0"/>
        <v>3.5106091838186429E-2</v>
      </c>
    </row>
    <row r="27" spans="1:8">
      <c r="A27" s="580">
        <v>2010</v>
      </c>
      <c r="B27" s="560">
        <f>60%*'Datastream - Indices'!AV27</f>
        <v>5.8645911966056702E-2</v>
      </c>
      <c r="C27" s="560">
        <f>0%*'Datastream - Indices'!AW27</f>
        <v>0</v>
      </c>
      <c r="D27" s="560"/>
      <c r="E27" s="560">
        <f>0.375*0.7*'Datastream - Indices'!AY27</f>
        <v>7.3499999999999998E-4</v>
      </c>
      <c r="F27" s="560"/>
      <c r="G27" s="560"/>
      <c r="H27" s="560">
        <f t="shared" si="0"/>
        <v>5.9380911966056701E-2</v>
      </c>
    </row>
    <row r="28" spans="1:8">
      <c r="A28" s="580"/>
      <c r="B28" s="560">
        <f>60%*'Datastream - Indices'!AV28</f>
        <v>8.4530632851245791E-2</v>
      </c>
      <c r="C28" s="560">
        <f>0%*'Datastream - Indices'!AW28</f>
        <v>0</v>
      </c>
      <c r="D28" s="560"/>
      <c r="E28" s="560">
        <f>0.375*0.7*'Datastream - Indices'!AY28</f>
        <v>6.3787499999999999E-3</v>
      </c>
      <c r="F28" s="560"/>
      <c r="G28" s="560"/>
      <c r="H28" s="560">
        <f t="shared" si="0"/>
        <v>9.0909382851245793E-2</v>
      </c>
    </row>
    <row r="29" spans="1:8">
      <c r="A29" s="580"/>
      <c r="B29" s="560">
        <f>60%*'Datastream - Indices'!AV29</f>
        <v>-7.2072119153383796E-2</v>
      </c>
      <c r="C29" s="560">
        <f>0%*'Datastream - Indices'!AW29</f>
        <v>0</v>
      </c>
      <c r="D29" s="560"/>
      <c r="E29" s="560">
        <f>0.375*0.7*'Datastream - Indices'!AY29</f>
        <v>3.0712499999999993E-3</v>
      </c>
      <c r="F29" s="560"/>
      <c r="G29" s="560"/>
      <c r="H29" s="560">
        <f t="shared" si="0"/>
        <v>-6.9000869153383798E-2</v>
      </c>
    </row>
    <row r="30" spans="1:8">
      <c r="A30" s="580"/>
      <c r="B30" s="560">
        <f>60%*'Datastream - Indices'!AV30</f>
        <v>2.3188405797101463E-2</v>
      </c>
      <c r="C30" s="560">
        <f>0%*'Datastream - Indices'!AW30</f>
        <v>0</v>
      </c>
      <c r="D30" s="560"/>
      <c r="E30" s="560">
        <f>0.375*0.7*'Datastream - Indices'!AY30</f>
        <v>2.4412499999999998E-3</v>
      </c>
      <c r="F30" s="560"/>
      <c r="G30" s="560"/>
      <c r="H30" s="560">
        <f t="shared" si="0"/>
        <v>2.5629655797101462E-2</v>
      </c>
    </row>
    <row r="31" spans="1:8">
      <c r="A31" s="580">
        <v>2009</v>
      </c>
      <c r="B31" s="560">
        <f>60%*'Datastream - Indices'!AV31</f>
        <v>2.3592463048629126E-2</v>
      </c>
      <c r="C31" s="560">
        <f>0%*'Datastream - Indices'!AW31</f>
        <v>0</v>
      </c>
      <c r="D31" s="560"/>
      <c r="E31" s="560">
        <f>0.375*0.7*'Datastream - Indices'!AY31</f>
        <v>-5.7749999999999998E-3</v>
      </c>
      <c r="F31" s="560"/>
      <c r="G31" s="582"/>
      <c r="H31" s="560">
        <f t="shared" si="0"/>
        <v>1.7817463048629127E-2</v>
      </c>
    </row>
    <row r="32" spans="1:8">
      <c r="A32" s="580"/>
      <c r="B32" s="560">
        <f>60%*'Datastream - Indices'!AV32</f>
        <v>0.11148275746730431</v>
      </c>
      <c r="C32" s="560">
        <f>0%*'Datastream - Indices'!AW32</f>
        <v>0</v>
      </c>
      <c r="D32" s="560"/>
      <c r="E32" s="560">
        <f>0.375*0.7*'Datastream - Indices'!AY32</f>
        <v>8.3737499999999975E-3</v>
      </c>
      <c r="F32" s="560"/>
      <c r="G32" s="582"/>
      <c r="H32" s="560">
        <f t="shared" si="0"/>
        <v>0.11985650746730431</v>
      </c>
    </row>
    <row r="33" spans="1:8">
      <c r="A33" s="580"/>
      <c r="B33" s="560">
        <f>60%*'Datastream - Indices'!AV33</f>
        <v>0.1340289712742451</v>
      </c>
      <c r="C33" s="560">
        <f>0%*'Datastream - Indices'!AW33</f>
        <v>0</v>
      </c>
      <c r="D33" s="560"/>
      <c r="E33" s="560">
        <f>0.375*0.7*'Datastream - Indices'!AY33</f>
        <v>7.0874999999999996E-4</v>
      </c>
      <c r="F33" s="560"/>
      <c r="G33" s="582"/>
      <c r="H33" s="560">
        <f t="shared" si="0"/>
        <v>0.1347377212742451</v>
      </c>
    </row>
    <row r="34" spans="1:8">
      <c r="A34" s="580"/>
      <c r="B34" s="560">
        <f>60%*'Datastream - Indices'!AV34</f>
        <v>-6.9527151694945971E-2</v>
      </c>
      <c r="C34" s="560">
        <f>0%*'Datastream - Indices'!AW34</f>
        <v>0</v>
      </c>
      <c r="D34" s="560"/>
      <c r="E34" s="560">
        <f>0.375*0.7*'Datastream - Indices'!AY34</f>
        <v>7.4549999999999981E-3</v>
      </c>
      <c r="F34" s="560"/>
      <c r="G34" s="582"/>
      <c r="H34" s="560">
        <f t="shared" si="0"/>
        <v>-6.2072151694945975E-2</v>
      </c>
    </row>
    <row r="35" spans="1:8">
      <c r="A35" s="580">
        <v>2008</v>
      </c>
      <c r="B35" s="560">
        <f>60%*'Datastream - Indices'!AV35</f>
        <v>-0.13438894971784718</v>
      </c>
      <c r="C35" s="560">
        <f>0%*'Datastream - Indices'!AW35</f>
        <v>0</v>
      </c>
      <c r="D35" s="560"/>
      <c r="E35" s="560">
        <f>0.375*0.7*'Datastream - Indices'!AY35</f>
        <v>1.9713749999999995E-2</v>
      </c>
      <c r="F35" s="560"/>
      <c r="G35" s="560"/>
      <c r="H35" s="560">
        <f t="shared" ref="H35:H66" si="1">SUM(B35:G35)</f>
        <v>-0.11467519971784718</v>
      </c>
    </row>
    <row r="36" spans="1:8">
      <c r="A36" s="580"/>
      <c r="B36" s="560">
        <f>60%*'Datastream - Indices'!AV36</f>
        <v>-9.2148662135830048E-2</v>
      </c>
      <c r="C36" s="560">
        <f>0%*'Datastream - Indices'!AW36</f>
        <v>0</v>
      </c>
      <c r="D36" s="560"/>
      <c r="E36" s="560">
        <f>0.375*0.7*'Datastream - Indices'!AY36</f>
        <v>-8.5574999999999991E-3</v>
      </c>
      <c r="F36" s="560"/>
      <c r="G36" s="560"/>
      <c r="H36" s="560">
        <f t="shared" si="1"/>
        <v>-0.10070616213583004</v>
      </c>
    </row>
    <row r="37" spans="1:8">
      <c r="A37" s="580"/>
      <c r="B37" s="560">
        <f>60%*'Datastream - Indices'!AV37</f>
        <v>-8.9468386432266737E-3</v>
      </c>
      <c r="C37" s="560">
        <f>0%*'Datastream - Indices'!AW37</f>
        <v>0</v>
      </c>
      <c r="D37" s="560"/>
      <c r="E37" s="560">
        <f>0.375*0.7*'Datastream - Indices'!AY37</f>
        <v>-1.3649999999999997E-3</v>
      </c>
      <c r="F37" s="560"/>
      <c r="G37" s="560"/>
      <c r="H37" s="560">
        <f t="shared" si="1"/>
        <v>-1.0311838643226674E-2</v>
      </c>
    </row>
    <row r="38" spans="1:8">
      <c r="A38" s="580"/>
      <c r="B38" s="560">
        <f>60%*'Datastream - Indices'!AV38</f>
        <v>-5.3674652570551658E-2</v>
      </c>
      <c r="C38" s="560">
        <f>0%*'Datastream - Indices'!AW38</f>
        <v>0</v>
      </c>
      <c r="D38" s="560"/>
      <c r="E38" s="560">
        <f>0.375*0.7*'Datastream - Indices'!AY38</f>
        <v>4.6724999999999996E-3</v>
      </c>
      <c r="F38" s="560"/>
      <c r="G38" s="560"/>
      <c r="H38" s="560">
        <f t="shared" si="1"/>
        <v>-4.9002152570551655E-2</v>
      </c>
    </row>
    <row r="39" spans="1:8">
      <c r="A39" s="580">
        <v>2007</v>
      </c>
      <c r="B39" s="560">
        <f>60%*'Datastream - Indices'!AV39</f>
        <v>-1.5048937098684611E-2</v>
      </c>
      <c r="C39" s="560">
        <f>0%*'Datastream - Indices'!AW39</f>
        <v>0</v>
      </c>
      <c r="D39" s="560"/>
      <c r="E39" s="560">
        <f>0.375*0.7*'Datastream - Indices'!AY39</f>
        <v>-4.7249999999999988E-4</v>
      </c>
      <c r="F39" s="560"/>
      <c r="G39" s="582"/>
      <c r="H39" s="560">
        <f t="shared" si="1"/>
        <v>-1.5521437098684612E-2</v>
      </c>
    </row>
    <row r="40" spans="1:8">
      <c r="A40" s="580"/>
      <c r="B40" s="560">
        <f>60%*'Datastream - Indices'!AV40</f>
        <v>1.2433716540109423E-2</v>
      </c>
      <c r="C40" s="560">
        <f>0%*'Datastream - Indices'!AW40</f>
        <v>0</v>
      </c>
      <c r="D40" s="560"/>
      <c r="E40" s="560">
        <f>0.375*0.7*'Datastream - Indices'!AY40</f>
        <v>5.9587499999999996E-3</v>
      </c>
      <c r="F40" s="560"/>
      <c r="G40" s="582"/>
      <c r="H40" s="560">
        <f t="shared" si="1"/>
        <v>1.8392466540109422E-2</v>
      </c>
    </row>
    <row r="41" spans="1:8">
      <c r="A41" s="580"/>
      <c r="B41" s="560">
        <f>60%*'Datastream - Indices'!AV41</f>
        <v>4.0904456578380995E-2</v>
      </c>
      <c r="C41" s="560">
        <f>0%*'Datastream - Indices'!AW41</f>
        <v>0</v>
      </c>
      <c r="D41" s="560"/>
      <c r="E41" s="560">
        <f>0.375*0.7*'Datastream - Indices'!AY41</f>
        <v>-1.2599999999999996E-3</v>
      </c>
      <c r="F41" s="560"/>
      <c r="G41" s="582"/>
      <c r="H41" s="560">
        <f t="shared" si="1"/>
        <v>3.9644456578380997E-2</v>
      </c>
    </row>
    <row r="42" spans="1:8">
      <c r="A42" s="580"/>
      <c r="B42" s="560">
        <f>60%*'Datastream - Indices'!AV42</f>
        <v>1.7559815307121886E-2</v>
      </c>
      <c r="C42" s="560">
        <f>0%*'Datastream - Indices'!AW42</f>
        <v>0</v>
      </c>
      <c r="D42" s="560"/>
      <c r="E42" s="560">
        <f>0.375*0.7*'Datastream - Indices'!AY42</f>
        <v>9.7124999999999989E-4</v>
      </c>
      <c r="F42" s="560"/>
      <c r="G42" s="582"/>
      <c r="H42" s="560">
        <f t="shared" si="1"/>
        <v>1.8531065307121886E-2</v>
      </c>
    </row>
    <row r="43" spans="1:8">
      <c r="A43" s="580">
        <v>2006</v>
      </c>
      <c r="B43" s="560">
        <f>60%*'Datastream - Indices'!AV43</f>
        <v>5.1999391819978695E-2</v>
      </c>
      <c r="C43" s="560">
        <f>0%*'Datastream - Indices'!AW43</f>
        <v>0</v>
      </c>
      <c r="D43" s="560"/>
      <c r="E43" s="560">
        <f>0.375*0.7*'Datastream - Indices'!AY43</f>
        <v>-2.1787499999999997E-3</v>
      </c>
      <c r="F43" s="560"/>
      <c r="G43" s="560"/>
      <c r="H43" s="560">
        <f t="shared" si="1"/>
        <v>4.9820641819978695E-2</v>
      </c>
    </row>
    <row r="44" spans="1:8">
      <c r="A44" s="580"/>
      <c r="B44" s="560">
        <f>60%*'Datastream - Indices'!AV44</f>
        <v>2.4827149416794227E-2</v>
      </c>
      <c r="C44" s="560">
        <f>0%*'Datastream - Indices'!AW44</f>
        <v>0</v>
      </c>
      <c r="D44" s="560"/>
      <c r="E44" s="560">
        <f>0.375*0.7*'Datastream - Indices'!AY44</f>
        <v>5.7749999999999989E-4</v>
      </c>
      <c r="F44" s="560"/>
      <c r="G44" s="560"/>
      <c r="H44" s="560">
        <f t="shared" si="1"/>
        <v>2.5404649416794226E-2</v>
      </c>
    </row>
    <row r="45" spans="1:8">
      <c r="A45" s="580"/>
      <c r="B45" s="560">
        <f>60%*'Datastream - Indices'!AV45</f>
        <v>-4.4944997380827875E-3</v>
      </c>
      <c r="C45" s="560">
        <f>0%*'Datastream - Indices'!AW45</f>
        <v>0</v>
      </c>
      <c r="D45" s="560"/>
      <c r="E45" s="560">
        <f>0.375*0.7*'Datastream - Indices'!AY45</f>
        <v>-1.0762499999999999E-3</v>
      </c>
      <c r="F45" s="560"/>
      <c r="G45" s="560"/>
      <c r="H45" s="560">
        <f t="shared" si="1"/>
        <v>-5.5707497380827874E-3</v>
      </c>
    </row>
    <row r="46" spans="1:8">
      <c r="A46" s="580"/>
      <c r="B46" s="560">
        <f>60%*'Datastream - Indices'!AV46</f>
        <v>4.4406312413851311E-2</v>
      </c>
      <c r="C46" s="560">
        <f>0%*'Datastream - Indices'!AW46</f>
        <v>0</v>
      </c>
      <c r="D46" s="560"/>
      <c r="E46" s="560">
        <f>0.375*0.7*'Datastream - Indices'!AY46</f>
        <v>-3.2812499999999994E-3</v>
      </c>
      <c r="F46" s="560"/>
      <c r="G46" s="560"/>
      <c r="H46" s="560">
        <f t="shared" si="1"/>
        <v>4.1125062413851311E-2</v>
      </c>
    </row>
    <row r="47" spans="1:8">
      <c r="A47" s="580">
        <v>2005</v>
      </c>
      <c r="B47" s="560">
        <f>60%*'Datastream - Indices'!AV47</f>
        <v>2.1015547662027654E-2</v>
      </c>
      <c r="C47" s="560">
        <f>0%*'Datastream - Indices'!AW47</f>
        <v>0</v>
      </c>
      <c r="D47" s="560"/>
      <c r="E47" s="560">
        <f>0.375*0.7*'Datastream - Indices'!AY47</f>
        <v>2.1787499999999997E-3</v>
      </c>
      <c r="F47" s="560"/>
      <c r="G47" s="582"/>
      <c r="H47" s="560">
        <f t="shared" si="1"/>
        <v>2.3194297662027654E-2</v>
      </c>
    </row>
    <row r="48" spans="1:8">
      <c r="A48" s="580"/>
      <c r="B48" s="560">
        <f>60%*'Datastream - Indices'!AV48</f>
        <v>4.5379098681532011E-2</v>
      </c>
      <c r="C48" s="560">
        <f>0%*'Datastream - Indices'!AW48</f>
        <v>0</v>
      </c>
      <c r="D48" s="560"/>
      <c r="E48" s="560">
        <f>0.375*0.7*'Datastream - Indices'!AY48</f>
        <v>-2.5462499999999995E-3</v>
      </c>
      <c r="F48" s="560"/>
      <c r="G48" s="582"/>
      <c r="H48" s="560">
        <f t="shared" si="1"/>
        <v>4.2832848681532011E-2</v>
      </c>
    </row>
    <row r="49" spans="1:8">
      <c r="A49" s="580"/>
      <c r="B49" s="560">
        <f>60%*'Datastream - Indices'!AV49</f>
        <v>6.0738350574166995E-3</v>
      </c>
      <c r="C49" s="560">
        <f>0%*'Datastream - Indices'!AW49</f>
        <v>0</v>
      </c>
      <c r="D49" s="560"/>
      <c r="E49" s="560">
        <f>0.375*0.7*'Datastream - Indices'!AY49</f>
        <v>3.9374999999999995E-4</v>
      </c>
      <c r="F49" s="560"/>
      <c r="G49" s="582"/>
      <c r="H49" s="560">
        <f t="shared" si="1"/>
        <v>6.4675850574166995E-3</v>
      </c>
    </row>
    <row r="50" spans="1:8">
      <c r="A50" s="580"/>
      <c r="B50" s="560">
        <f>60%*'Datastream - Indices'!AV50</f>
        <v>-3.9971090092071858E-3</v>
      </c>
      <c r="C50" s="560">
        <f>0%*'Datastream - Indices'!AW50</f>
        <v>0</v>
      </c>
      <c r="D50" s="560"/>
      <c r="E50" s="560">
        <f>0.375*0.7*'Datastream - Indices'!AY50</f>
        <v>-4.1474999999999993E-3</v>
      </c>
      <c r="F50" s="560"/>
      <c r="G50" s="582"/>
      <c r="H50" s="560">
        <f t="shared" si="1"/>
        <v>-8.1446090092071842E-3</v>
      </c>
    </row>
    <row r="51" spans="1:8">
      <c r="A51" s="580">
        <v>2004</v>
      </c>
      <c r="B51" s="560">
        <f>60%*'Datastream - Indices'!AV51</f>
        <v>7.5551938862156873E-2</v>
      </c>
      <c r="C51" s="560">
        <f>0%*'Datastream - Indices'!AW51</f>
        <v>0</v>
      </c>
      <c r="D51" s="560"/>
      <c r="E51" s="560">
        <f>0.375*0.7*'Datastream - Indices'!AY51</f>
        <v>4.1999999999999997E-3</v>
      </c>
      <c r="F51" s="560"/>
      <c r="G51" s="560"/>
      <c r="H51" s="560">
        <f t="shared" si="1"/>
        <v>7.9751938862156868E-2</v>
      </c>
    </row>
    <row r="52" spans="1:8">
      <c r="A52" s="580"/>
      <c r="B52" s="560">
        <f>60%*'Datastream - Indices'!AV52</f>
        <v>-5.0936644916859944E-3</v>
      </c>
      <c r="C52" s="560">
        <f>0%*'Datastream - Indices'!AW52</f>
        <v>0</v>
      </c>
      <c r="D52" s="560"/>
      <c r="E52" s="560">
        <f>0.375*0.7*'Datastream - Indices'!AY52</f>
        <v>2.4149999999999996E-3</v>
      </c>
      <c r="F52" s="560"/>
      <c r="G52" s="560"/>
      <c r="H52" s="560">
        <f t="shared" si="1"/>
        <v>-2.6786644916859947E-3</v>
      </c>
    </row>
    <row r="53" spans="1:8">
      <c r="A53" s="580"/>
      <c r="B53" s="560">
        <f>60%*'Datastream - Indices'!AV53</f>
        <v>4.8804639977366206E-3</v>
      </c>
      <c r="C53" s="560">
        <f>0%*'Datastream - Indices'!AW53</f>
        <v>0</v>
      </c>
      <c r="D53" s="560"/>
      <c r="E53" s="560">
        <f>0.375*0.7*'Datastream - Indices'!AY53</f>
        <v>5.7749999999999989E-4</v>
      </c>
      <c r="F53" s="560"/>
      <c r="G53" s="560"/>
      <c r="H53" s="560">
        <f t="shared" si="1"/>
        <v>5.4579639977366205E-3</v>
      </c>
    </row>
    <row r="54" spans="1:8">
      <c r="A54" s="580"/>
      <c r="B54" s="560">
        <f>60%*'Datastream - Indices'!AV54</f>
        <v>2.3231210050694208E-2</v>
      </c>
      <c r="C54" s="560">
        <f>0%*'Datastream - Indices'!AW54</f>
        <v>0</v>
      </c>
      <c r="D54" s="560"/>
      <c r="E54" s="560">
        <f>0.375*0.7*'Datastream - Indices'!AY54</f>
        <v>3.2812499999999994E-3</v>
      </c>
      <c r="F54" s="560"/>
      <c r="G54" s="560"/>
      <c r="H54" s="560">
        <f t="shared" si="1"/>
        <v>2.6512460050694207E-2</v>
      </c>
    </row>
    <row r="55" spans="1:8">
      <c r="A55" s="580">
        <v>2003</v>
      </c>
      <c r="B55" s="560">
        <f>60%*'Datastream - Indices'!AV55</f>
        <v>8.5289921960224932E-2</v>
      </c>
      <c r="C55" s="560">
        <f>0%*'Datastream - Indices'!AW55</f>
        <v>0</v>
      </c>
      <c r="D55" s="560"/>
      <c r="E55" s="560">
        <f>0.375*0.7*'Datastream - Indices'!AY55</f>
        <v>6.5624999999999989E-3</v>
      </c>
      <c r="F55" s="560"/>
      <c r="G55" s="582"/>
      <c r="H55" s="560">
        <f t="shared" si="1"/>
        <v>9.1852421960224931E-2</v>
      </c>
    </row>
    <row r="56" spans="1:8">
      <c r="A56" s="580"/>
      <c r="B56" s="560">
        <f>60%*'Datastream - Indices'!AV56</f>
        <v>3.6506876752570402E-2</v>
      </c>
      <c r="C56" s="560">
        <f>0%*'Datastream - Indices'!AW56</f>
        <v>0</v>
      </c>
      <c r="D56" s="560"/>
      <c r="E56" s="560">
        <f>0.375*0.7*'Datastream - Indices'!AY56</f>
        <v>1.1943749999999998E-2</v>
      </c>
      <c r="F56" s="560"/>
      <c r="G56" s="582"/>
      <c r="H56" s="560">
        <f t="shared" si="1"/>
        <v>4.8450626752570398E-2</v>
      </c>
    </row>
    <row r="57" spans="1:8">
      <c r="A57" s="580"/>
      <c r="B57" s="560">
        <f>60%*'Datastream - Indices'!AV57</f>
        <v>0.10799369747899162</v>
      </c>
      <c r="C57" s="560">
        <f>0%*'Datastream - Indices'!AW57</f>
        <v>0</v>
      </c>
      <c r="D57" s="560"/>
      <c r="E57" s="560">
        <f>0.375*0.7*'Datastream - Indices'!AY57</f>
        <v>-2.4149999999999996E-3</v>
      </c>
      <c r="F57" s="560"/>
      <c r="G57" s="582"/>
      <c r="H57" s="560">
        <f t="shared" si="1"/>
        <v>0.10557869747899162</v>
      </c>
    </row>
    <row r="58" spans="1:8">
      <c r="A58" s="580"/>
      <c r="B58" s="560">
        <f>60%*'Datastream - Indices'!AV58</f>
        <v>-2.799919887842978E-2</v>
      </c>
      <c r="C58" s="560">
        <f>0%*'Datastream - Indices'!AW58</f>
        <v>0</v>
      </c>
      <c r="D58" s="560"/>
      <c r="E58" s="560">
        <f>0.375*0.7*'Datastream - Indices'!AY58</f>
        <v>1.4962499999999998E-3</v>
      </c>
      <c r="F58" s="560"/>
      <c r="G58" s="582"/>
      <c r="H58" s="560">
        <f t="shared" si="1"/>
        <v>-2.6502948878429779E-2</v>
      </c>
    </row>
    <row r="59" spans="1:8">
      <c r="A59" s="580">
        <v>2002</v>
      </c>
      <c r="B59" s="560">
        <f>60%*'Datastream - Indices'!AV59</f>
        <v>4.125862899341786E-2</v>
      </c>
      <c r="C59" s="560">
        <f>0%*'Datastream - Indices'!AW59</f>
        <v>0</v>
      </c>
      <c r="D59" s="560"/>
      <c r="E59" s="560">
        <f>0.375*0.7*'Datastream - Indices'!AY59</f>
        <v>9.5024999999999988E-3</v>
      </c>
      <c r="F59" s="560"/>
      <c r="G59" s="560"/>
      <c r="H59" s="560">
        <f t="shared" si="1"/>
        <v>5.0761128993417858E-2</v>
      </c>
    </row>
    <row r="60" spans="1:8">
      <c r="A60" s="580"/>
      <c r="B60" s="560">
        <f>60%*'Datastream - Indices'!AV60</f>
        <v>-0.10556951977774838</v>
      </c>
      <c r="C60" s="560">
        <f>0%*'Datastream - Indices'!AW60</f>
        <v>0</v>
      </c>
      <c r="D60" s="560"/>
      <c r="E60" s="560">
        <f>0.375*0.7*'Datastream - Indices'!AY60</f>
        <v>2.5199999999999992E-3</v>
      </c>
      <c r="F60" s="560"/>
      <c r="G60" s="560"/>
      <c r="H60" s="560">
        <f t="shared" si="1"/>
        <v>-0.10304951977774839</v>
      </c>
    </row>
    <row r="61" spans="1:8">
      <c r="A61" s="580"/>
      <c r="B61" s="560">
        <f>60%*'Datastream - Indices'!AV61</f>
        <v>-4.9030168050212604E-2</v>
      </c>
      <c r="C61" s="560">
        <f>0%*'Datastream - Indices'!AW61</f>
        <v>0</v>
      </c>
      <c r="D61" s="560"/>
      <c r="E61" s="560">
        <f>0.375*0.7*'Datastream - Indices'!AY61</f>
        <v>5.8537499999999987E-3</v>
      </c>
      <c r="F61" s="560"/>
      <c r="G61" s="560"/>
      <c r="H61" s="560">
        <f t="shared" si="1"/>
        <v>-4.3176418050212606E-2</v>
      </c>
    </row>
    <row r="62" spans="1:8">
      <c r="A62" s="580"/>
      <c r="B62" s="560">
        <f>60%*'Datastream - Indices'!AV62</f>
        <v>6.2106210621062129E-3</v>
      </c>
      <c r="C62" s="560">
        <f>0%*'Datastream - Indices'!AW62</f>
        <v>0</v>
      </c>
      <c r="D62" s="560"/>
      <c r="E62" s="560">
        <f>0.375*0.7*'Datastream - Indices'!AY62</f>
        <v>-2.0474999999999998E-3</v>
      </c>
      <c r="F62" s="560"/>
      <c r="G62" s="560"/>
      <c r="H62" s="560">
        <f t="shared" si="1"/>
        <v>4.1631210621062131E-3</v>
      </c>
    </row>
    <row r="63" spans="1:8">
      <c r="A63" s="580">
        <v>2001</v>
      </c>
      <c r="B63" s="560">
        <f>60%*'Datastream - Indices'!AV63</f>
        <v>6.2893820910364759E-2</v>
      </c>
      <c r="C63" s="560">
        <f>0%*'Datastream - Indices'!AW63</f>
        <v>0</v>
      </c>
      <c r="D63" s="560"/>
      <c r="E63" s="560">
        <f>0.375*0.7*'Datastream - Indices'!AY63</f>
        <v>-3.4912499999999996E-3</v>
      </c>
      <c r="F63" s="560"/>
      <c r="G63" s="582"/>
      <c r="H63" s="560">
        <f t="shared" si="1"/>
        <v>5.9402570910364758E-2</v>
      </c>
    </row>
    <row r="64" spans="1:8">
      <c r="A64" s="580"/>
      <c r="B64" s="560">
        <f>60%*'Datastream - Indices'!AV64</f>
        <v>-9.1425287356321785E-2</v>
      </c>
      <c r="C64" s="560">
        <f>0%*'Datastream - Indices'!AW64</f>
        <v>0</v>
      </c>
      <c r="D64" s="560"/>
      <c r="E64" s="560">
        <f>0.375*0.7*'Datastream - Indices'!AY64</f>
        <v>6.2999999999999981E-4</v>
      </c>
      <c r="F64" s="560"/>
      <c r="G64" s="582"/>
      <c r="H64" s="560">
        <f t="shared" si="1"/>
        <v>-9.079528735632178E-2</v>
      </c>
    </row>
    <row r="65" spans="1:8">
      <c r="A65" s="580"/>
      <c r="B65" s="560">
        <f>60%*'Datastream - Indices'!AV65</f>
        <v>2.7027027027027025E-2</v>
      </c>
      <c r="C65" s="560">
        <f>0%*'Datastream - Indices'!AW65</f>
        <v>0</v>
      </c>
      <c r="D65" s="560"/>
      <c r="E65" s="560">
        <f>0.375*0.7*'Datastream - Indices'!AY65</f>
        <v>-9.4499999999999977E-4</v>
      </c>
      <c r="F65" s="560"/>
      <c r="G65" s="582"/>
      <c r="H65" s="560">
        <f t="shared" si="1"/>
        <v>2.6082027027027024E-2</v>
      </c>
    </row>
    <row r="66" spans="1:8">
      <c r="A66" s="580"/>
      <c r="B66" s="560">
        <f>60%*'Datastream - Indices'!AV66</f>
        <v>-7.9217348995621065E-2</v>
      </c>
      <c r="C66" s="560">
        <f>0%*'Datastream - Indices'!AW66</f>
        <v>0</v>
      </c>
      <c r="D66" s="560"/>
      <c r="E66" s="560">
        <f>0.375*0.7*'Datastream - Indices'!AY66</f>
        <v>-3.7012499999999992E-3</v>
      </c>
      <c r="F66" s="560"/>
      <c r="G66" s="582"/>
      <c r="H66" s="560">
        <f t="shared" si="1"/>
        <v>-8.2918598995621068E-2</v>
      </c>
    </row>
    <row r="67" spans="1:8">
      <c r="A67" s="580">
        <v>2000</v>
      </c>
      <c r="B67" s="560">
        <f>60%*'Datastream - Indices'!AV67</f>
        <v>-3.8902791770938264E-2</v>
      </c>
      <c r="C67" s="560">
        <f>0%*'Datastream - Indices'!AW67</f>
        <v>0</v>
      </c>
      <c r="D67" s="560"/>
      <c r="E67" s="560">
        <f>0.375*0.7*'Datastream - Indices'!AY67</f>
        <v>6.5887499999999991E-3</v>
      </c>
      <c r="F67" s="560"/>
      <c r="G67" s="560"/>
      <c r="H67" s="560">
        <f t="shared" ref="H67:H78" si="2">SUM(B67:G67)</f>
        <v>-3.2314041770938266E-2</v>
      </c>
    </row>
    <row r="68" spans="1:8">
      <c r="A68" s="580"/>
      <c r="B68" s="560">
        <f>60%*'Datastream - Indices'!AV68</f>
        <v>-1.0517913021265743E-2</v>
      </c>
      <c r="C68" s="560">
        <f>0%*'Datastream - Indices'!AW68</f>
        <v>0</v>
      </c>
      <c r="D68" s="560"/>
      <c r="E68" s="560">
        <f>0.375*0.7*'Datastream - Indices'!AY68</f>
        <v>6.037499999999999E-4</v>
      </c>
      <c r="F68" s="560"/>
      <c r="G68" s="560"/>
      <c r="H68" s="560">
        <f t="shared" si="2"/>
        <v>-9.9141630212657428E-3</v>
      </c>
    </row>
    <row r="69" spans="1:8">
      <c r="A69" s="580"/>
      <c r="B69" s="560">
        <f>60%*'Datastream - Indices'!AV69</f>
        <v>-1.6362281028699167E-2</v>
      </c>
      <c r="C69" s="560">
        <f>0%*'Datastream - Indices'!AW69</f>
        <v>0</v>
      </c>
      <c r="D69" s="560"/>
      <c r="E69" s="560" t="e">
        <f>0.375*0.7*'Datastream - Indices'!AY69</f>
        <v>#N/A</v>
      </c>
      <c r="F69" s="560"/>
      <c r="G69" s="560"/>
      <c r="H69" s="560" t="e">
        <f t="shared" si="2"/>
        <v>#N/A</v>
      </c>
    </row>
    <row r="70" spans="1:8">
      <c r="A70" s="580"/>
      <c r="B70" s="560">
        <f>60%*'Datastream - Indices'!AV70</f>
        <v>1.7412426489388871E-2</v>
      </c>
      <c r="C70" s="560">
        <f>0%*'Datastream - Indices'!AW70</f>
        <v>0</v>
      </c>
      <c r="D70" s="560"/>
      <c r="E70" s="560" t="e">
        <f>0.375*0.7*'Datastream - Indices'!AY70</f>
        <v>#N/A</v>
      </c>
      <c r="F70" s="560"/>
      <c r="G70" s="560"/>
      <c r="H70" s="560" t="e">
        <f t="shared" si="2"/>
        <v>#N/A</v>
      </c>
    </row>
    <row r="71" spans="1:8">
      <c r="A71" s="580">
        <v>1999</v>
      </c>
      <c r="B71" s="560">
        <f>60%*'Datastream - Indices'!AV71</f>
        <v>9.624299966620925E-2</v>
      </c>
      <c r="C71" s="560">
        <f>0%*'Datastream - Indices'!AW71</f>
        <v>0</v>
      </c>
      <c r="D71" s="560"/>
      <c r="E71" s="560" t="e">
        <f>0.375*0.7*'Datastream - Indices'!AY71</f>
        <v>#N/A</v>
      </c>
      <c r="F71" s="560"/>
      <c r="G71" s="560"/>
      <c r="H71" s="560" t="e">
        <f t="shared" si="2"/>
        <v>#N/A</v>
      </c>
    </row>
    <row r="72" spans="1:8">
      <c r="A72" s="580"/>
      <c r="B72" s="560">
        <f>60%*'Datastream - Indices'!AV72</f>
        <v>-1.034407348009918E-2</v>
      </c>
      <c r="C72" s="560">
        <f>0%*'Datastream - Indices'!AW72</f>
        <v>0</v>
      </c>
      <c r="D72" s="560"/>
      <c r="E72" s="560" t="e">
        <f>0.375*0.7*'Datastream - Indices'!AY72</f>
        <v>#N/A</v>
      </c>
      <c r="F72" s="560"/>
      <c r="G72" s="560"/>
      <c r="H72" s="560" t="e">
        <f t="shared" si="2"/>
        <v>#N/A</v>
      </c>
    </row>
    <row r="73" spans="1:8">
      <c r="A73" s="580"/>
      <c r="B73" s="560">
        <f>60%*'Datastream - Indices'!AV73</f>
        <v>3.5533935603428386E-2</v>
      </c>
      <c r="C73" s="560">
        <f>0%*'Datastream - Indices'!AW73</f>
        <v>0</v>
      </c>
      <c r="D73" s="560"/>
      <c r="E73" s="560" t="e">
        <f>0.375*0.7*'Datastream - Indices'!AY73</f>
        <v>#N/A</v>
      </c>
      <c r="F73" s="560"/>
      <c r="G73" s="560"/>
      <c r="H73" s="560" t="e">
        <f t="shared" si="2"/>
        <v>#N/A</v>
      </c>
    </row>
    <row r="74" spans="1:8">
      <c r="A74" s="580"/>
      <c r="B74" s="560">
        <f>60%*'Datastream - Indices'!AV74</f>
        <v>1.6518565534750798E-2</v>
      </c>
      <c r="C74" s="560">
        <f>0%*'Datastream - Indices'!AW74</f>
        <v>0</v>
      </c>
      <c r="D74" s="560"/>
      <c r="E74" s="560" t="e">
        <f>0.375*0.7*'Datastream - Indices'!AY74</f>
        <v>#N/A</v>
      </c>
      <c r="F74" s="560"/>
      <c r="G74" s="560"/>
      <c r="H74" s="560" t="e">
        <f t="shared" si="2"/>
        <v>#N/A</v>
      </c>
    </row>
    <row r="75" spans="1:8">
      <c r="A75" s="580">
        <v>1998</v>
      </c>
      <c r="B75" s="560" t="e">
        <f>60%*'Datastream - Indices'!AV75</f>
        <v>#DIV/0!</v>
      </c>
      <c r="C75" s="560" t="e">
        <f>0%*'Datastream - Indices'!AW75</f>
        <v>#DIV/0!</v>
      </c>
      <c r="D75" s="560"/>
      <c r="E75" s="560" t="e">
        <f>0.375*0.7*'Datastream - Indices'!AY75</f>
        <v>#N/A</v>
      </c>
      <c r="F75" s="560"/>
      <c r="G75" s="560"/>
      <c r="H75" s="560" t="e">
        <f t="shared" si="2"/>
        <v>#DIV/0!</v>
      </c>
    </row>
    <row r="76" spans="1:8">
      <c r="A76" s="580"/>
      <c r="B76" s="560" t="e">
        <f>60%*'Datastream - Indices'!AV76</f>
        <v>#DIV/0!</v>
      </c>
      <c r="C76" s="560" t="e">
        <f>0%*'Datastream - Indices'!AW76</f>
        <v>#DIV/0!</v>
      </c>
      <c r="D76" s="560"/>
      <c r="E76" s="560">
        <f>0.375*0.7*'Datastream - Indices'!AY76</f>
        <v>0</v>
      </c>
      <c r="F76" s="560"/>
      <c r="G76" s="560"/>
      <c r="H76" s="560" t="e">
        <f t="shared" si="2"/>
        <v>#DIV/0!</v>
      </c>
    </row>
    <row r="77" spans="1:8">
      <c r="A77" s="580"/>
      <c r="B77" s="560" t="e">
        <f>60%*'Datastream - Indices'!AV77</f>
        <v>#DIV/0!</v>
      </c>
      <c r="C77" s="560" t="e">
        <f>0%*'Datastream - Indices'!AW77</f>
        <v>#DIV/0!</v>
      </c>
      <c r="D77" s="560"/>
      <c r="E77" s="560">
        <f>0.375*0.7*'Datastream - Indices'!AY77</f>
        <v>0</v>
      </c>
      <c r="F77" s="560"/>
      <c r="G77" s="560"/>
      <c r="H77" s="560" t="e">
        <f t="shared" si="2"/>
        <v>#DIV/0!</v>
      </c>
    </row>
    <row r="78" spans="1:8">
      <c r="A78" s="580"/>
      <c r="B78" s="560" t="e">
        <f>60%*'Datastream - Indices'!AV78</f>
        <v>#DIV/0!</v>
      </c>
      <c r="C78" s="560" t="e">
        <f>0%*'Datastream - Indices'!AW78</f>
        <v>#DIV/0!</v>
      </c>
      <c r="D78" s="560"/>
      <c r="E78" s="560">
        <f>0.375*0.7*'Datastream - Indices'!AY78</f>
        <v>0</v>
      </c>
      <c r="F78" s="560"/>
      <c r="G78" s="560"/>
      <c r="H78" s="560" t="e">
        <f t="shared" si="2"/>
        <v>#DIV/0!</v>
      </c>
    </row>
    <row r="79" spans="1:8">
      <c r="B79" s="583"/>
      <c r="C79" s="583"/>
      <c r="D79" s="583"/>
      <c r="E79" s="583"/>
      <c r="F79" s="583"/>
      <c r="G79" s="583"/>
      <c r="H79" s="583"/>
    </row>
    <row r="80" spans="1:8">
      <c r="B80" s="583"/>
      <c r="C80" s="583"/>
      <c r="D80" s="583"/>
      <c r="E80" s="583"/>
      <c r="F80" s="583"/>
      <c r="G80" s="583"/>
      <c r="H80" s="583"/>
    </row>
    <row r="81" spans="2:8">
      <c r="B81" s="583"/>
      <c r="C81" s="583"/>
      <c r="D81" s="583"/>
      <c r="E81" s="583"/>
      <c r="F81" s="583"/>
      <c r="G81" s="584"/>
      <c r="H81" s="583"/>
    </row>
  </sheetData>
  <mergeCells count="2">
    <mergeCell ref="B1:C1"/>
    <mergeCell ref="D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W106"/>
  <sheetViews>
    <sheetView zoomScale="90" zoomScaleNormal="90" zoomScalePageLayoutView="90" workbookViewId="0">
      <pane xSplit="1" topLeftCell="B1" activePane="topRight" state="frozen"/>
      <selection activeCell="AI66" sqref="AI66"/>
      <selection pane="topRight" activeCell="BO2" sqref="BO2"/>
    </sheetView>
  </sheetViews>
  <sheetFormatPr defaultColWidth="12.42578125" defaultRowHeight="36.75" customHeight="1"/>
  <cols>
    <col min="1" max="1" width="24" style="572" hidden="1" customWidth="1"/>
    <col min="2" max="2" width="5.28515625" style="572" hidden="1" customWidth="1"/>
    <col min="3" max="4" width="16.7109375" style="572" hidden="1" customWidth="1"/>
    <col min="5" max="32" width="19.42578125" style="592" hidden="1" customWidth="1"/>
    <col min="33" max="34" width="0" style="589" hidden="1" customWidth="1"/>
    <col min="35" max="37" width="19" style="572" hidden="1" customWidth="1"/>
    <col min="38" max="53" width="17" style="592" hidden="1" customWidth="1"/>
    <col min="54" max="55" width="14.140625" style="572" hidden="1" customWidth="1"/>
    <col min="56" max="66" width="0" style="572" hidden="1" customWidth="1"/>
    <col min="67" max="74" width="17.42578125" style="572" customWidth="1"/>
    <col min="75" max="16384" width="12.42578125" style="572"/>
  </cols>
  <sheetData>
    <row r="1" spans="1:75" ht="24.75" customHeight="1">
      <c r="BO1" s="1009" t="s">
        <v>655</v>
      </c>
      <c r="BP1" s="1009"/>
      <c r="BQ1" s="1009"/>
      <c r="BR1" s="1009"/>
      <c r="BS1" s="1009"/>
      <c r="BT1" s="1009"/>
      <c r="BU1" s="1009"/>
      <c r="BV1" s="1009"/>
    </row>
    <row r="2" spans="1:75" ht="16.5" customHeight="1">
      <c r="A2" s="551" t="s">
        <v>83</v>
      </c>
      <c r="B2" s="550"/>
      <c r="C2" s="1006" t="s">
        <v>374</v>
      </c>
      <c r="D2" s="1006"/>
      <c r="E2" s="557"/>
      <c r="F2" s="557"/>
      <c r="G2" s="557"/>
      <c r="H2" s="557"/>
      <c r="I2" s="557"/>
      <c r="J2" s="557"/>
      <c r="K2" s="557"/>
      <c r="L2" s="557" t="s">
        <v>650</v>
      </c>
      <c r="M2" s="557"/>
      <c r="N2" s="557"/>
      <c r="O2" s="557"/>
      <c r="P2" s="557"/>
      <c r="Q2" s="557" t="s">
        <v>731</v>
      </c>
      <c r="R2" s="557" t="s">
        <v>731</v>
      </c>
      <c r="S2" s="557" t="s">
        <v>731</v>
      </c>
      <c r="T2" s="557" t="s">
        <v>731</v>
      </c>
      <c r="U2" s="557" t="s">
        <v>700</v>
      </c>
      <c r="V2" s="557" t="s">
        <v>700</v>
      </c>
      <c r="W2" s="557"/>
      <c r="X2" s="557"/>
      <c r="Y2" s="557" t="s">
        <v>485</v>
      </c>
      <c r="Z2" s="557" t="s">
        <v>730</v>
      </c>
      <c r="AA2" s="557"/>
      <c r="AB2" s="557"/>
      <c r="AC2" s="557"/>
      <c r="AD2" s="557"/>
      <c r="AE2" s="557"/>
      <c r="AF2" s="1006" t="s">
        <v>647</v>
      </c>
      <c r="AG2" s="559"/>
      <c r="AH2" s="559"/>
      <c r="AI2" s="587" t="s">
        <v>729</v>
      </c>
      <c r="AJ2" s="1011" t="s">
        <v>728</v>
      </c>
      <c r="AK2" s="1011"/>
      <c r="AL2" s="557"/>
      <c r="AM2" s="557"/>
      <c r="AN2" s="557"/>
      <c r="AO2" s="557"/>
      <c r="AP2" s="557"/>
      <c r="AQ2" s="557"/>
      <c r="AR2" s="557"/>
      <c r="AS2" s="557"/>
      <c r="AT2" s="557"/>
      <c r="AU2" s="557"/>
      <c r="AV2" s="557"/>
      <c r="AW2" s="557"/>
      <c r="AX2" s="557"/>
      <c r="AY2" s="557"/>
      <c r="AZ2" s="557"/>
      <c r="BA2" s="557"/>
      <c r="BD2" s="557" t="s">
        <v>633</v>
      </c>
      <c r="BE2" s="557" t="s">
        <v>727</v>
      </c>
      <c r="BF2" s="557" t="s">
        <v>726</v>
      </c>
      <c r="BG2" s="557" t="s">
        <v>725</v>
      </c>
      <c r="BH2" s="557" t="s">
        <v>724</v>
      </c>
      <c r="BI2" s="557" t="s">
        <v>723</v>
      </c>
      <c r="BJ2" s="557" t="s">
        <v>722</v>
      </c>
      <c r="BK2" s="557" t="s">
        <v>721</v>
      </c>
      <c r="BL2" s="557" t="s">
        <v>720</v>
      </c>
      <c r="BM2" s="557"/>
      <c r="BN2" s="557" t="s">
        <v>647</v>
      </c>
      <c r="BO2" s="616"/>
      <c r="BP2" s="1008" t="s">
        <v>374</v>
      </c>
      <c r="BQ2" s="1008"/>
      <c r="BR2" s="1008" t="s">
        <v>650</v>
      </c>
      <c r="BS2" s="1008"/>
      <c r="BT2" s="1008"/>
      <c r="BU2" s="581" t="s">
        <v>485</v>
      </c>
      <c r="BV2" s="1008" t="s">
        <v>647</v>
      </c>
      <c r="BW2" s="589"/>
    </row>
    <row r="3" spans="1:75" ht="16.5" customHeight="1">
      <c r="A3" s="550" t="s">
        <v>633</v>
      </c>
      <c r="B3" s="557" t="s">
        <v>719</v>
      </c>
      <c r="C3" s="557" t="s">
        <v>653</v>
      </c>
      <c r="D3" s="557" t="s">
        <v>652</v>
      </c>
      <c r="E3" s="557" t="s">
        <v>718</v>
      </c>
      <c r="F3" s="557" t="s">
        <v>717</v>
      </c>
      <c r="G3" s="557" t="s">
        <v>716</v>
      </c>
      <c r="H3" s="557" t="s">
        <v>715</v>
      </c>
      <c r="I3" s="557" t="s">
        <v>714</v>
      </c>
      <c r="J3" s="557" t="s">
        <v>369</v>
      </c>
      <c r="K3" s="557" t="s">
        <v>713</v>
      </c>
      <c r="L3" s="557" t="s">
        <v>712</v>
      </c>
      <c r="M3" s="557" t="s">
        <v>711</v>
      </c>
      <c r="N3" s="557" t="s">
        <v>710</v>
      </c>
      <c r="O3" s="557" t="s">
        <v>709</v>
      </c>
      <c r="P3" s="557" t="s">
        <v>708</v>
      </c>
      <c r="Q3" s="557" t="s">
        <v>707</v>
      </c>
      <c r="R3" s="557" t="s">
        <v>706</v>
      </c>
      <c r="S3" s="557" t="s">
        <v>705</v>
      </c>
      <c r="T3" s="557" t="s">
        <v>704</v>
      </c>
      <c r="U3" s="557" t="s">
        <v>703</v>
      </c>
      <c r="V3" s="557" t="s">
        <v>650</v>
      </c>
      <c r="W3" s="557" t="s">
        <v>702</v>
      </c>
      <c r="X3" s="557" t="s">
        <v>701</v>
      </c>
      <c r="Y3" s="557" t="s">
        <v>700</v>
      </c>
      <c r="Z3" s="557" t="s">
        <v>699</v>
      </c>
      <c r="AA3" s="557" t="s">
        <v>698</v>
      </c>
      <c r="AB3" s="557" t="s">
        <v>697</v>
      </c>
      <c r="AC3" s="557" t="s">
        <v>696</v>
      </c>
      <c r="AD3" s="557" t="s">
        <v>695</v>
      </c>
      <c r="AE3" s="557" t="s">
        <v>694</v>
      </c>
      <c r="AF3" s="1006"/>
      <c r="AG3" s="559"/>
      <c r="AH3" s="559"/>
      <c r="AI3" s="550" t="s">
        <v>633</v>
      </c>
      <c r="AJ3" s="550" t="s">
        <v>693</v>
      </c>
      <c r="AK3" s="550" t="s">
        <v>679</v>
      </c>
      <c r="AL3" s="557" t="s">
        <v>692</v>
      </c>
      <c r="AM3" s="557" t="s">
        <v>691</v>
      </c>
      <c r="AN3" s="557" t="s">
        <v>690</v>
      </c>
      <c r="AO3" s="557" t="s">
        <v>375</v>
      </c>
      <c r="AP3" s="557" t="s">
        <v>689</v>
      </c>
      <c r="AQ3" s="557" t="s">
        <v>688</v>
      </c>
      <c r="AR3" s="557" t="s">
        <v>687</v>
      </c>
      <c r="AS3" s="557" t="s">
        <v>686</v>
      </c>
      <c r="AT3" s="557" t="s">
        <v>685</v>
      </c>
      <c r="AU3" s="557" t="s">
        <v>684</v>
      </c>
      <c r="AV3" s="557" t="s">
        <v>683</v>
      </c>
      <c r="AW3" s="557" t="s">
        <v>682</v>
      </c>
      <c r="AX3" s="557" t="s">
        <v>681</v>
      </c>
      <c r="AY3" s="557" t="s">
        <v>680</v>
      </c>
      <c r="AZ3" s="557" t="s">
        <v>679</v>
      </c>
      <c r="BA3" s="557" t="s">
        <v>647</v>
      </c>
      <c r="BD3" s="550">
        <v>2016</v>
      </c>
      <c r="BE3" s="588">
        <v>0.72</v>
      </c>
      <c r="BF3" s="588"/>
      <c r="BG3" s="588"/>
      <c r="BH3" s="588"/>
      <c r="BI3" s="588"/>
      <c r="BJ3" s="588">
        <v>0.28000000000000003</v>
      </c>
      <c r="BK3" s="588"/>
      <c r="BL3" s="588"/>
      <c r="BM3" s="588"/>
      <c r="BN3" s="588">
        <f>SUM(BE3:BM3)</f>
        <v>1</v>
      </c>
      <c r="BO3" s="580" t="s">
        <v>633</v>
      </c>
      <c r="BP3" s="581" t="s">
        <v>653</v>
      </c>
      <c r="BQ3" s="581" t="s">
        <v>652</v>
      </c>
      <c r="BR3" s="581" t="s">
        <v>645</v>
      </c>
      <c r="BS3" s="581" t="s">
        <v>367</v>
      </c>
      <c r="BT3" s="581" t="s">
        <v>368</v>
      </c>
      <c r="BU3" s="581"/>
      <c r="BV3" s="1008"/>
      <c r="BW3" s="589"/>
    </row>
    <row r="4" spans="1:75" ht="16.5" customHeight="1">
      <c r="A4" s="550">
        <v>2016</v>
      </c>
      <c r="B4" s="566"/>
      <c r="C4" s="566">
        <f>SUM(G4:J4)+X4+W4+E4+F4+B4</f>
        <v>0.62</v>
      </c>
      <c r="D4" s="566">
        <f>SUM(K4)</f>
        <v>0</v>
      </c>
      <c r="E4" s="588">
        <v>0.41</v>
      </c>
      <c r="F4" s="588">
        <v>0.21</v>
      </c>
      <c r="G4" s="588"/>
      <c r="H4" s="588"/>
      <c r="I4" s="588"/>
      <c r="J4" s="588"/>
      <c r="K4" s="588"/>
      <c r="L4" s="588">
        <f>SUM(M4:V4)</f>
        <v>0.27</v>
      </c>
      <c r="M4" s="588"/>
      <c r="N4" s="588"/>
      <c r="O4" s="588"/>
      <c r="P4" s="588">
        <v>0.27</v>
      </c>
      <c r="Q4" s="588"/>
      <c r="R4" s="588"/>
      <c r="S4" s="588"/>
      <c r="T4" s="588"/>
      <c r="U4" s="588"/>
      <c r="V4" s="588"/>
      <c r="W4" s="588"/>
      <c r="X4" s="588"/>
      <c r="Y4" s="588">
        <f>AD4</f>
        <v>0</v>
      </c>
      <c r="Z4" s="588">
        <f>AA4+AC4+AE4</f>
        <v>-0.12000000000000001</v>
      </c>
      <c r="AA4" s="588">
        <v>0.08</v>
      </c>
      <c r="AB4" s="588">
        <v>0.23</v>
      </c>
      <c r="AC4" s="588"/>
      <c r="AD4" s="588"/>
      <c r="AE4" s="588">
        <v>-0.2</v>
      </c>
      <c r="AF4" s="588">
        <f>C4+D4+L4+Z4+AB4+Y4</f>
        <v>1</v>
      </c>
      <c r="AI4" s="550">
        <v>2016</v>
      </c>
      <c r="AJ4" s="590">
        <f>SUM(AL4:AX4)</f>
        <v>0.85</v>
      </c>
      <c r="AK4" s="590">
        <f>SUM(AY4:AZ4)</f>
        <v>0.15</v>
      </c>
      <c r="AL4" s="588">
        <v>0.53</v>
      </c>
      <c r="AM4" s="588"/>
      <c r="AN4" s="588"/>
      <c r="AO4" s="588"/>
      <c r="AP4" s="588"/>
      <c r="AQ4" s="588">
        <v>0.23</v>
      </c>
      <c r="AR4" s="588"/>
      <c r="AS4" s="588"/>
      <c r="AT4" s="588"/>
      <c r="AU4" s="588"/>
      <c r="AV4" s="588"/>
      <c r="AW4" s="588">
        <v>0.09</v>
      </c>
      <c r="AX4" s="588"/>
      <c r="AY4" s="588"/>
      <c r="AZ4" s="588">
        <v>0.15</v>
      </c>
      <c r="BA4" s="588">
        <f>SUM(AL4:AZ4)</f>
        <v>1</v>
      </c>
      <c r="BD4" s="550">
        <v>2015</v>
      </c>
      <c r="BE4" s="591">
        <v>0.55000000000000004</v>
      </c>
      <c r="BF4" s="591"/>
      <c r="BG4" s="591">
        <v>0.1</v>
      </c>
      <c r="BH4" s="591">
        <v>0.05</v>
      </c>
      <c r="BI4" s="591"/>
      <c r="BJ4" s="591">
        <v>0.3</v>
      </c>
      <c r="BK4" s="591"/>
      <c r="BL4" s="591"/>
      <c r="BM4" s="591"/>
      <c r="BN4" s="591">
        <f>SUM(BE4:BM4)</f>
        <v>1</v>
      </c>
      <c r="BO4" s="580">
        <v>2016</v>
      </c>
      <c r="BP4" s="693">
        <f>70%*'Datastream - Indices'!AV3</f>
        <v>1.3138066433195367E-2</v>
      </c>
      <c r="BQ4" s="693">
        <f>5%*'Datastream - Indices'!AW3</f>
        <v>-2.0419096700637798E-3</v>
      </c>
      <c r="BR4" s="694">
        <f>0%</f>
        <v>0</v>
      </c>
      <c r="BS4" s="694">
        <f>(0.25)*'Datastream - Indices'!AY3</f>
        <v>4.975E-4</v>
      </c>
      <c r="BT4" s="694">
        <f>0%</f>
        <v>0</v>
      </c>
      <c r="BU4" s="694">
        <f>0%</f>
        <v>0</v>
      </c>
      <c r="BV4" s="694">
        <f>SUM(BP4:BS4)</f>
        <v>1.1593656763131586E-2</v>
      </c>
    </row>
    <row r="5" spans="1:75" ht="16.5" customHeight="1">
      <c r="A5" s="550"/>
      <c r="B5" s="566"/>
      <c r="C5" s="566"/>
      <c r="D5" s="566"/>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I5" s="550"/>
      <c r="AJ5" s="590"/>
      <c r="AK5" s="590"/>
      <c r="AL5" s="588"/>
      <c r="AM5" s="588"/>
      <c r="AN5" s="588"/>
      <c r="AO5" s="588"/>
      <c r="AP5" s="588"/>
      <c r="AQ5" s="588"/>
      <c r="AR5" s="588"/>
      <c r="AS5" s="588"/>
      <c r="AT5" s="588"/>
      <c r="AU5" s="588"/>
      <c r="AV5" s="588"/>
      <c r="AW5" s="588"/>
      <c r="AX5" s="588"/>
      <c r="AY5" s="588"/>
      <c r="AZ5" s="588"/>
      <c r="BA5" s="588"/>
      <c r="BD5" s="550"/>
      <c r="BE5" s="591"/>
      <c r="BF5" s="591"/>
      <c r="BG5" s="591"/>
      <c r="BH5" s="591"/>
      <c r="BI5" s="591"/>
      <c r="BJ5" s="591"/>
      <c r="BK5" s="591"/>
      <c r="BL5" s="591"/>
      <c r="BM5" s="591"/>
      <c r="BN5" s="591"/>
      <c r="BO5" s="580"/>
      <c r="BP5" s="693">
        <f>70%*'Datastream - Indices'!AV4</f>
        <v>3.790133124510571E-2</v>
      </c>
      <c r="BQ5" s="693">
        <f>5%*'Datastream - Indices'!AW4</f>
        <v>4.5769174458000009E-3</v>
      </c>
      <c r="BR5" s="694">
        <f>0%</f>
        <v>0</v>
      </c>
      <c r="BS5" s="694">
        <f>(0.25)*'Datastream - Indices'!AY4</f>
        <v>-2.9999999999999997E-4</v>
      </c>
      <c r="BT5" s="694">
        <f>0%</f>
        <v>0</v>
      </c>
      <c r="BU5" s="694">
        <f>0%</f>
        <v>0</v>
      </c>
      <c r="BV5" s="694">
        <f>SUM(BP5:BS5)</f>
        <v>4.2178248690905709E-2</v>
      </c>
    </row>
    <row r="6" spans="1:75" ht="16.5" customHeight="1">
      <c r="A6" s="550"/>
      <c r="B6" s="566"/>
      <c r="C6" s="566"/>
      <c r="D6" s="566"/>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I6" s="550"/>
      <c r="AJ6" s="590"/>
      <c r="AK6" s="590"/>
      <c r="AL6" s="588"/>
      <c r="AM6" s="588"/>
      <c r="AN6" s="588"/>
      <c r="AO6" s="588"/>
      <c r="AP6" s="588"/>
      <c r="AQ6" s="588"/>
      <c r="AR6" s="588"/>
      <c r="AS6" s="588"/>
      <c r="AT6" s="588"/>
      <c r="AU6" s="588"/>
      <c r="AV6" s="588"/>
      <c r="AW6" s="588"/>
      <c r="AX6" s="588"/>
      <c r="AY6" s="588"/>
      <c r="AZ6" s="588"/>
      <c r="BA6" s="588"/>
      <c r="BD6" s="550"/>
      <c r="BE6" s="591"/>
      <c r="BF6" s="591"/>
      <c r="BG6" s="591"/>
      <c r="BH6" s="591"/>
      <c r="BI6" s="591"/>
      <c r="BJ6" s="591"/>
      <c r="BK6" s="591"/>
      <c r="BL6" s="591"/>
      <c r="BM6" s="591"/>
      <c r="BN6" s="591"/>
      <c r="BO6" s="580"/>
      <c r="BP6" s="693">
        <f>70%*'Datastream - Indices'!AV5</f>
        <v>8.3086725205776639E-3</v>
      </c>
      <c r="BQ6" s="693">
        <f>5%*'Datastream - Indices'!AW5</f>
        <v>3.9868749034411031E-4</v>
      </c>
      <c r="BR6" s="694">
        <f>0%</f>
        <v>0</v>
      </c>
      <c r="BS6" s="694">
        <f>(0.25)*'Datastream - Indices'!AY5</f>
        <v>6.4375000000000005E-3</v>
      </c>
      <c r="BT6" s="694">
        <f>0%</f>
        <v>0</v>
      </c>
      <c r="BU6" s="694">
        <f>0%</f>
        <v>0</v>
      </c>
      <c r="BV6" s="694">
        <f>SUM(BP6:BS6)</f>
        <v>1.5144860010921775E-2</v>
      </c>
    </row>
    <row r="7" spans="1:75" ht="16.5" customHeight="1">
      <c r="A7" s="550"/>
      <c r="B7" s="566"/>
      <c r="C7" s="566"/>
      <c r="D7" s="566"/>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I7" s="550"/>
      <c r="AJ7" s="590"/>
      <c r="AK7" s="590"/>
      <c r="AL7" s="588"/>
      <c r="AM7" s="588"/>
      <c r="AN7" s="588"/>
      <c r="AO7" s="588"/>
      <c r="AP7" s="588"/>
      <c r="AQ7" s="588"/>
      <c r="AR7" s="588"/>
      <c r="AS7" s="588"/>
      <c r="AT7" s="588"/>
      <c r="AU7" s="588"/>
      <c r="AV7" s="588"/>
      <c r="AW7" s="588"/>
      <c r="AX7" s="588"/>
      <c r="AY7" s="588"/>
      <c r="AZ7" s="588"/>
      <c r="BA7" s="588"/>
      <c r="BD7" s="550"/>
      <c r="BE7" s="591"/>
      <c r="BF7" s="591"/>
      <c r="BG7" s="591"/>
      <c r="BH7" s="591"/>
      <c r="BI7" s="591"/>
      <c r="BJ7" s="591"/>
      <c r="BK7" s="591"/>
      <c r="BL7" s="591"/>
      <c r="BM7" s="591"/>
      <c r="BN7" s="591"/>
      <c r="BO7" s="580"/>
      <c r="BP7" s="693">
        <f>70%*'Datastream - Indices'!AV6</f>
        <v>-4.6380090497746807E-4</v>
      </c>
      <c r="BQ7" s="693">
        <f>5%*'Datastream - Indices'!AW6</f>
        <v>2.8774074923062654E-3</v>
      </c>
      <c r="BR7" s="694">
        <f>0%</f>
        <v>0</v>
      </c>
      <c r="BS7" s="694">
        <f>(0.25)*'Datastream - Indices'!AY6</f>
        <v>8.2675000000000005E-3</v>
      </c>
      <c r="BT7" s="694">
        <f>0%</f>
        <v>0</v>
      </c>
      <c r="BU7" s="694">
        <f>0%</f>
        <v>0</v>
      </c>
      <c r="BV7" s="694">
        <f>SUM(BP7:BS7)</f>
        <v>1.0681106587328798E-2</v>
      </c>
    </row>
    <row r="8" spans="1:75" ht="16.5" customHeight="1">
      <c r="A8" s="550">
        <v>2015</v>
      </c>
      <c r="B8" s="593"/>
      <c r="C8" s="566">
        <f>SUM(G8:J8)+X8+W8+E8+F8+B8</f>
        <v>0.65</v>
      </c>
      <c r="D8" s="566">
        <f>SUM(K8)</f>
        <v>0</v>
      </c>
      <c r="E8" s="591"/>
      <c r="F8" s="591"/>
      <c r="G8" s="591"/>
      <c r="H8" s="591"/>
      <c r="I8" s="591"/>
      <c r="J8" s="591">
        <v>0.65</v>
      </c>
      <c r="K8" s="591"/>
      <c r="L8" s="588">
        <f>SUM(M8:V8)</f>
        <v>0.35</v>
      </c>
      <c r="M8" s="591">
        <v>0.35</v>
      </c>
      <c r="N8" s="591"/>
      <c r="O8" s="591"/>
      <c r="P8" s="591"/>
      <c r="Q8" s="591"/>
      <c r="R8" s="591"/>
      <c r="S8" s="591"/>
      <c r="T8" s="591"/>
      <c r="U8" s="591"/>
      <c r="V8" s="591"/>
      <c r="W8" s="591"/>
      <c r="X8" s="591"/>
      <c r="Y8" s="588">
        <f>AD8</f>
        <v>0</v>
      </c>
      <c r="Z8" s="588">
        <f>AA8+AC8+AE8</f>
        <v>0</v>
      </c>
      <c r="AA8" s="591"/>
      <c r="AB8" s="591"/>
      <c r="AC8" s="591"/>
      <c r="AD8" s="591"/>
      <c r="AE8" s="591"/>
      <c r="AF8" s="588">
        <f>C8+D8+L8+Z8+AB8+Y8</f>
        <v>1</v>
      </c>
      <c r="AI8" s="550">
        <v>2015</v>
      </c>
      <c r="AJ8" s="590">
        <f>SUM(AL8:AX8)</f>
        <v>0</v>
      </c>
      <c r="AK8" s="590">
        <f>SUM(AY8:AZ8)</f>
        <v>0</v>
      </c>
      <c r="AL8" s="591"/>
      <c r="AM8" s="591"/>
      <c r="AN8" s="591"/>
      <c r="AO8" s="591"/>
      <c r="AP8" s="591"/>
      <c r="AQ8" s="591"/>
      <c r="AR8" s="591"/>
      <c r="AS8" s="591"/>
      <c r="AT8" s="591"/>
      <c r="AU8" s="591"/>
      <c r="AV8" s="591"/>
      <c r="AW8" s="591"/>
      <c r="AX8" s="591"/>
      <c r="AY8" s="591"/>
      <c r="AZ8" s="591"/>
      <c r="BA8" s="591">
        <f>SUM(AL8:AZ8)</f>
        <v>0</v>
      </c>
      <c r="BD8" s="550">
        <v>2014</v>
      </c>
      <c r="BE8" s="588"/>
      <c r="BF8" s="588"/>
      <c r="BG8" s="588"/>
      <c r="BH8" s="588"/>
      <c r="BI8" s="588"/>
      <c r="BJ8" s="588"/>
      <c r="BK8" s="588"/>
      <c r="BL8" s="588"/>
      <c r="BM8" s="588"/>
      <c r="BN8" s="588">
        <f>SUM(BE8:BM8)</f>
        <v>0</v>
      </c>
      <c r="BO8" s="617">
        <v>2015</v>
      </c>
      <c r="BP8" s="566">
        <f>60%*'Datastream - Indices'!AV7</f>
        <v>3.2342672230264928E-2</v>
      </c>
      <c r="BQ8" s="566">
        <f>5%*'Datastream - Indices'!AW7</f>
        <v>3.6557581414771488E-4</v>
      </c>
      <c r="BR8" s="588">
        <f>0%</f>
        <v>0</v>
      </c>
      <c r="BS8" s="588">
        <f>(0.3+0.05)*'Datastream - Indices'!AY7</f>
        <v>-9.4149999999999995E-4</v>
      </c>
      <c r="BT8" s="588">
        <f>0%</f>
        <v>0</v>
      </c>
      <c r="BU8" s="588">
        <f>0%</f>
        <v>0</v>
      </c>
      <c r="BV8" s="588">
        <f t="shared" ref="BV8:BV47" si="0">SUM(BP8:BS8)</f>
        <v>3.1766748044412645E-2</v>
      </c>
    </row>
    <row r="9" spans="1:75" ht="16.5" customHeight="1">
      <c r="A9" s="550"/>
      <c r="B9" s="593"/>
      <c r="C9" s="566"/>
      <c r="D9" s="566"/>
      <c r="E9" s="591"/>
      <c r="F9" s="591"/>
      <c r="G9" s="591"/>
      <c r="H9" s="591"/>
      <c r="I9" s="591"/>
      <c r="J9" s="591"/>
      <c r="K9" s="591"/>
      <c r="L9" s="588"/>
      <c r="M9" s="591"/>
      <c r="N9" s="591"/>
      <c r="O9" s="591"/>
      <c r="P9" s="591"/>
      <c r="Q9" s="591"/>
      <c r="R9" s="591"/>
      <c r="S9" s="591"/>
      <c r="T9" s="591"/>
      <c r="U9" s="591"/>
      <c r="V9" s="591"/>
      <c r="W9" s="591"/>
      <c r="X9" s="591"/>
      <c r="Y9" s="588"/>
      <c r="Z9" s="588"/>
      <c r="AA9" s="591"/>
      <c r="AB9" s="591"/>
      <c r="AC9" s="591"/>
      <c r="AD9" s="591"/>
      <c r="AE9" s="591"/>
      <c r="AF9" s="588"/>
      <c r="AI9" s="550"/>
      <c r="AJ9" s="590"/>
      <c r="AK9" s="590"/>
      <c r="AL9" s="591"/>
      <c r="AM9" s="591"/>
      <c r="AN9" s="591"/>
      <c r="AO9" s="591"/>
      <c r="AP9" s="591"/>
      <c r="AQ9" s="591"/>
      <c r="AR9" s="591"/>
      <c r="AS9" s="591"/>
      <c r="AT9" s="591"/>
      <c r="AU9" s="591"/>
      <c r="AV9" s="591"/>
      <c r="AW9" s="591"/>
      <c r="AX9" s="591"/>
      <c r="AY9" s="591"/>
      <c r="AZ9" s="591"/>
      <c r="BA9" s="591"/>
      <c r="BD9" s="550"/>
      <c r="BE9" s="588"/>
      <c r="BF9" s="588"/>
      <c r="BG9" s="588"/>
      <c r="BH9" s="588"/>
      <c r="BI9" s="588"/>
      <c r="BJ9" s="588"/>
      <c r="BK9" s="588"/>
      <c r="BL9" s="588"/>
      <c r="BM9" s="588"/>
      <c r="BN9" s="588"/>
      <c r="BO9" s="617"/>
      <c r="BP9" s="566">
        <f>60%*'Datastream - Indices'!AV8</f>
        <v>-5.1424033385758176E-2</v>
      </c>
      <c r="BQ9" s="566">
        <f>5%*'Datastream - Indices'!AW8</f>
        <v>-8.8901483690013057E-3</v>
      </c>
      <c r="BR9" s="588">
        <f>0%</f>
        <v>0</v>
      </c>
      <c r="BS9" s="588">
        <f>(0.3+0.05)*'Datastream - Indices'!AY8</f>
        <v>-3.2550000000000001E-3</v>
      </c>
      <c r="BT9" s="588">
        <f>0%</f>
        <v>0</v>
      </c>
      <c r="BU9" s="588">
        <f>0%</f>
        <v>0</v>
      </c>
      <c r="BV9" s="588">
        <f t="shared" si="0"/>
        <v>-6.356918175475948E-2</v>
      </c>
    </row>
    <row r="10" spans="1:75" ht="16.5" customHeight="1">
      <c r="A10" s="550"/>
      <c r="B10" s="593"/>
      <c r="C10" s="566"/>
      <c r="D10" s="566"/>
      <c r="E10" s="591"/>
      <c r="F10" s="591"/>
      <c r="G10" s="591"/>
      <c r="H10" s="591"/>
      <c r="I10" s="591"/>
      <c r="J10" s="591"/>
      <c r="K10" s="591"/>
      <c r="L10" s="588"/>
      <c r="M10" s="591"/>
      <c r="N10" s="591"/>
      <c r="O10" s="591"/>
      <c r="P10" s="591"/>
      <c r="Q10" s="591"/>
      <c r="R10" s="591"/>
      <c r="S10" s="591"/>
      <c r="T10" s="591"/>
      <c r="U10" s="591"/>
      <c r="V10" s="591"/>
      <c r="W10" s="591"/>
      <c r="X10" s="591"/>
      <c r="Y10" s="588"/>
      <c r="Z10" s="588"/>
      <c r="AA10" s="591"/>
      <c r="AB10" s="591"/>
      <c r="AC10" s="591"/>
      <c r="AD10" s="591"/>
      <c r="AE10" s="591"/>
      <c r="AF10" s="588"/>
      <c r="AI10" s="550"/>
      <c r="AJ10" s="590"/>
      <c r="AK10" s="590"/>
      <c r="AL10" s="591"/>
      <c r="AM10" s="591"/>
      <c r="AN10" s="591"/>
      <c r="AO10" s="591"/>
      <c r="AP10" s="591"/>
      <c r="AQ10" s="591"/>
      <c r="AR10" s="591"/>
      <c r="AS10" s="591"/>
      <c r="AT10" s="591"/>
      <c r="AU10" s="591"/>
      <c r="AV10" s="591"/>
      <c r="AW10" s="591"/>
      <c r="AX10" s="591"/>
      <c r="AY10" s="591"/>
      <c r="AZ10" s="591"/>
      <c r="BA10" s="591"/>
      <c r="BD10" s="550"/>
      <c r="BE10" s="588"/>
      <c r="BF10" s="588"/>
      <c r="BG10" s="588"/>
      <c r="BH10" s="588"/>
      <c r="BI10" s="588"/>
      <c r="BJ10" s="588"/>
      <c r="BK10" s="588"/>
      <c r="BL10" s="588"/>
      <c r="BM10" s="588"/>
      <c r="BN10" s="588"/>
      <c r="BO10" s="617"/>
      <c r="BP10" s="566">
        <f>60%*'Datastream - Indices'!AV9</f>
        <v>3.7322553351509134E-3</v>
      </c>
      <c r="BQ10" s="566">
        <f>5%*'Datastream - Indices'!AW9</f>
        <v>4.0827307184445303E-4</v>
      </c>
      <c r="BR10" s="588">
        <f>0%</f>
        <v>0</v>
      </c>
      <c r="BS10" s="588">
        <f>(0.3+0.05)*'Datastream - Indices'!AY9</f>
        <v>-4.9769999999999997E-3</v>
      </c>
      <c r="BT10" s="588">
        <f>0%</f>
        <v>0</v>
      </c>
      <c r="BU10" s="588">
        <f>0%</f>
        <v>0</v>
      </c>
      <c r="BV10" s="588">
        <f t="shared" si="0"/>
        <v>-8.3647159300463333E-4</v>
      </c>
    </row>
    <row r="11" spans="1:75" ht="16.5" customHeight="1">
      <c r="A11" s="550"/>
      <c r="B11" s="593"/>
      <c r="C11" s="566"/>
      <c r="D11" s="566"/>
      <c r="E11" s="591"/>
      <c r="F11" s="591"/>
      <c r="G11" s="591"/>
      <c r="H11" s="591"/>
      <c r="I11" s="591"/>
      <c r="J11" s="591"/>
      <c r="K11" s="591"/>
      <c r="L11" s="588"/>
      <c r="M11" s="591"/>
      <c r="N11" s="591"/>
      <c r="O11" s="591"/>
      <c r="P11" s="591"/>
      <c r="Q11" s="591"/>
      <c r="R11" s="591"/>
      <c r="S11" s="591"/>
      <c r="T11" s="591"/>
      <c r="U11" s="591"/>
      <c r="V11" s="591"/>
      <c r="W11" s="591"/>
      <c r="X11" s="591"/>
      <c r="Y11" s="588"/>
      <c r="Z11" s="588"/>
      <c r="AA11" s="591"/>
      <c r="AB11" s="591"/>
      <c r="AC11" s="591"/>
      <c r="AD11" s="591"/>
      <c r="AE11" s="591"/>
      <c r="AF11" s="588"/>
      <c r="AI11" s="550"/>
      <c r="AJ11" s="590"/>
      <c r="AK11" s="590"/>
      <c r="AL11" s="591"/>
      <c r="AM11" s="591"/>
      <c r="AN11" s="591"/>
      <c r="AO11" s="591"/>
      <c r="AP11" s="591"/>
      <c r="AQ11" s="591"/>
      <c r="AR11" s="591"/>
      <c r="AS11" s="591"/>
      <c r="AT11" s="591"/>
      <c r="AU11" s="591"/>
      <c r="AV11" s="591"/>
      <c r="AW11" s="591"/>
      <c r="AX11" s="591"/>
      <c r="AY11" s="591"/>
      <c r="AZ11" s="591"/>
      <c r="BA11" s="591"/>
      <c r="BD11" s="550"/>
      <c r="BE11" s="588"/>
      <c r="BF11" s="588"/>
      <c r="BG11" s="588"/>
      <c r="BH11" s="588"/>
      <c r="BI11" s="588"/>
      <c r="BJ11" s="588"/>
      <c r="BK11" s="588"/>
      <c r="BL11" s="588"/>
      <c r="BM11" s="588"/>
      <c r="BN11" s="588"/>
      <c r="BO11" s="617"/>
      <c r="BP11" s="566">
        <f>60%*'Datastream - Indices'!AV10</f>
        <v>1.7204197089115577E-2</v>
      </c>
      <c r="BQ11" s="566">
        <f>5%*'Datastream - Indices'!AW10</f>
        <v>1.1402394864770205E-3</v>
      </c>
      <c r="BR11" s="588">
        <f>0%</f>
        <v>0</v>
      </c>
      <c r="BS11" s="588">
        <f>(0.3+0.05)*'Datastream - Indices'!AY10</f>
        <v>-2.6249999999999997E-3</v>
      </c>
      <c r="BT11" s="588">
        <f>0%</f>
        <v>0</v>
      </c>
      <c r="BU11" s="588">
        <f>0%</f>
        <v>0</v>
      </c>
      <c r="BV11" s="588">
        <f t="shared" si="0"/>
        <v>1.5719436575592598E-2</v>
      </c>
    </row>
    <row r="12" spans="1:75" ht="16.5" customHeight="1">
      <c r="A12" s="550">
        <v>2014</v>
      </c>
      <c r="B12" s="566"/>
      <c r="C12" s="566">
        <f>SUM(G12:J12)+X12+W12+E12+F12+B12</f>
        <v>0.65</v>
      </c>
      <c r="D12" s="566">
        <f>SUM(K12)</f>
        <v>0</v>
      </c>
      <c r="E12" s="588"/>
      <c r="F12" s="588"/>
      <c r="G12" s="588">
        <v>0.1</v>
      </c>
      <c r="H12" s="588"/>
      <c r="I12" s="588">
        <v>0.55000000000000004</v>
      </c>
      <c r="J12" s="588"/>
      <c r="K12" s="588"/>
      <c r="L12" s="588">
        <f>SUM(M12:V12)</f>
        <v>0.35</v>
      </c>
      <c r="M12" s="588"/>
      <c r="N12" s="588">
        <v>0.05</v>
      </c>
      <c r="O12" s="588"/>
      <c r="P12" s="588"/>
      <c r="Q12" s="588"/>
      <c r="R12" s="588">
        <v>0.3</v>
      </c>
      <c r="S12" s="588"/>
      <c r="T12" s="588"/>
      <c r="U12" s="588"/>
      <c r="V12" s="588"/>
      <c r="W12" s="588"/>
      <c r="X12" s="588"/>
      <c r="Y12" s="588">
        <f>AD12</f>
        <v>0</v>
      </c>
      <c r="Z12" s="588">
        <f>AA12+AC12+AE12</f>
        <v>0</v>
      </c>
      <c r="AA12" s="588"/>
      <c r="AB12" s="588"/>
      <c r="AC12" s="588"/>
      <c r="AD12" s="588"/>
      <c r="AE12" s="588"/>
      <c r="AF12" s="588">
        <f>C12+D12+L12+Z12+AB12+Y12</f>
        <v>1</v>
      </c>
      <c r="AI12" s="550">
        <v>2014</v>
      </c>
      <c r="AJ12" s="590">
        <f>SUM(AL12:AX12)</f>
        <v>0.94600000000000017</v>
      </c>
      <c r="AK12" s="590">
        <f>SUM(AY12:AZ12)</f>
        <v>5.3999999999999999E-2</v>
      </c>
      <c r="AL12" s="588"/>
      <c r="AM12" s="588"/>
      <c r="AN12" s="588">
        <v>0.29599999999999999</v>
      </c>
      <c r="AO12" s="588">
        <v>0.39900000000000002</v>
      </c>
      <c r="AP12" s="588"/>
      <c r="AQ12" s="588"/>
      <c r="AR12" s="588"/>
      <c r="AS12" s="588">
        <v>0.115</v>
      </c>
      <c r="AT12" s="588">
        <v>4.4999999999999998E-2</v>
      </c>
      <c r="AU12" s="588">
        <v>1.4E-2</v>
      </c>
      <c r="AV12" s="588">
        <v>1.6E-2</v>
      </c>
      <c r="AW12" s="588"/>
      <c r="AX12" s="588">
        <v>6.0999999999999999E-2</v>
      </c>
      <c r="AY12" s="588">
        <v>5.3999999999999999E-2</v>
      </c>
      <c r="AZ12" s="588"/>
      <c r="BA12" s="588">
        <f>SUM(AL12:AZ12)</f>
        <v>1.0000000000000002</v>
      </c>
      <c r="BD12" s="550">
        <v>2013</v>
      </c>
      <c r="BE12" s="591"/>
      <c r="BF12" s="591"/>
      <c r="BG12" s="591"/>
      <c r="BH12" s="591"/>
      <c r="BI12" s="591"/>
      <c r="BJ12" s="591"/>
      <c r="BK12" s="591"/>
      <c r="BL12" s="591"/>
      <c r="BM12" s="591"/>
      <c r="BN12" s="591">
        <f>SUM(BE12:BM12)</f>
        <v>0</v>
      </c>
      <c r="BO12" s="580">
        <v>2014</v>
      </c>
      <c r="BP12" s="566">
        <f>60%*'Datastream - Indices'!AV11</f>
        <v>6.8863202856258602E-3</v>
      </c>
      <c r="BQ12" s="566">
        <f>5%*'Datastream - Indices'!AW11</f>
        <v>-2.2204023879189103E-3</v>
      </c>
      <c r="BR12" s="588">
        <f>0%</f>
        <v>0</v>
      </c>
      <c r="BS12" s="588">
        <f>(0.3+0.05)*'Datastream - Indices'!AY11</f>
        <v>-4.4099999999999999E-3</v>
      </c>
      <c r="BT12" s="588">
        <f>0%</f>
        <v>0</v>
      </c>
      <c r="BU12" s="588">
        <f>0%</f>
        <v>0</v>
      </c>
      <c r="BV12" s="588">
        <f t="shared" si="0"/>
        <v>2.5591789770695005E-4</v>
      </c>
    </row>
    <row r="13" spans="1:75" ht="16.5" customHeight="1">
      <c r="A13" s="550"/>
      <c r="B13" s="566"/>
      <c r="C13" s="566"/>
      <c r="D13" s="566"/>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I13" s="550"/>
      <c r="AJ13" s="590"/>
      <c r="AK13" s="590"/>
      <c r="AL13" s="588"/>
      <c r="AM13" s="588"/>
      <c r="AN13" s="588"/>
      <c r="AO13" s="588"/>
      <c r="AP13" s="588"/>
      <c r="AQ13" s="588"/>
      <c r="AR13" s="588"/>
      <c r="AS13" s="588"/>
      <c r="AT13" s="588"/>
      <c r="AU13" s="588"/>
      <c r="AV13" s="588"/>
      <c r="AW13" s="588"/>
      <c r="AX13" s="588"/>
      <c r="AY13" s="588"/>
      <c r="AZ13" s="588"/>
      <c r="BA13" s="588"/>
      <c r="BD13" s="550"/>
      <c r="BE13" s="591"/>
      <c r="BF13" s="591"/>
      <c r="BG13" s="591"/>
      <c r="BH13" s="591"/>
      <c r="BI13" s="591"/>
      <c r="BJ13" s="591"/>
      <c r="BK13" s="591"/>
      <c r="BL13" s="591"/>
      <c r="BM13" s="591"/>
      <c r="BN13" s="591"/>
      <c r="BO13" s="580"/>
      <c r="BP13" s="566">
        <f>60%*'Datastream - Indices'!AV12</f>
        <v>-1.6689384093574729E-2</v>
      </c>
      <c r="BQ13" s="566">
        <f>5%*'Datastream - Indices'!AW12</f>
        <v>-1.6789916289625382E-3</v>
      </c>
      <c r="BR13" s="588">
        <f>0%</f>
        <v>0</v>
      </c>
      <c r="BS13" s="588">
        <f>(0.3+0.05)*'Datastream - Indices'!AY12</f>
        <v>-7.9100000000000004E-3</v>
      </c>
      <c r="BT13" s="588">
        <f>0%</f>
        <v>0</v>
      </c>
      <c r="BU13" s="588">
        <f>0%</f>
        <v>0</v>
      </c>
      <c r="BV13" s="588">
        <f t="shared" si="0"/>
        <v>-2.6278375722537269E-2</v>
      </c>
    </row>
    <row r="14" spans="1:75" ht="16.5" customHeight="1">
      <c r="A14" s="550"/>
      <c r="B14" s="566"/>
      <c r="C14" s="566"/>
      <c r="D14" s="566"/>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I14" s="550"/>
      <c r="AJ14" s="590"/>
      <c r="AK14" s="590"/>
      <c r="AL14" s="588"/>
      <c r="AM14" s="588"/>
      <c r="AN14" s="588"/>
      <c r="AO14" s="588"/>
      <c r="AP14" s="588"/>
      <c r="AQ14" s="588"/>
      <c r="AR14" s="588"/>
      <c r="AS14" s="588"/>
      <c r="AT14" s="588"/>
      <c r="AU14" s="588"/>
      <c r="AV14" s="588"/>
      <c r="AW14" s="588"/>
      <c r="AX14" s="588"/>
      <c r="AY14" s="588"/>
      <c r="AZ14" s="588"/>
      <c r="BA14" s="588"/>
      <c r="BD14" s="550"/>
      <c r="BE14" s="591"/>
      <c r="BF14" s="591"/>
      <c r="BG14" s="591"/>
      <c r="BH14" s="591"/>
      <c r="BI14" s="591"/>
      <c r="BJ14" s="591"/>
      <c r="BK14" s="591"/>
      <c r="BL14" s="591"/>
      <c r="BM14" s="591"/>
      <c r="BN14" s="591"/>
      <c r="BO14" s="580"/>
      <c r="BP14" s="566">
        <f>60%*'Datastream - Indices'!AV13</f>
        <v>2.9084201605264544E-2</v>
      </c>
      <c r="BQ14" s="566">
        <f>5%*'Datastream - Indices'!AW13</f>
        <v>3.3530383262282797E-3</v>
      </c>
      <c r="BR14" s="588">
        <f>0%</f>
        <v>0</v>
      </c>
      <c r="BS14" s="588">
        <f>(0.3+0.05)*'Datastream - Indices'!AY13</f>
        <v>1.0499999999999999E-3</v>
      </c>
      <c r="BT14" s="588">
        <f>0%</f>
        <v>0</v>
      </c>
      <c r="BU14" s="588">
        <f>0%</f>
        <v>0</v>
      </c>
      <c r="BV14" s="588">
        <f t="shared" si="0"/>
        <v>3.3487239931492822E-2</v>
      </c>
    </row>
    <row r="15" spans="1:75" ht="16.5" customHeight="1">
      <c r="A15" s="550"/>
      <c r="B15" s="566"/>
      <c r="C15" s="566"/>
      <c r="D15" s="566"/>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I15" s="550"/>
      <c r="AJ15" s="590"/>
      <c r="AK15" s="590"/>
      <c r="AL15" s="588"/>
      <c r="AM15" s="588"/>
      <c r="AN15" s="588"/>
      <c r="AO15" s="588"/>
      <c r="AP15" s="588"/>
      <c r="AQ15" s="588"/>
      <c r="AR15" s="588"/>
      <c r="AS15" s="588"/>
      <c r="AT15" s="588"/>
      <c r="AU15" s="588"/>
      <c r="AV15" s="588"/>
      <c r="AW15" s="588"/>
      <c r="AX15" s="588"/>
      <c r="AY15" s="588"/>
      <c r="AZ15" s="588"/>
      <c r="BA15" s="588"/>
      <c r="BD15" s="550"/>
      <c r="BE15" s="591"/>
      <c r="BF15" s="591"/>
      <c r="BG15" s="591"/>
      <c r="BH15" s="591"/>
      <c r="BI15" s="591"/>
      <c r="BJ15" s="591"/>
      <c r="BK15" s="591"/>
      <c r="BL15" s="591"/>
      <c r="BM15" s="591"/>
      <c r="BN15" s="591"/>
      <c r="BO15" s="580"/>
      <c r="BP15" s="566">
        <f>60%*'Datastream - Indices'!AV14</f>
        <v>9.7990204357371637E-3</v>
      </c>
      <c r="BQ15" s="566">
        <f>5%*'Datastream - Indices'!AW14</f>
        <v>-1.8251999770986987E-4</v>
      </c>
      <c r="BR15" s="588">
        <f>0%</f>
        <v>0</v>
      </c>
      <c r="BS15" s="588">
        <f>(0.3+0.05)*'Datastream - Indices'!AY14</f>
        <v>1.575E-3</v>
      </c>
      <c r="BT15" s="588">
        <f>0%</f>
        <v>0</v>
      </c>
      <c r="BU15" s="588">
        <f>0%</f>
        <v>0</v>
      </c>
      <c r="BV15" s="588">
        <f t="shared" si="0"/>
        <v>1.1191500438027293E-2</v>
      </c>
    </row>
    <row r="16" spans="1:75" ht="16.5" customHeight="1">
      <c r="A16" s="550">
        <v>2013</v>
      </c>
      <c r="B16" s="593"/>
      <c r="C16" s="566">
        <f>SUM(G16:J16)+X16+W16+E16+F16+B16</f>
        <v>0.65</v>
      </c>
      <c r="D16" s="566">
        <f>SUM(K16)</f>
        <v>0</v>
      </c>
      <c r="E16" s="591"/>
      <c r="F16" s="591"/>
      <c r="G16" s="591">
        <v>0.1</v>
      </c>
      <c r="H16" s="591"/>
      <c r="I16" s="591">
        <v>0.55000000000000004</v>
      </c>
      <c r="J16" s="591"/>
      <c r="K16" s="591"/>
      <c r="L16" s="588">
        <f>SUM(M16:V16)</f>
        <v>0.35</v>
      </c>
      <c r="M16" s="591"/>
      <c r="N16" s="591">
        <v>0.05</v>
      </c>
      <c r="O16" s="591"/>
      <c r="P16" s="591"/>
      <c r="Q16" s="591"/>
      <c r="R16" s="591">
        <v>0.3</v>
      </c>
      <c r="S16" s="591"/>
      <c r="T16" s="591"/>
      <c r="U16" s="591"/>
      <c r="V16" s="591"/>
      <c r="W16" s="591"/>
      <c r="X16" s="591"/>
      <c r="Y16" s="588">
        <f>AD16</f>
        <v>0</v>
      </c>
      <c r="Z16" s="588">
        <f>AA16+AC16+AE16</f>
        <v>0</v>
      </c>
      <c r="AA16" s="591"/>
      <c r="AB16" s="591"/>
      <c r="AC16" s="591"/>
      <c r="AD16" s="591"/>
      <c r="AE16" s="591"/>
      <c r="AF16" s="588">
        <f>C16+D16+L16+Z16+AB16+Y16</f>
        <v>1</v>
      </c>
      <c r="AI16" s="550">
        <v>2013</v>
      </c>
      <c r="AJ16" s="590">
        <f>SUM(AL16:AX16)</f>
        <v>0.93900000000000006</v>
      </c>
      <c r="AK16" s="590">
        <f>SUM(AY16:AZ16)</f>
        <v>6.0999999999999999E-2</v>
      </c>
      <c r="AL16" s="591"/>
      <c r="AM16" s="591"/>
      <c r="AN16" s="591">
        <v>0.29499999999999998</v>
      </c>
      <c r="AO16" s="591">
        <v>0.38400000000000001</v>
      </c>
      <c r="AP16" s="591"/>
      <c r="AQ16" s="591"/>
      <c r="AR16" s="591"/>
      <c r="AS16" s="591">
        <v>0.108</v>
      </c>
      <c r="AT16" s="591">
        <v>4.7E-2</v>
      </c>
      <c r="AU16" s="591">
        <v>1.7000000000000001E-2</v>
      </c>
      <c r="AV16" s="591">
        <v>0.02</v>
      </c>
      <c r="AW16" s="591"/>
      <c r="AX16" s="591">
        <v>6.8000000000000005E-2</v>
      </c>
      <c r="AY16" s="591">
        <v>6.0999999999999999E-2</v>
      </c>
      <c r="AZ16" s="591"/>
      <c r="BA16" s="591">
        <f>SUM(AL16:AZ16)</f>
        <v>1</v>
      </c>
      <c r="BD16" s="550">
        <v>2012</v>
      </c>
      <c r="BE16" s="588"/>
      <c r="BF16" s="588"/>
      <c r="BG16" s="588"/>
      <c r="BH16" s="588"/>
      <c r="BI16" s="588"/>
      <c r="BJ16" s="588"/>
      <c r="BK16" s="588"/>
      <c r="BL16" s="588"/>
      <c r="BM16" s="588"/>
      <c r="BN16" s="588">
        <f>SUM(BE16:BM16)</f>
        <v>0</v>
      </c>
      <c r="BO16" s="580">
        <v>2013</v>
      </c>
      <c r="BP16" s="566">
        <f>60%*'Datastream - Indices'!AV15</f>
        <v>4.7068466204032627E-2</v>
      </c>
      <c r="BQ16" s="566">
        <f>5%*'Datastream - Indices'!AW15</f>
        <v>9.3102500229111276E-4</v>
      </c>
      <c r="BR16" s="588">
        <f>0%</f>
        <v>0</v>
      </c>
      <c r="BS16" s="588">
        <f>(0.3+0.05)*'Datastream - Indices'!AY15</f>
        <v>5.9500000000000004E-4</v>
      </c>
      <c r="BT16" s="588">
        <f>0%</f>
        <v>0</v>
      </c>
      <c r="BU16" s="588">
        <f>0%</f>
        <v>0</v>
      </c>
      <c r="BV16" s="588">
        <f t="shared" si="0"/>
        <v>4.8594491206323739E-2</v>
      </c>
    </row>
    <row r="17" spans="1:74" ht="16.5" customHeight="1">
      <c r="A17" s="550"/>
      <c r="B17" s="593"/>
      <c r="C17" s="566"/>
      <c r="D17" s="566"/>
      <c r="E17" s="591"/>
      <c r="F17" s="591"/>
      <c r="G17" s="591"/>
      <c r="H17" s="591"/>
      <c r="I17" s="591"/>
      <c r="J17" s="591"/>
      <c r="K17" s="591"/>
      <c r="L17" s="588"/>
      <c r="M17" s="591"/>
      <c r="N17" s="591"/>
      <c r="O17" s="591"/>
      <c r="P17" s="591"/>
      <c r="Q17" s="591"/>
      <c r="R17" s="591"/>
      <c r="S17" s="591"/>
      <c r="T17" s="591"/>
      <c r="U17" s="591"/>
      <c r="V17" s="591"/>
      <c r="W17" s="591"/>
      <c r="X17" s="591"/>
      <c r="Y17" s="588"/>
      <c r="Z17" s="588"/>
      <c r="AA17" s="591"/>
      <c r="AB17" s="591"/>
      <c r="AC17" s="591"/>
      <c r="AD17" s="591"/>
      <c r="AE17" s="591"/>
      <c r="AF17" s="588"/>
      <c r="AI17" s="550"/>
      <c r="AJ17" s="590"/>
      <c r="AK17" s="590"/>
      <c r="AL17" s="591"/>
      <c r="AM17" s="591"/>
      <c r="AN17" s="591"/>
      <c r="AO17" s="591"/>
      <c r="AP17" s="591"/>
      <c r="AQ17" s="591"/>
      <c r="AR17" s="591"/>
      <c r="AS17" s="591"/>
      <c r="AT17" s="591"/>
      <c r="AU17" s="591"/>
      <c r="AV17" s="591"/>
      <c r="AW17" s="591"/>
      <c r="AX17" s="591"/>
      <c r="AY17" s="591"/>
      <c r="AZ17" s="591"/>
      <c r="BA17" s="591"/>
      <c r="BD17" s="550"/>
      <c r="BE17" s="588"/>
      <c r="BF17" s="588"/>
      <c r="BG17" s="588"/>
      <c r="BH17" s="588"/>
      <c r="BI17" s="588"/>
      <c r="BJ17" s="588"/>
      <c r="BK17" s="588"/>
      <c r="BL17" s="588"/>
      <c r="BM17" s="588"/>
      <c r="BN17" s="588"/>
      <c r="BO17" s="580"/>
      <c r="BP17" s="566">
        <f>60%*'Datastream - Indices'!AV16</f>
        <v>5.2972308668159877E-2</v>
      </c>
      <c r="BQ17" s="566">
        <f>5%*'Datastream - Indices'!AW16</f>
        <v>2.9490163512274317E-3</v>
      </c>
      <c r="BR17" s="588">
        <f>0%</f>
        <v>0</v>
      </c>
      <c r="BS17" s="588">
        <f>(0.3+0.05)*'Datastream - Indices'!AY16</f>
        <v>9.6949999999999988E-3</v>
      </c>
      <c r="BT17" s="588">
        <f>0%</f>
        <v>0</v>
      </c>
      <c r="BU17" s="588">
        <f>0%</f>
        <v>0</v>
      </c>
      <c r="BV17" s="588">
        <f t="shared" si="0"/>
        <v>6.5616325019387314E-2</v>
      </c>
    </row>
    <row r="18" spans="1:74" ht="16.5" customHeight="1">
      <c r="A18" s="550"/>
      <c r="B18" s="593"/>
      <c r="C18" s="566"/>
      <c r="D18" s="566"/>
      <c r="E18" s="591"/>
      <c r="F18" s="591"/>
      <c r="G18" s="591"/>
      <c r="H18" s="591"/>
      <c r="I18" s="591"/>
      <c r="J18" s="591"/>
      <c r="K18" s="591"/>
      <c r="L18" s="588"/>
      <c r="M18" s="591"/>
      <c r="N18" s="591"/>
      <c r="O18" s="591"/>
      <c r="P18" s="591"/>
      <c r="Q18" s="591"/>
      <c r="R18" s="591"/>
      <c r="S18" s="591"/>
      <c r="T18" s="591"/>
      <c r="U18" s="591"/>
      <c r="V18" s="591"/>
      <c r="W18" s="591"/>
      <c r="X18" s="591"/>
      <c r="Y18" s="588"/>
      <c r="Z18" s="588"/>
      <c r="AA18" s="591"/>
      <c r="AB18" s="591"/>
      <c r="AC18" s="591"/>
      <c r="AD18" s="591"/>
      <c r="AE18" s="591"/>
      <c r="AF18" s="588"/>
      <c r="AI18" s="550"/>
      <c r="AJ18" s="590"/>
      <c r="AK18" s="590"/>
      <c r="AL18" s="591"/>
      <c r="AM18" s="591"/>
      <c r="AN18" s="591"/>
      <c r="AO18" s="591"/>
      <c r="AP18" s="591"/>
      <c r="AQ18" s="591"/>
      <c r="AR18" s="591"/>
      <c r="AS18" s="591"/>
      <c r="AT18" s="591"/>
      <c r="AU18" s="591"/>
      <c r="AV18" s="591"/>
      <c r="AW18" s="591"/>
      <c r="AX18" s="591"/>
      <c r="AY18" s="591"/>
      <c r="AZ18" s="591"/>
      <c r="BA18" s="591"/>
      <c r="BD18" s="550"/>
      <c r="BE18" s="588"/>
      <c r="BF18" s="588"/>
      <c r="BG18" s="588"/>
      <c r="BH18" s="588"/>
      <c r="BI18" s="588"/>
      <c r="BJ18" s="588"/>
      <c r="BK18" s="588"/>
      <c r="BL18" s="588"/>
      <c r="BM18" s="588"/>
      <c r="BN18" s="588"/>
      <c r="BO18" s="580"/>
      <c r="BP18" s="566">
        <f>60%*'Datastream - Indices'!AV17</f>
        <v>3.5411640380435616E-3</v>
      </c>
      <c r="BQ18" s="566">
        <f>5%*'Datastream - Indices'!AW17</f>
        <v>-3.9769344501680301E-3</v>
      </c>
      <c r="BR18" s="588">
        <f>0%</f>
        <v>0</v>
      </c>
      <c r="BS18" s="588">
        <f>(0.3+0.05)*'Datastream - Indices'!AY17</f>
        <v>-1.2844999999999999E-2</v>
      </c>
      <c r="BT18" s="588">
        <f>0%</f>
        <v>0</v>
      </c>
      <c r="BU18" s="588">
        <f>0%</f>
        <v>0</v>
      </c>
      <c r="BV18" s="588">
        <f t="shared" si="0"/>
        <v>-1.3280770412124467E-2</v>
      </c>
    </row>
    <row r="19" spans="1:74" ht="16.5" customHeight="1">
      <c r="A19" s="550"/>
      <c r="B19" s="593"/>
      <c r="C19" s="566"/>
      <c r="D19" s="566"/>
      <c r="E19" s="591"/>
      <c r="F19" s="591"/>
      <c r="G19" s="591"/>
      <c r="H19" s="591"/>
      <c r="I19" s="591"/>
      <c r="J19" s="591"/>
      <c r="K19" s="591"/>
      <c r="L19" s="588"/>
      <c r="M19" s="591"/>
      <c r="N19" s="591"/>
      <c r="O19" s="591"/>
      <c r="P19" s="591"/>
      <c r="Q19" s="591"/>
      <c r="R19" s="591"/>
      <c r="S19" s="591"/>
      <c r="T19" s="591"/>
      <c r="U19" s="591"/>
      <c r="V19" s="591"/>
      <c r="W19" s="591"/>
      <c r="X19" s="591"/>
      <c r="Y19" s="588"/>
      <c r="Z19" s="588"/>
      <c r="AA19" s="591"/>
      <c r="AB19" s="591"/>
      <c r="AC19" s="591"/>
      <c r="AD19" s="591"/>
      <c r="AE19" s="591"/>
      <c r="AF19" s="588"/>
      <c r="AI19" s="550"/>
      <c r="AJ19" s="590"/>
      <c r="AK19" s="590"/>
      <c r="AL19" s="591"/>
      <c r="AM19" s="591"/>
      <c r="AN19" s="591"/>
      <c r="AO19" s="591"/>
      <c r="AP19" s="591"/>
      <c r="AQ19" s="591"/>
      <c r="AR19" s="591"/>
      <c r="AS19" s="591"/>
      <c r="AT19" s="591"/>
      <c r="AU19" s="591"/>
      <c r="AV19" s="591"/>
      <c r="AW19" s="591"/>
      <c r="AX19" s="591"/>
      <c r="AY19" s="591"/>
      <c r="AZ19" s="591"/>
      <c r="BA19" s="591"/>
      <c r="BD19" s="550"/>
      <c r="BE19" s="588"/>
      <c r="BF19" s="588"/>
      <c r="BG19" s="588"/>
      <c r="BH19" s="588"/>
      <c r="BI19" s="588"/>
      <c r="BJ19" s="588"/>
      <c r="BK19" s="588"/>
      <c r="BL19" s="588"/>
      <c r="BM19" s="588"/>
      <c r="BN19" s="588"/>
      <c r="BO19" s="580"/>
      <c r="BP19" s="566">
        <f>60%*'Datastream - Indices'!AV18</f>
        <v>4.7957623651514826E-2</v>
      </c>
      <c r="BQ19" s="566">
        <f>5%*'Datastream - Indices'!AW18</f>
        <v>-7.839993685039336E-4</v>
      </c>
      <c r="BR19" s="588">
        <f>0%</f>
        <v>0</v>
      </c>
      <c r="BS19" s="588">
        <f>(0.3+0.05)*'Datastream - Indices'!AY18</f>
        <v>-1.7149999999999997E-3</v>
      </c>
      <c r="BT19" s="588">
        <f>0%</f>
        <v>0</v>
      </c>
      <c r="BU19" s="588">
        <f>0%</f>
        <v>0</v>
      </c>
      <c r="BV19" s="588">
        <f t="shared" si="0"/>
        <v>4.5458624283010889E-2</v>
      </c>
    </row>
    <row r="20" spans="1:74" ht="16.5" customHeight="1">
      <c r="A20" s="550">
        <v>2012</v>
      </c>
      <c r="B20" s="566"/>
      <c r="C20" s="566">
        <f>SUM(G20:J20)+X20+W20+E20+F20+B20</f>
        <v>0.65</v>
      </c>
      <c r="D20" s="566">
        <f>SUM(K20)</f>
        <v>0</v>
      </c>
      <c r="E20" s="588"/>
      <c r="F20" s="588"/>
      <c r="G20" s="588">
        <v>0.1</v>
      </c>
      <c r="H20" s="588"/>
      <c r="I20" s="588">
        <v>0.55000000000000004</v>
      </c>
      <c r="J20" s="588"/>
      <c r="K20" s="588"/>
      <c r="L20" s="588">
        <f>SUM(M20:V20)</f>
        <v>0.35</v>
      </c>
      <c r="M20" s="588"/>
      <c r="N20" s="588">
        <v>0.05</v>
      </c>
      <c r="O20" s="588"/>
      <c r="P20" s="588"/>
      <c r="Q20" s="588"/>
      <c r="R20" s="588">
        <v>0.3</v>
      </c>
      <c r="S20" s="588"/>
      <c r="T20" s="588"/>
      <c r="U20" s="588"/>
      <c r="V20" s="588"/>
      <c r="W20" s="588"/>
      <c r="X20" s="588"/>
      <c r="Y20" s="588">
        <f>AD20</f>
        <v>0</v>
      </c>
      <c r="Z20" s="588">
        <f>AA20+AC20+AE20</f>
        <v>0</v>
      </c>
      <c r="AA20" s="588"/>
      <c r="AB20" s="588"/>
      <c r="AC20" s="588"/>
      <c r="AD20" s="588"/>
      <c r="AE20" s="588"/>
      <c r="AF20" s="588">
        <f>C20+D20+L20+Z20+AB20+Y20</f>
        <v>1</v>
      </c>
      <c r="AI20" s="550">
        <v>2012</v>
      </c>
      <c r="AJ20" s="590">
        <f>SUM(AL20:AX20)</f>
        <v>0.93300000000000005</v>
      </c>
      <c r="AK20" s="590">
        <f>SUM(AY20:AZ20)</f>
        <v>6.7000000000000004E-2</v>
      </c>
      <c r="AL20" s="588"/>
      <c r="AM20" s="588">
        <v>0.27800000000000002</v>
      </c>
      <c r="AN20" s="588"/>
      <c r="AO20" s="588">
        <v>0.40100000000000002</v>
      </c>
      <c r="AP20" s="588">
        <v>0.108</v>
      </c>
      <c r="AQ20" s="588"/>
      <c r="AR20" s="588">
        <v>0.14599999999999999</v>
      </c>
      <c r="AS20" s="588"/>
      <c r="AT20" s="588"/>
      <c r="AU20" s="588"/>
      <c r="AV20" s="588"/>
      <c r="AW20" s="588"/>
      <c r="AX20" s="588"/>
      <c r="AY20" s="588"/>
      <c r="AZ20" s="588">
        <v>6.7000000000000004E-2</v>
      </c>
      <c r="BA20" s="588">
        <f>SUM(AL20:AZ20)</f>
        <v>1</v>
      </c>
      <c r="BD20" s="550">
        <v>2011</v>
      </c>
      <c r="BE20" s="591"/>
      <c r="BF20" s="591"/>
      <c r="BG20" s="591"/>
      <c r="BH20" s="591"/>
      <c r="BI20" s="591"/>
      <c r="BJ20" s="591"/>
      <c r="BK20" s="591"/>
      <c r="BL20" s="591"/>
      <c r="BM20" s="591"/>
      <c r="BN20" s="591">
        <f>SUM(BE20:BM20)</f>
        <v>0</v>
      </c>
      <c r="BO20" s="580">
        <v>2012</v>
      </c>
      <c r="BP20" s="566">
        <f>60%*'Datastream - Indices'!AV19</f>
        <v>1.737492799220099E-2</v>
      </c>
      <c r="BQ20" s="566">
        <f>5%*'Datastream - Indices'!AW19</f>
        <v>2.8037540969421452E-3</v>
      </c>
      <c r="BR20" s="588">
        <f>0%</f>
        <v>0</v>
      </c>
      <c r="BS20" s="588">
        <f>(0.3+0.05)*'Datastream - Indices'!AY19</f>
        <v>2.0299999999999997E-3</v>
      </c>
      <c r="BT20" s="588">
        <f>0%</f>
        <v>0</v>
      </c>
      <c r="BU20" s="588">
        <f>0%</f>
        <v>0</v>
      </c>
      <c r="BV20" s="588">
        <f t="shared" si="0"/>
        <v>2.2208682089143134E-2</v>
      </c>
    </row>
    <row r="21" spans="1:74" ht="16.5" customHeight="1">
      <c r="A21" s="550"/>
      <c r="B21" s="566"/>
      <c r="C21" s="566"/>
      <c r="D21" s="566"/>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I21" s="550"/>
      <c r="AJ21" s="590"/>
      <c r="AK21" s="590"/>
      <c r="AL21" s="588"/>
      <c r="AM21" s="588"/>
      <c r="AN21" s="588"/>
      <c r="AO21" s="588"/>
      <c r="AP21" s="588"/>
      <c r="AQ21" s="588"/>
      <c r="AR21" s="588"/>
      <c r="AS21" s="588"/>
      <c r="AT21" s="588"/>
      <c r="AU21" s="588"/>
      <c r="AV21" s="588"/>
      <c r="AW21" s="588"/>
      <c r="AX21" s="588"/>
      <c r="AY21" s="588"/>
      <c r="AZ21" s="588"/>
      <c r="BA21" s="588"/>
      <c r="BD21" s="550"/>
      <c r="BE21" s="591"/>
      <c r="BF21" s="591"/>
      <c r="BG21" s="591"/>
      <c r="BH21" s="591"/>
      <c r="BI21" s="591"/>
      <c r="BJ21" s="591"/>
      <c r="BK21" s="591"/>
      <c r="BL21" s="591"/>
      <c r="BM21" s="591"/>
      <c r="BN21" s="591"/>
      <c r="BO21" s="580"/>
      <c r="BP21" s="566">
        <f>60%*'Datastream - Indices'!AV20</f>
        <v>4.1594010614101666E-2</v>
      </c>
      <c r="BQ21" s="566">
        <f>5%*'Datastream - Indices'!AW20</f>
        <v>3.9432025820113062E-3</v>
      </c>
      <c r="BR21" s="588">
        <f>0%</f>
        <v>0</v>
      </c>
      <c r="BS21" s="588">
        <f>(0.3+0.05)*'Datastream - Indices'!AY20</f>
        <v>4.9699999999999996E-3</v>
      </c>
      <c r="BT21" s="588">
        <f>0%</f>
        <v>0</v>
      </c>
      <c r="BU21" s="588">
        <f>0%</f>
        <v>0</v>
      </c>
      <c r="BV21" s="588">
        <f t="shared" si="0"/>
        <v>5.0507213196112975E-2</v>
      </c>
    </row>
    <row r="22" spans="1:74" ht="16.5" customHeight="1">
      <c r="A22" s="550"/>
      <c r="B22" s="566"/>
      <c r="C22" s="566"/>
      <c r="D22" s="566"/>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I22" s="550"/>
      <c r="AJ22" s="590"/>
      <c r="AK22" s="590"/>
      <c r="AL22" s="588"/>
      <c r="AM22" s="588"/>
      <c r="AN22" s="588"/>
      <c r="AO22" s="588"/>
      <c r="AP22" s="588"/>
      <c r="AQ22" s="588"/>
      <c r="AR22" s="588"/>
      <c r="AS22" s="588"/>
      <c r="AT22" s="588"/>
      <c r="AU22" s="588"/>
      <c r="AV22" s="588"/>
      <c r="AW22" s="588"/>
      <c r="AX22" s="588"/>
      <c r="AY22" s="588"/>
      <c r="AZ22" s="588"/>
      <c r="BA22" s="588"/>
      <c r="BD22" s="550"/>
      <c r="BE22" s="591"/>
      <c r="BF22" s="591"/>
      <c r="BG22" s="591"/>
      <c r="BH22" s="591"/>
      <c r="BI22" s="591"/>
      <c r="BJ22" s="591"/>
      <c r="BK22" s="591"/>
      <c r="BL22" s="591"/>
      <c r="BM22" s="591"/>
      <c r="BN22" s="591"/>
      <c r="BO22" s="580"/>
      <c r="BP22" s="566">
        <f>60%*'Datastream - Indices'!AV21</f>
        <v>-3.0775455158462639E-2</v>
      </c>
      <c r="BQ22" s="566">
        <f>5%*'Datastream - Indices'!AW21</f>
        <v>-4.3848233472265378E-3</v>
      </c>
      <c r="BR22" s="588">
        <f>0%</f>
        <v>0</v>
      </c>
      <c r="BS22" s="588">
        <f>(0.3+0.05)*'Datastream - Indices'!AY21</f>
        <v>8.4349999999999998E-3</v>
      </c>
      <c r="BT22" s="588">
        <f>0%</f>
        <v>0</v>
      </c>
      <c r="BU22" s="588">
        <f>0%</f>
        <v>0</v>
      </c>
      <c r="BV22" s="588">
        <f t="shared" si="0"/>
        <v>-2.6725278505689176E-2</v>
      </c>
    </row>
    <row r="23" spans="1:74" ht="16.5" customHeight="1">
      <c r="A23" s="550"/>
      <c r="B23" s="566"/>
      <c r="C23" s="566"/>
      <c r="D23" s="566"/>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I23" s="550"/>
      <c r="AJ23" s="590"/>
      <c r="AK23" s="590"/>
      <c r="AL23" s="588"/>
      <c r="AM23" s="588"/>
      <c r="AN23" s="588"/>
      <c r="AO23" s="588"/>
      <c r="AP23" s="588"/>
      <c r="AQ23" s="588"/>
      <c r="AR23" s="588"/>
      <c r="AS23" s="588"/>
      <c r="AT23" s="588"/>
      <c r="AU23" s="588"/>
      <c r="AV23" s="588"/>
      <c r="AW23" s="588"/>
      <c r="AX23" s="588"/>
      <c r="AY23" s="588"/>
      <c r="AZ23" s="588"/>
      <c r="BA23" s="588"/>
      <c r="BD23" s="550"/>
      <c r="BE23" s="591"/>
      <c r="BF23" s="591"/>
      <c r="BG23" s="591"/>
      <c r="BH23" s="591"/>
      <c r="BI23" s="591"/>
      <c r="BJ23" s="591"/>
      <c r="BK23" s="591"/>
      <c r="BL23" s="591"/>
      <c r="BM23" s="591"/>
      <c r="BN23" s="591"/>
      <c r="BO23" s="580"/>
      <c r="BP23" s="566">
        <f>60%*'Datastream - Indices'!AV22</f>
        <v>7.2122066673381016E-2</v>
      </c>
      <c r="BQ23" s="566">
        <f>5%*'Datastream - Indices'!AW22</f>
        <v>7.0628222604160523E-3</v>
      </c>
      <c r="BR23" s="588">
        <f>0%</f>
        <v>0</v>
      </c>
      <c r="BS23" s="588">
        <f>(0.3+0.05)*'Datastream - Indices'!AY22</f>
        <v>1.2949999999999999E-3</v>
      </c>
      <c r="BT23" s="588">
        <f>0%</f>
        <v>0</v>
      </c>
      <c r="BU23" s="588">
        <f>0%</f>
        <v>0</v>
      </c>
      <c r="BV23" s="588">
        <f t="shared" si="0"/>
        <v>8.0479888933797067E-2</v>
      </c>
    </row>
    <row r="24" spans="1:74" ht="16.5" customHeight="1">
      <c r="A24" s="550">
        <v>2011</v>
      </c>
      <c r="B24" s="593"/>
      <c r="C24" s="566">
        <f>SUM(G24:J24)+X24+W24+E24+F24+B24</f>
        <v>0.6</v>
      </c>
      <c r="D24" s="566">
        <f>SUM(K24)</f>
        <v>0.05</v>
      </c>
      <c r="E24" s="591"/>
      <c r="F24" s="591"/>
      <c r="G24" s="591">
        <v>0.15</v>
      </c>
      <c r="H24" s="591">
        <v>0.45</v>
      </c>
      <c r="I24" s="591"/>
      <c r="J24" s="591"/>
      <c r="K24" s="591">
        <v>0.05</v>
      </c>
      <c r="L24" s="588">
        <f>SUM(M24:V24)</f>
        <v>0.35</v>
      </c>
      <c r="M24" s="591"/>
      <c r="N24" s="591">
        <v>0.05</v>
      </c>
      <c r="O24" s="591"/>
      <c r="P24" s="591"/>
      <c r="Q24" s="591">
        <v>0.05</v>
      </c>
      <c r="R24" s="591">
        <v>0.25</v>
      </c>
      <c r="S24" s="591"/>
      <c r="T24" s="591"/>
      <c r="U24" s="591"/>
      <c r="V24" s="591"/>
      <c r="W24" s="591"/>
      <c r="X24" s="591"/>
      <c r="Y24" s="588">
        <f>AD24</f>
        <v>0</v>
      </c>
      <c r="Z24" s="588">
        <f>AA24+AC24+AE24</f>
        <v>0</v>
      </c>
      <c r="AA24" s="591"/>
      <c r="AB24" s="591"/>
      <c r="AC24" s="591"/>
      <c r="AD24" s="591"/>
      <c r="AE24" s="591"/>
      <c r="AF24" s="588">
        <f>C24+D24+L24+Z24+AB24+Y24</f>
        <v>1</v>
      </c>
      <c r="AI24" s="550">
        <v>2011</v>
      </c>
      <c r="AJ24" s="590">
        <f>SUM(AL24:AX24)</f>
        <v>0.95000000000000007</v>
      </c>
      <c r="AK24" s="590">
        <f>SUM(AY24:AZ24)</f>
        <v>0.05</v>
      </c>
      <c r="AL24" s="591"/>
      <c r="AM24" s="591">
        <v>0.246</v>
      </c>
      <c r="AN24" s="591"/>
      <c r="AO24" s="591">
        <v>0.45100000000000001</v>
      </c>
      <c r="AP24" s="591">
        <v>0.109</v>
      </c>
      <c r="AQ24" s="591"/>
      <c r="AR24" s="591">
        <v>0.14399999999999999</v>
      </c>
      <c r="AS24" s="591"/>
      <c r="AT24" s="591"/>
      <c r="AU24" s="591"/>
      <c r="AV24" s="591"/>
      <c r="AW24" s="591"/>
      <c r="AX24" s="591"/>
      <c r="AY24" s="591"/>
      <c r="AZ24" s="591">
        <v>0.05</v>
      </c>
      <c r="BA24" s="591">
        <f>SUM(AL24:AZ24)</f>
        <v>1</v>
      </c>
      <c r="BD24" s="550">
        <v>2010</v>
      </c>
      <c r="BE24" s="588"/>
      <c r="BF24" s="588"/>
      <c r="BG24" s="588"/>
      <c r="BH24" s="588"/>
      <c r="BI24" s="588"/>
      <c r="BJ24" s="588"/>
      <c r="BK24" s="588"/>
      <c r="BL24" s="588"/>
      <c r="BM24" s="588"/>
      <c r="BN24" s="588">
        <f>SUM(BE24:BM24)</f>
        <v>0</v>
      </c>
      <c r="BO24" s="580">
        <v>2011</v>
      </c>
      <c r="BP24" s="566">
        <f>60%*'Datastream - Indices'!AV23</f>
        <v>4.6068756100206033E-2</v>
      </c>
      <c r="BQ24" s="566">
        <f>5%*'Datastream - Indices'!AW23</f>
        <v>2.2248407379138121E-3</v>
      </c>
      <c r="BR24" s="588">
        <f>0%</f>
        <v>0</v>
      </c>
      <c r="BS24" s="588">
        <f>(0.3+0.05)*'Datastream - Indices'!AY23</f>
        <v>2.6249999999999997E-3</v>
      </c>
      <c r="BT24" s="588">
        <f>0%</f>
        <v>0</v>
      </c>
      <c r="BU24" s="588">
        <f>0%</f>
        <v>0</v>
      </c>
      <c r="BV24" s="588">
        <f t="shared" si="0"/>
        <v>5.0918596838119848E-2</v>
      </c>
    </row>
    <row r="25" spans="1:74" ht="16.5" customHeight="1">
      <c r="A25" s="550"/>
      <c r="B25" s="593"/>
      <c r="C25" s="566"/>
      <c r="D25" s="566"/>
      <c r="E25" s="591"/>
      <c r="F25" s="591"/>
      <c r="G25" s="591"/>
      <c r="H25" s="591"/>
      <c r="I25" s="591"/>
      <c r="J25" s="591"/>
      <c r="K25" s="591"/>
      <c r="L25" s="588"/>
      <c r="M25" s="591"/>
      <c r="N25" s="591"/>
      <c r="O25" s="591"/>
      <c r="P25" s="591"/>
      <c r="Q25" s="591"/>
      <c r="R25" s="591"/>
      <c r="S25" s="591"/>
      <c r="T25" s="591"/>
      <c r="U25" s="591"/>
      <c r="V25" s="591"/>
      <c r="W25" s="591"/>
      <c r="X25" s="591"/>
      <c r="Y25" s="588"/>
      <c r="Z25" s="588"/>
      <c r="AA25" s="591"/>
      <c r="AB25" s="591"/>
      <c r="AC25" s="591"/>
      <c r="AD25" s="591"/>
      <c r="AE25" s="591"/>
      <c r="AF25" s="588"/>
      <c r="AI25" s="550"/>
      <c r="AJ25" s="590"/>
      <c r="AK25" s="590"/>
      <c r="AL25" s="591"/>
      <c r="AM25" s="591"/>
      <c r="AN25" s="591"/>
      <c r="AO25" s="591"/>
      <c r="AP25" s="591"/>
      <c r="AQ25" s="591"/>
      <c r="AR25" s="591"/>
      <c r="AS25" s="591"/>
      <c r="AT25" s="591"/>
      <c r="AU25" s="591"/>
      <c r="AV25" s="591"/>
      <c r="AW25" s="591"/>
      <c r="AX25" s="591"/>
      <c r="AY25" s="591"/>
      <c r="AZ25" s="591"/>
      <c r="BA25" s="591"/>
      <c r="BD25" s="550"/>
      <c r="BE25" s="588"/>
      <c r="BF25" s="588"/>
      <c r="BG25" s="588"/>
      <c r="BH25" s="588"/>
      <c r="BI25" s="588"/>
      <c r="BJ25" s="588"/>
      <c r="BK25" s="588"/>
      <c r="BL25" s="588"/>
      <c r="BM25" s="588"/>
      <c r="BN25" s="588"/>
      <c r="BO25" s="580"/>
      <c r="BP25" s="566">
        <f>60%*'Datastream - Indices'!AV24</f>
        <v>-0.10394727994082438</v>
      </c>
      <c r="BQ25" s="566">
        <f>5%*'Datastream - Indices'!AW24</f>
        <v>-1.1229509770509426E-2</v>
      </c>
      <c r="BR25" s="588">
        <f>0%</f>
        <v>0</v>
      </c>
      <c r="BS25" s="588">
        <f>(0.3+0.05)*'Datastream - Indices'!AY24</f>
        <v>-1.4070000000000001E-2</v>
      </c>
      <c r="BT25" s="588">
        <f>0%</f>
        <v>0</v>
      </c>
      <c r="BU25" s="588">
        <f>0%</f>
        <v>0</v>
      </c>
      <c r="BV25" s="588">
        <f t="shared" si="0"/>
        <v>-0.1292467897113338</v>
      </c>
    </row>
    <row r="26" spans="1:74" ht="16.5" customHeight="1">
      <c r="A26" s="550"/>
      <c r="B26" s="593"/>
      <c r="C26" s="566"/>
      <c r="D26" s="566"/>
      <c r="E26" s="591"/>
      <c r="F26" s="591"/>
      <c r="G26" s="591"/>
      <c r="H26" s="591"/>
      <c r="I26" s="591"/>
      <c r="J26" s="591"/>
      <c r="K26" s="591"/>
      <c r="L26" s="588"/>
      <c r="M26" s="591"/>
      <c r="N26" s="591"/>
      <c r="O26" s="591"/>
      <c r="P26" s="591"/>
      <c r="Q26" s="591"/>
      <c r="R26" s="591"/>
      <c r="S26" s="591"/>
      <c r="T26" s="591"/>
      <c r="U26" s="591"/>
      <c r="V26" s="591"/>
      <c r="W26" s="591"/>
      <c r="X26" s="591"/>
      <c r="Y26" s="588"/>
      <c r="Z26" s="588"/>
      <c r="AA26" s="591"/>
      <c r="AB26" s="591"/>
      <c r="AC26" s="591"/>
      <c r="AD26" s="591"/>
      <c r="AE26" s="591"/>
      <c r="AF26" s="588"/>
      <c r="AI26" s="550"/>
      <c r="AJ26" s="590"/>
      <c r="AK26" s="590"/>
      <c r="AL26" s="591"/>
      <c r="AM26" s="591"/>
      <c r="AN26" s="591"/>
      <c r="AO26" s="591"/>
      <c r="AP26" s="591"/>
      <c r="AQ26" s="591"/>
      <c r="AR26" s="591"/>
      <c r="AS26" s="591"/>
      <c r="AT26" s="591"/>
      <c r="AU26" s="591"/>
      <c r="AV26" s="591"/>
      <c r="AW26" s="591"/>
      <c r="AX26" s="591"/>
      <c r="AY26" s="591"/>
      <c r="AZ26" s="591"/>
      <c r="BA26" s="591"/>
      <c r="BD26" s="550"/>
      <c r="BE26" s="588"/>
      <c r="BF26" s="588"/>
      <c r="BG26" s="588"/>
      <c r="BH26" s="588"/>
      <c r="BI26" s="588"/>
      <c r="BJ26" s="588"/>
      <c r="BK26" s="588"/>
      <c r="BL26" s="588"/>
      <c r="BM26" s="588"/>
      <c r="BN26" s="588"/>
      <c r="BO26" s="580"/>
      <c r="BP26" s="566">
        <f>60%*'Datastream - Indices'!AV25</f>
        <v>3.3811960417465003E-3</v>
      </c>
      <c r="BQ26" s="566">
        <f>5%*'Datastream - Indices'!AW25</f>
        <v>-5.2166581562979053E-4</v>
      </c>
      <c r="BR26" s="588">
        <f>0%</f>
        <v>0</v>
      </c>
      <c r="BS26" s="588">
        <f>(0.3+0.05)*'Datastream - Indices'!AY25</f>
        <v>2.1699999999999996E-3</v>
      </c>
      <c r="BT26" s="588">
        <f>0%</f>
        <v>0</v>
      </c>
      <c r="BU26" s="588">
        <f>0%</f>
        <v>0</v>
      </c>
      <c r="BV26" s="588">
        <f t="shared" si="0"/>
        <v>5.0295302261167095E-3</v>
      </c>
    </row>
    <row r="27" spans="1:74" ht="16.5" customHeight="1">
      <c r="A27" s="550"/>
      <c r="B27" s="593"/>
      <c r="C27" s="566"/>
      <c r="D27" s="566"/>
      <c r="E27" s="591"/>
      <c r="F27" s="591"/>
      <c r="G27" s="591"/>
      <c r="H27" s="591"/>
      <c r="I27" s="591"/>
      <c r="J27" s="591"/>
      <c r="K27" s="591"/>
      <c r="L27" s="588"/>
      <c r="M27" s="591"/>
      <c r="N27" s="591"/>
      <c r="O27" s="591"/>
      <c r="P27" s="591"/>
      <c r="Q27" s="591"/>
      <c r="R27" s="591"/>
      <c r="S27" s="591"/>
      <c r="T27" s="591"/>
      <c r="U27" s="591"/>
      <c r="V27" s="591"/>
      <c r="W27" s="591"/>
      <c r="X27" s="591"/>
      <c r="Y27" s="588"/>
      <c r="Z27" s="588"/>
      <c r="AA27" s="591"/>
      <c r="AB27" s="591"/>
      <c r="AC27" s="591"/>
      <c r="AD27" s="591"/>
      <c r="AE27" s="591"/>
      <c r="AF27" s="588"/>
      <c r="AI27" s="550"/>
      <c r="AJ27" s="590"/>
      <c r="AK27" s="590"/>
      <c r="AL27" s="591"/>
      <c r="AM27" s="591"/>
      <c r="AN27" s="591"/>
      <c r="AO27" s="591"/>
      <c r="AP27" s="591"/>
      <c r="AQ27" s="591"/>
      <c r="AR27" s="591"/>
      <c r="AS27" s="591"/>
      <c r="AT27" s="591"/>
      <c r="AU27" s="591"/>
      <c r="AV27" s="591"/>
      <c r="AW27" s="591"/>
      <c r="AX27" s="591"/>
      <c r="AY27" s="591"/>
      <c r="AZ27" s="591"/>
      <c r="BA27" s="591"/>
      <c r="BD27" s="550"/>
      <c r="BE27" s="588"/>
      <c r="BF27" s="588"/>
      <c r="BG27" s="588"/>
      <c r="BH27" s="588"/>
      <c r="BI27" s="588"/>
      <c r="BJ27" s="588"/>
      <c r="BK27" s="588"/>
      <c r="BL27" s="588"/>
      <c r="BM27" s="588"/>
      <c r="BN27" s="588"/>
      <c r="BO27" s="580"/>
      <c r="BP27" s="566">
        <f>60%*'Datastream - Indices'!AV26</f>
        <v>3.1172341838186426E-2</v>
      </c>
      <c r="BQ27" s="566">
        <f>5%*'Datastream - Indices'!AW26</f>
        <v>1.0483055146306472E-3</v>
      </c>
      <c r="BR27" s="588">
        <f>0%</f>
        <v>0</v>
      </c>
      <c r="BS27" s="588">
        <f>(0.3+0.05)*'Datastream - Indices'!AY26</f>
        <v>4.4799999999999996E-3</v>
      </c>
      <c r="BT27" s="588">
        <f>0%</f>
        <v>0</v>
      </c>
      <c r="BU27" s="588">
        <f>0%</f>
        <v>0</v>
      </c>
      <c r="BV27" s="588">
        <f t="shared" si="0"/>
        <v>3.670064735281707E-2</v>
      </c>
    </row>
    <row r="28" spans="1:74" ht="16.5" customHeight="1">
      <c r="A28" s="550">
        <v>2010</v>
      </c>
      <c r="B28" s="566"/>
      <c r="C28" s="566">
        <f>SUM(G28:J28)+X28+W28+E28+F28+B28</f>
        <v>0.6</v>
      </c>
      <c r="D28" s="566">
        <f>SUM(K28)</f>
        <v>0.05</v>
      </c>
      <c r="E28" s="588"/>
      <c r="F28" s="588"/>
      <c r="G28" s="588">
        <v>0.15</v>
      </c>
      <c r="H28" s="588">
        <v>0.45</v>
      </c>
      <c r="I28" s="588"/>
      <c r="J28" s="588"/>
      <c r="K28" s="588">
        <v>0.05</v>
      </c>
      <c r="L28" s="588">
        <f>SUM(M28:V28)</f>
        <v>0.35</v>
      </c>
      <c r="M28" s="588"/>
      <c r="N28" s="588">
        <v>0.05</v>
      </c>
      <c r="O28" s="588"/>
      <c r="P28" s="588"/>
      <c r="Q28" s="588">
        <v>0.05</v>
      </c>
      <c r="R28" s="588">
        <v>0.25</v>
      </c>
      <c r="S28" s="588"/>
      <c r="T28" s="588"/>
      <c r="U28" s="588"/>
      <c r="V28" s="588"/>
      <c r="W28" s="588"/>
      <c r="X28" s="588"/>
      <c r="Y28" s="588">
        <f>AD28</f>
        <v>0</v>
      </c>
      <c r="Z28" s="588">
        <f>AA28+AC28+AE28</f>
        <v>0</v>
      </c>
      <c r="AA28" s="588"/>
      <c r="AB28" s="588"/>
      <c r="AC28" s="588"/>
      <c r="AD28" s="588"/>
      <c r="AE28" s="588"/>
      <c r="AF28" s="588">
        <f>C28+D28+L28+Z28+AB28+Y28</f>
        <v>1</v>
      </c>
      <c r="AI28" s="550">
        <v>2010</v>
      </c>
      <c r="AJ28" s="590">
        <f>SUM(AL28:AX28)</f>
        <v>0</v>
      </c>
      <c r="AK28" s="590">
        <f>SUM(AY28:AZ28)</f>
        <v>0</v>
      </c>
      <c r="AL28" s="588"/>
      <c r="AM28" s="588"/>
      <c r="AN28" s="588"/>
      <c r="AO28" s="588"/>
      <c r="AP28" s="588"/>
      <c r="AQ28" s="588"/>
      <c r="AR28" s="588"/>
      <c r="AS28" s="588"/>
      <c r="AT28" s="588"/>
      <c r="AU28" s="588"/>
      <c r="AV28" s="588"/>
      <c r="AW28" s="588"/>
      <c r="AX28" s="588"/>
      <c r="AY28" s="588"/>
      <c r="AZ28" s="588"/>
      <c r="BA28" s="588">
        <f>SUM(AL28:AZ28)</f>
        <v>0</v>
      </c>
      <c r="BD28" s="550">
        <v>2009</v>
      </c>
      <c r="BE28" s="591"/>
      <c r="BF28" s="591"/>
      <c r="BG28" s="591"/>
      <c r="BH28" s="591"/>
      <c r="BI28" s="591"/>
      <c r="BJ28" s="591"/>
      <c r="BK28" s="591"/>
      <c r="BL28" s="591"/>
      <c r="BM28" s="591"/>
      <c r="BN28" s="591">
        <f>SUM(BE28:BM28)</f>
        <v>0</v>
      </c>
      <c r="BO28" s="580">
        <v>2010</v>
      </c>
      <c r="BP28" s="566">
        <f>60%*'Datastream - Indices'!AV27</f>
        <v>5.8645911966056702E-2</v>
      </c>
      <c r="BQ28" s="566">
        <f>5%*'Datastream - Indices'!AW27</f>
        <v>3.6809210646204116E-3</v>
      </c>
      <c r="BR28" s="588">
        <f>0%</f>
        <v>0</v>
      </c>
      <c r="BS28" s="588">
        <f>(0.3+0.05)*'Datastream - Indices'!AY27</f>
        <v>9.8000000000000019E-4</v>
      </c>
      <c r="BT28" s="588">
        <f>0%</f>
        <v>0</v>
      </c>
      <c r="BU28" s="588">
        <f>0%</f>
        <v>0</v>
      </c>
      <c r="BV28" s="588">
        <f t="shared" si="0"/>
        <v>6.3306833030677107E-2</v>
      </c>
    </row>
    <row r="29" spans="1:74" ht="16.5" customHeight="1">
      <c r="A29" s="550"/>
      <c r="B29" s="566"/>
      <c r="C29" s="566"/>
      <c r="D29" s="566"/>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I29" s="550"/>
      <c r="AJ29" s="590"/>
      <c r="AK29" s="590"/>
      <c r="AL29" s="588"/>
      <c r="AM29" s="588"/>
      <c r="AN29" s="588"/>
      <c r="AO29" s="588"/>
      <c r="AP29" s="588"/>
      <c r="AQ29" s="588"/>
      <c r="AR29" s="588"/>
      <c r="AS29" s="588"/>
      <c r="AT29" s="588"/>
      <c r="AU29" s="588"/>
      <c r="AV29" s="588"/>
      <c r="AW29" s="588"/>
      <c r="AX29" s="588"/>
      <c r="AY29" s="588"/>
      <c r="AZ29" s="588"/>
      <c r="BA29" s="588"/>
      <c r="BD29" s="550"/>
      <c r="BE29" s="591"/>
      <c r="BF29" s="591"/>
      <c r="BG29" s="591"/>
      <c r="BH29" s="591"/>
      <c r="BI29" s="591"/>
      <c r="BJ29" s="591"/>
      <c r="BK29" s="591"/>
      <c r="BL29" s="591"/>
      <c r="BM29" s="591"/>
      <c r="BN29" s="591"/>
      <c r="BO29" s="580"/>
      <c r="BP29" s="566">
        <f>60%*'Datastream - Indices'!AV28</f>
        <v>8.4530632851245791E-2</v>
      </c>
      <c r="BQ29" s="566">
        <f>5%*'Datastream - Indices'!AW28</f>
        <v>9.0802155947527323E-3</v>
      </c>
      <c r="BR29" s="588">
        <f>0%</f>
        <v>0</v>
      </c>
      <c r="BS29" s="588">
        <f>(0.3+0.05)*'Datastream - Indices'!AY28</f>
        <v>8.5050000000000004E-3</v>
      </c>
      <c r="BT29" s="588">
        <f>0%</f>
        <v>0</v>
      </c>
      <c r="BU29" s="588">
        <f>0%</f>
        <v>0</v>
      </c>
      <c r="BV29" s="588">
        <f t="shared" si="0"/>
        <v>0.10211584844599852</v>
      </c>
    </row>
    <row r="30" spans="1:74" ht="16.5" customHeight="1">
      <c r="A30" s="550"/>
      <c r="B30" s="566"/>
      <c r="C30" s="566"/>
      <c r="D30" s="566"/>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I30" s="550"/>
      <c r="AJ30" s="590"/>
      <c r="AK30" s="590"/>
      <c r="AL30" s="588"/>
      <c r="AM30" s="588"/>
      <c r="AN30" s="588"/>
      <c r="AO30" s="588"/>
      <c r="AP30" s="588"/>
      <c r="AQ30" s="588"/>
      <c r="AR30" s="588"/>
      <c r="AS30" s="588"/>
      <c r="AT30" s="588"/>
      <c r="AU30" s="588"/>
      <c r="AV30" s="588"/>
      <c r="AW30" s="588"/>
      <c r="AX30" s="588"/>
      <c r="AY30" s="588"/>
      <c r="AZ30" s="588"/>
      <c r="BA30" s="588"/>
      <c r="BD30" s="550"/>
      <c r="BE30" s="591"/>
      <c r="BF30" s="591"/>
      <c r="BG30" s="591"/>
      <c r="BH30" s="591"/>
      <c r="BI30" s="591"/>
      <c r="BJ30" s="591"/>
      <c r="BK30" s="591"/>
      <c r="BL30" s="591"/>
      <c r="BM30" s="591"/>
      <c r="BN30" s="591"/>
      <c r="BO30" s="580"/>
      <c r="BP30" s="566">
        <f>60%*'Datastream - Indices'!AV29</f>
        <v>-7.2072119153383796E-2</v>
      </c>
      <c r="BQ30" s="566">
        <f>5%*'Datastream - Indices'!AW29</f>
        <v>-4.144612900331926E-3</v>
      </c>
      <c r="BR30" s="588">
        <f>0%</f>
        <v>0</v>
      </c>
      <c r="BS30" s="588">
        <f>(0.3+0.05)*'Datastream - Indices'!AY29</f>
        <v>4.0949999999999997E-3</v>
      </c>
      <c r="BT30" s="588">
        <f>0%</f>
        <v>0</v>
      </c>
      <c r="BU30" s="588">
        <f>0%</f>
        <v>0</v>
      </c>
      <c r="BV30" s="588">
        <f t="shared" si="0"/>
        <v>-7.212173205371572E-2</v>
      </c>
    </row>
    <row r="31" spans="1:74" ht="16.5" customHeight="1">
      <c r="A31" s="550"/>
      <c r="B31" s="566"/>
      <c r="C31" s="566"/>
      <c r="D31" s="566"/>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I31" s="550"/>
      <c r="AJ31" s="590"/>
      <c r="AK31" s="590"/>
      <c r="AL31" s="588"/>
      <c r="AM31" s="588"/>
      <c r="AN31" s="588"/>
      <c r="AO31" s="588"/>
      <c r="AP31" s="588"/>
      <c r="AQ31" s="588"/>
      <c r="AR31" s="588"/>
      <c r="AS31" s="588"/>
      <c r="AT31" s="588"/>
      <c r="AU31" s="588"/>
      <c r="AV31" s="588"/>
      <c r="AW31" s="588"/>
      <c r="AX31" s="588"/>
      <c r="AY31" s="588"/>
      <c r="AZ31" s="588"/>
      <c r="BA31" s="588"/>
      <c r="BD31" s="550"/>
      <c r="BE31" s="591"/>
      <c r="BF31" s="591"/>
      <c r="BG31" s="591"/>
      <c r="BH31" s="591"/>
      <c r="BI31" s="591"/>
      <c r="BJ31" s="591"/>
      <c r="BK31" s="591"/>
      <c r="BL31" s="591"/>
      <c r="BM31" s="591"/>
      <c r="BN31" s="591"/>
      <c r="BO31" s="580"/>
      <c r="BP31" s="566">
        <f>60%*'Datastream - Indices'!AV30</f>
        <v>2.3188405797101463E-2</v>
      </c>
      <c r="BQ31" s="566">
        <f>5%*'Datastream - Indices'!AW30</f>
        <v>1.2257487587884852E-3</v>
      </c>
      <c r="BR31" s="588">
        <f>0%</f>
        <v>0</v>
      </c>
      <c r="BS31" s="588">
        <f>(0.3+0.05)*'Datastream - Indices'!AY30</f>
        <v>3.2550000000000001E-3</v>
      </c>
      <c r="BT31" s="588">
        <f>0%</f>
        <v>0</v>
      </c>
      <c r="BU31" s="588">
        <f>0%</f>
        <v>0</v>
      </c>
      <c r="BV31" s="588">
        <f t="shared" si="0"/>
        <v>2.766915455588995E-2</v>
      </c>
    </row>
    <row r="32" spans="1:74" ht="16.5" customHeight="1">
      <c r="A32" s="550">
        <v>2009</v>
      </c>
      <c r="B32" s="566"/>
      <c r="C32" s="566">
        <f>SUM(G32:J32)+X32+W32+E32+F32+B32</f>
        <v>0.6</v>
      </c>
      <c r="D32" s="566">
        <f>SUM(K32)</f>
        <v>0.05</v>
      </c>
      <c r="E32" s="588"/>
      <c r="F32" s="588"/>
      <c r="G32" s="588">
        <v>0.15</v>
      </c>
      <c r="H32" s="588">
        <v>0.45</v>
      </c>
      <c r="I32" s="588"/>
      <c r="J32" s="588"/>
      <c r="K32" s="588">
        <v>0.05</v>
      </c>
      <c r="L32" s="588">
        <f>SUM(M32:V32)</f>
        <v>0.35</v>
      </c>
      <c r="M32" s="588"/>
      <c r="N32" s="588">
        <v>0.05</v>
      </c>
      <c r="O32" s="588"/>
      <c r="P32" s="588"/>
      <c r="Q32" s="588">
        <v>0.05</v>
      </c>
      <c r="R32" s="588"/>
      <c r="S32" s="588"/>
      <c r="T32" s="588">
        <v>0.25</v>
      </c>
      <c r="U32" s="588"/>
      <c r="V32" s="588"/>
      <c r="W32" s="588"/>
      <c r="X32" s="588"/>
      <c r="Y32" s="588">
        <f>AD32</f>
        <v>0</v>
      </c>
      <c r="Z32" s="588">
        <f>AA32+AC32+AE32</f>
        <v>0</v>
      </c>
      <c r="AA32" s="588"/>
      <c r="AB32" s="588"/>
      <c r="AC32" s="588"/>
      <c r="AD32" s="588"/>
      <c r="AE32" s="588"/>
      <c r="AF32" s="588">
        <f>C32+D32+L32+Z32+AB32+Y32</f>
        <v>1</v>
      </c>
      <c r="AI32" s="550">
        <v>2009</v>
      </c>
      <c r="AJ32" s="590">
        <f>SUM(AL32:AX32)</f>
        <v>0</v>
      </c>
      <c r="AK32" s="590">
        <f>SUM(AY32:AZ32)</f>
        <v>0</v>
      </c>
      <c r="AL32" s="591"/>
      <c r="AM32" s="591"/>
      <c r="AN32" s="591"/>
      <c r="AO32" s="591"/>
      <c r="AP32" s="591"/>
      <c r="AQ32" s="591"/>
      <c r="AR32" s="591"/>
      <c r="AS32" s="591"/>
      <c r="AT32" s="591"/>
      <c r="AU32" s="591"/>
      <c r="AV32" s="591"/>
      <c r="AW32" s="591"/>
      <c r="AX32" s="591"/>
      <c r="AY32" s="591"/>
      <c r="AZ32" s="591"/>
      <c r="BA32" s="591">
        <f>SUM(AL32:AZ32)</f>
        <v>0</v>
      </c>
      <c r="BD32" s="550"/>
      <c r="BE32" s="588"/>
      <c r="BF32" s="588"/>
      <c r="BG32" s="588"/>
      <c r="BH32" s="588"/>
      <c r="BI32" s="588"/>
      <c r="BJ32" s="588"/>
      <c r="BK32" s="588"/>
      <c r="BL32" s="588"/>
      <c r="BM32" s="588"/>
      <c r="BN32" s="588">
        <f>SUM(BE32:BM32)</f>
        <v>0</v>
      </c>
      <c r="BO32" s="580">
        <v>2009</v>
      </c>
      <c r="BP32" s="566">
        <f>60%*'Datastream - Indices'!AV31</f>
        <v>2.3592463048629126E-2</v>
      </c>
      <c r="BQ32" s="566">
        <f>5%*'Datastream - Indices'!AW31</f>
        <v>4.2882687132212603E-3</v>
      </c>
      <c r="BR32" s="588">
        <f>0%</f>
        <v>0</v>
      </c>
      <c r="BS32" s="588">
        <f>(0.3+0.05)*'Datastream - Indices'!AY31</f>
        <v>-7.7000000000000002E-3</v>
      </c>
      <c r="BT32" s="588">
        <f>0%</f>
        <v>0</v>
      </c>
      <c r="BU32" s="588">
        <f>0%</f>
        <v>0</v>
      </c>
      <c r="BV32" s="588">
        <f t="shared" si="0"/>
        <v>2.0180731761850389E-2</v>
      </c>
    </row>
    <row r="33" spans="1:74" ht="16.5" customHeight="1">
      <c r="A33" s="550"/>
      <c r="B33" s="566"/>
      <c r="C33" s="566"/>
      <c r="D33" s="566"/>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I33" s="550"/>
      <c r="AJ33" s="590"/>
      <c r="AK33" s="590"/>
      <c r="AL33" s="591"/>
      <c r="AM33" s="591"/>
      <c r="AN33" s="591"/>
      <c r="AO33" s="591"/>
      <c r="AP33" s="591"/>
      <c r="AQ33" s="591"/>
      <c r="AR33" s="591"/>
      <c r="AS33" s="591"/>
      <c r="AT33" s="591"/>
      <c r="AU33" s="591"/>
      <c r="AV33" s="591"/>
      <c r="AW33" s="591"/>
      <c r="AX33" s="591"/>
      <c r="AY33" s="591"/>
      <c r="AZ33" s="591"/>
      <c r="BA33" s="591"/>
      <c r="BD33" s="550"/>
      <c r="BE33" s="588"/>
      <c r="BF33" s="588"/>
      <c r="BG33" s="588"/>
      <c r="BH33" s="588"/>
      <c r="BI33" s="588"/>
      <c r="BJ33" s="588"/>
      <c r="BK33" s="588"/>
      <c r="BL33" s="588"/>
      <c r="BM33" s="588"/>
      <c r="BN33" s="588"/>
      <c r="BO33" s="580"/>
      <c r="BP33" s="566">
        <f>60%*'Datastream - Indices'!AV32</f>
        <v>0.11148275746730431</v>
      </c>
      <c r="BQ33" s="566">
        <f>5%*'Datastream - Indices'!AW32</f>
        <v>1.0518281450240013E-2</v>
      </c>
      <c r="BR33" s="588">
        <f>0%</f>
        <v>0</v>
      </c>
      <c r="BS33" s="588">
        <f>(0.3+0.05)*'Datastream - Indices'!AY32</f>
        <v>1.1164999999999998E-2</v>
      </c>
      <c r="BT33" s="588">
        <f>0%</f>
        <v>0</v>
      </c>
      <c r="BU33" s="588">
        <f>0%</f>
        <v>0</v>
      </c>
      <c r="BV33" s="588">
        <f t="shared" si="0"/>
        <v>0.13316603891754433</v>
      </c>
    </row>
    <row r="34" spans="1:74" ht="16.5" customHeight="1">
      <c r="A34" s="550"/>
      <c r="B34" s="566"/>
      <c r="C34" s="566"/>
      <c r="D34" s="566"/>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I34" s="550"/>
      <c r="AJ34" s="590"/>
      <c r="AK34" s="590"/>
      <c r="AL34" s="591"/>
      <c r="AM34" s="591"/>
      <c r="AN34" s="591"/>
      <c r="AO34" s="591"/>
      <c r="AP34" s="591"/>
      <c r="AQ34" s="591"/>
      <c r="AR34" s="591"/>
      <c r="AS34" s="591"/>
      <c r="AT34" s="591"/>
      <c r="AU34" s="591"/>
      <c r="AV34" s="591"/>
      <c r="AW34" s="591"/>
      <c r="AX34" s="591"/>
      <c r="AY34" s="591"/>
      <c r="AZ34" s="591"/>
      <c r="BA34" s="591"/>
      <c r="BD34" s="550"/>
      <c r="BE34" s="588"/>
      <c r="BF34" s="588"/>
      <c r="BG34" s="588"/>
      <c r="BH34" s="588"/>
      <c r="BI34" s="588"/>
      <c r="BJ34" s="588"/>
      <c r="BK34" s="588"/>
      <c r="BL34" s="588"/>
      <c r="BM34" s="588"/>
      <c r="BN34" s="588"/>
      <c r="BO34" s="580"/>
      <c r="BP34" s="566">
        <f>60%*'Datastream - Indices'!AV33</f>
        <v>0.1340289712742451</v>
      </c>
      <c r="BQ34" s="566">
        <f>5%*'Datastream - Indices'!AW33</f>
        <v>1.7421658287545234E-2</v>
      </c>
      <c r="BR34" s="588">
        <f>0%</f>
        <v>0</v>
      </c>
      <c r="BS34" s="588">
        <f>(0.3+0.05)*'Datastream - Indices'!AY33</f>
        <v>9.4499999999999998E-4</v>
      </c>
      <c r="BT34" s="588">
        <f>0%</f>
        <v>0</v>
      </c>
      <c r="BU34" s="588">
        <f>0%</f>
        <v>0</v>
      </c>
      <c r="BV34" s="588">
        <f t="shared" si="0"/>
        <v>0.15239562956179034</v>
      </c>
    </row>
    <row r="35" spans="1:74" ht="16.5" customHeight="1">
      <c r="A35" s="550"/>
      <c r="B35" s="566"/>
      <c r="C35" s="566"/>
      <c r="D35" s="566"/>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I35" s="550"/>
      <c r="AJ35" s="590"/>
      <c r="AK35" s="590"/>
      <c r="AL35" s="591"/>
      <c r="AM35" s="591"/>
      <c r="AN35" s="591"/>
      <c r="AO35" s="591"/>
      <c r="AP35" s="591"/>
      <c r="AQ35" s="591"/>
      <c r="AR35" s="591"/>
      <c r="AS35" s="591"/>
      <c r="AT35" s="591"/>
      <c r="AU35" s="591"/>
      <c r="AV35" s="591"/>
      <c r="AW35" s="591"/>
      <c r="AX35" s="591"/>
      <c r="AY35" s="591"/>
      <c r="AZ35" s="591"/>
      <c r="BA35" s="591"/>
      <c r="BD35" s="550"/>
      <c r="BE35" s="588"/>
      <c r="BF35" s="588"/>
      <c r="BG35" s="588"/>
      <c r="BH35" s="588"/>
      <c r="BI35" s="588"/>
      <c r="BJ35" s="588"/>
      <c r="BK35" s="588"/>
      <c r="BL35" s="588"/>
      <c r="BM35" s="588"/>
      <c r="BN35" s="588"/>
      <c r="BO35" s="580"/>
      <c r="BP35" s="566">
        <f>60%*'Datastream - Indices'!AV34</f>
        <v>-6.9527151694945971E-2</v>
      </c>
      <c r="BQ35" s="566">
        <f>5%*'Datastream - Indices'!AW34</f>
        <v>5.1182601640823236E-4</v>
      </c>
      <c r="BR35" s="588">
        <f>0%</f>
        <v>0</v>
      </c>
      <c r="BS35" s="588">
        <f>(0.3+0.05)*'Datastream - Indices'!AY34</f>
        <v>9.9399999999999992E-3</v>
      </c>
      <c r="BT35" s="588">
        <f>0%</f>
        <v>0</v>
      </c>
      <c r="BU35" s="588">
        <f>0%</f>
        <v>0</v>
      </c>
      <c r="BV35" s="588">
        <f t="shared" si="0"/>
        <v>-5.9075325678537745E-2</v>
      </c>
    </row>
    <row r="36" spans="1:74" ht="16.5" customHeight="1">
      <c r="A36" s="550">
        <v>2008</v>
      </c>
      <c r="B36" s="593"/>
      <c r="C36" s="566">
        <f>SUM(G36:J36)+X36+W36+E36+F36+B36</f>
        <v>0.65</v>
      </c>
      <c r="D36" s="566">
        <f>SUM(K36)</f>
        <v>0</v>
      </c>
      <c r="E36" s="591"/>
      <c r="F36" s="591"/>
      <c r="G36" s="591">
        <v>0.25</v>
      </c>
      <c r="H36" s="591"/>
      <c r="I36" s="591">
        <v>0.4</v>
      </c>
      <c r="J36" s="591"/>
      <c r="K36" s="591"/>
      <c r="L36" s="588">
        <f>SUM(M36:V36)</f>
        <v>0.35</v>
      </c>
      <c r="M36" s="591"/>
      <c r="N36" s="591"/>
      <c r="O36" s="591"/>
      <c r="P36" s="591"/>
      <c r="Q36" s="591">
        <v>0.1</v>
      </c>
      <c r="R36" s="591"/>
      <c r="S36" s="591"/>
      <c r="T36" s="591"/>
      <c r="U36" s="591"/>
      <c r="V36" s="591">
        <v>0.25</v>
      </c>
      <c r="W36" s="591"/>
      <c r="X36" s="591"/>
      <c r="Y36" s="588">
        <f>AD36</f>
        <v>0</v>
      </c>
      <c r="Z36" s="588">
        <f>AA36+AC36+AE36</f>
        <v>0</v>
      </c>
      <c r="AA36" s="591"/>
      <c r="AB36" s="591"/>
      <c r="AC36" s="591"/>
      <c r="AD36" s="591"/>
      <c r="AE36" s="591"/>
      <c r="AF36" s="588">
        <f>C36+D36+L36+Z36+AB36+Y36</f>
        <v>1</v>
      </c>
      <c r="AI36" s="550">
        <v>2008</v>
      </c>
      <c r="AJ36" s="590">
        <f>SUM(AL36:AX36)</f>
        <v>0</v>
      </c>
      <c r="AK36" s="590">
        <f>SUM(AY36:AZ36)</f>
        <v>0</v>
      </c>
      <c r="AL36" s="591"/>
      <c r="AM36" s="591"/>
      <c r="AN36" s="591"/>
      <c r="AO36" s="591"/>
      <c r="AP36" s="591"/>
      <c r="AQ36" s="591"/>
      <c r="AR36" s="591"/>
      <c r="AS36" s="591"/>
      <c r="AT36" s="591"/>
      <c r="AU36" s="591"/>
      <c r="AV36" s="591"/>
      <c r="AW36" s="591"/>
      <c r="AX36" s="591"/>
      <c r="AY36" s="591"/>
      <c r="AZ36" s="591"/>
      <c r="BA36" s="591">
        <f>SUM(AL36:AZ36)</f>
        <v>0</v>
      </c>
      <c r="BD36" s="550">
        <v>2008</v>
      </c>
      <c r="BE36" s="591"/>
      <c r="BF36" s="591"/>
      <c r="BG36" s="591"/>
      <c r="BH36" s="591"/>
      <c r="BI36" s="591"/>
      <c r="BJ36" s="591"/>
      <c r="BK36" s="591"/>
      <c r="BL36" s="591"/>
      <c r="BM36" s="591"/>
      <c r="BN36" s="591">
        <f>SUM(BE36:BM36)</f>
        <v>0</v>
      </c>
      <c r="BO36" s="580">
        <v>2008</v>
      </c>
      <c r="BP36" s="566">
        <f>60%*'Datastream - Indices'!AV35</f>
        <v>-0.13438894971784718</v>
      </c>
      <c r="BQ36" s="566">
        <f>5%*'Datastream - Indices'!AW35</f>
        <v>-1.3779178117517589E-2</v>
      </c>
      <c r="BR36" s="588">
        <f>0%</f>
        <v>0</v>
      </c>
      <c r="BS36" s="588">
        <f>(0.3+0.05)*'Datastream - Indices'!AY35</f>
        <v>2.6284999999999999E-2</v>
      </c>
      <c r="BT36" s="588">
        <f>0%</f>
        <v>0</v>
      </c>
      <c r="BU36" s="588">
        <f>0%</f>
        <v>0</v>
      </c>
      <c r="BV36" s="588">
        <f t="shared" si="0"/>
        <v>-0.12188312783536476</v>
      </c>
    </row>
    <row r="37" spans="1:74" ht="16.5" customHeight="1">
      <c r="A37" s="550"/>
      <c r="B37" s="593"/>
      <c r="C37" s="566"/>
      <c r="D37" s="566"/>
      <c r="E37" s="591"/>
      <c r="F37" s="591"/>
      <c r="G37" s="591"/>
      <c r="H37" s="591"/>
      <c r="I37" s="591"/>
      <c r="J37" s="591"/>
      <c r="K37" s="591"/>
      <c r="L37" s="588"/>
      <c r="M37" s="591"/>
      <c r="N37" s="591"/>
      <c r="O37" s="591"/>
      <c r="P37" s="591"/>
      <c r="Q37" s="591"/>
      <c r="R37" s="591"/>
      <c r="S37" s="591"/>
      <c r="T37" s="591"/>
      <c r="U37" s="591"/>
      <c r="V37" s="591"/>
      <c r="W37" s="591"/>
      <c r="X37" s="591"/>
      <c r="Y37" s="588"/>
      <c r="Z37" s="588"/>
      <c r="AA37" s="591"/>
      <c r="AB37" s="591"/>
      <c r="AC37" s="591"/>
      <c r="AD37" s="591"/>
      <c r="AE37" s="591"/>
      <c r="AF37" s="588"/>
      <c r="AI37" s="550"/>
      <c r="AJ37" s="590"/>
      <c r="AK37" s="590"/>
      <c r="AL37" s="591"/>
      <c r="AM37" s="591"/>
      <c r="AN37" s="591"/>
      <c r="AO37" s="591"/>
      <c r="AP37" s="591"/>
      <c r="AQ37" s="591"/>
      <c r="AR37" s="591"/>
      <c r="AS37" s="591"/>
      <c r="AT37" s="591"/>
      <c r="AU37" s="591"/>
      <c r="AV37" s="591"/>
      <c r="AW37" s="591"/>
      <c r="AX37" s="591"/>
      <c r="AY37" s="591"/>
      <c r="AZ37" s="591"/>
      <c r="BA37" s="591"/>
      <c r="BD37" s="550"/>
      <c r="BE37" s="591"/>
      <c r="BF37" s="591"/>
      <c r="BG37" s="591"/>
      <c r="BH37" s="591"/>
      <c r="BI37" s="591"/>
      <c r="BJ37" s="591"/>
      <c r="BK37" s="591"/>
      <c r="BL37" s="591"/>
      <c r="BM37" s="591"/>
      <c r="BN37" s="591"/>
      <c r="BO37" s="580"/>
      <c r="BP37" s="566">
        <f>60%*'Datastream - Indices'!AV36</f>
        <v>-9.2148662135830048E-2</v>
      </c>
      <c r="BQ37" s="566">
        <f>5%*'Datastream - Indices'!AW36</f>
        <v>-1.3428888820654992E-2</v>
      </c>
      <c r="BR37" s="588">
        <f>0%</f>
        <v>0</v>
      </c>
      <c r="BS37" s="588">
        <f>(0.3+0.05)*'Datastream - Indices'!AY36</f>
        <v>-1.141E-2</v>
      </c>
      <c r="BT37" s="588">
        <f>0%</f>
        <v>0</v>
      </c>
      <c r="BU37" s="588">
        <f>0%</f>
        <v>0</v>
      </c>
      <c r="BV37" s="588">
        <f t="shared" si="0"/>
        <v>-0.11698755095648504</v>
      </c>
    </row>
    <row r="38" spans="1:74" ht="16.5" customHeight="1">
      <c r="A38" s="550"/>
      <c r="B38" s="593"/>
      <c r="C38" s="566"/>
      <c r="D38" s="566"/>
      <c r="E38" s="591"/>
      <c r="F38" s="591"/>
      <c r="G38" s="591"/>
      <c r="H38" s="591"/>
      <c r="I38" s="591"/>
      <c r="J38" s="591"/>
      <c r="K38" s="591"/>
      <c r="L38" s="588"/>
      <c r="M38" s="591"/>
      <c r="N38" s="591"/>
      <c r="O38" s="591"/>
      <c r="P38" s="591"/>
      <c r="Q38" s="591"/>
      <c r="R38" s="591"/>
      <c r="S38" s="591"/>
      <c r="T38" s="591"/>
      <c r="U38" s="591"/>
      <c r="V38" s="591"/>
      <c r="W38" s="591"/>
      <c r="X38" s="591"/>
      <c r="Y38" s="588"/>
      <c r="Z38" s="588"/>
      <c r="AA38" s="591"/>
      <c r="AB38" s="591"/>
      <c r="AC38" s="591"/>
      <c r="AD38" s="591"/>
      <c r="AE38" s="591"/>
      <c r="AF38" s="588"/>
      <c r="AI38" s="550"/>
      <c r="AJ38" s="590"/>
      <c r="AK38" s="590"/>
      <c r="AL38" s="591"/>
      <c r="AM38" s="591"/>
      <c r="AN38" s="591"/>
      <c r="AO38" s="591"/>
      <c r="AP38" s="591"/>
      <c r="AQ38" s="591"/>
      <c r="AR38" s="591"/>
      <c r="AS38" s="591"/>
      <c r="AT38" s="591"/>
      <c r="AU38" s="591"/>
      <c r="AV38" s="591"/>
      <c r="AW38" s="591"/>
      <c r="AX38" s="591"/>
      <c r="AY38" s="591"/>
      <c r="AZ38" s="591"/>
      <c r="BA38" s="591"/>
      <c r="BD38" s="550"/>
      <c r="BE38" s="591"/>
      <c r="BF38" s="591"/>
      <c r="BG38" s="591"/>
      <c r="BH38" s="591"/>
      <c r="BI38" s="591"/>
      <c r="BJ38" s="591"/>
      <c r="BK38" s="591"/>
      <c r="BL38" s="591"/>
      <c r="BM38" s="591"/>
      <c r="BN38" s="591"/>
      <c r="BO38" s="580"/>
      <c r="BP38" s="566">
        <f>60%*'Datastream - Indices'!AV37</f>
        <v>-8.9468386432266737E-3</v>
      </c>
      <c r="BQ38" s="566">
        <f>5%*'Datastream - Indices'!AW37</f>
        <v>-4.0323721051658233E-4</v>
      </c>
      <c r="BR38" s="588">
        <f>0%</f>
        <v>0</v>
      </c>
      <c r="BS38" s="588">
        <f>(0.3+0.05)*'Datastream - Indices'!AY37</f>
        <v>-1.8199999999999998E-3</v>
      </c>
      <c r="BT38" s="588">
        <f>0%</f>
        <v>0</v>
      </c>
      <c r="BU38" s="588">
        <f>0%</f>
        <v>0</v>
      </c>
      <c r="BV38" s="588">
        <f t="shared" si="0"/>
        <v>-1.1170075853743256E-2</v>
      </c>
    </row>
    <row r="39" spans="1:74" ht="16.5" customHeight="1">
      <c r="A39" s="550"/>
      <c r="B39" s="593"/>
      <c r="C39" s="566"/>
      <c r="D39" s="566"/>
      <c r="E39" s="591"/>
      <c r="F39" s="591"/>
      <c r="G39" s="591"/>
      <c r="H39" s="591"/>
      <c r="I39" s="591"/>
      <c r="J39" s="591"/>
      <c r="K39" s="591"/>
      <c r="L39" s="588"/>
      <c r="M39" s="591"/>
      <c r="N39" s="591"/>
      <c r="O39" s="591"/>
      <c r="P39" s="591"/>
      <c r="Q39" s="591"/>
      <c r="R39" s="591"/>
      <c r="S39" s="591"/>
      <c r="T39" s="591"/>
      <c r="U39" s="591"/>
      <c r="V39" s="591"/>
      <c r="W39" s="591"/>
      <c r="X39" s="591"/>
      <c r="Y39" s="588"/>
      <c r="Z39" s="588"/>
      <c r="AA39" s="591"/>
      <c r="AB39" s="591"/>
      <c r="AC39" s="591"/>
      <c r="AD39" s="591"/>
      <c r="AE39" s="591"/>
      <c r="AF39" s="588"/>
      <c r="AI39" s="550"/>
      <c r="AJ39" s="590"/>
      <c r="AK39" s="590"/>
      <c r="AL39" s="591"/>
      <c r="AM39" s="591"/>
      <c r="AN39" s="591"/>
      <c r="AO39" s="591"/>
      <c r="AP39" s="591"/>
      <c r="AQ39" s="591"/>
      <c r="AR39" s="591"/>
      <c r="AS39" s="591"/>
      <c r="AT39" s="591"/>
      <c r="AU39" s="591"/>
      <c r="AV39" s="591"/>
      <c r="AW39" s="591"/>
      <c r="AX39" s="591"/>
      <c r="AY39" s="591"/>
      <c r="AZ39" s="591"/>
      <c r="BA39" s="591"/>
      <c r="BD39" s="550"/>
      <c r="BE39" s="591"/>
      <c r="BF39" s="591"/>
      <c r="BG39" s="591"/>
      <c r="BH39" s="591"/>
      <c r="BI39" s="591"/>
      <c r="BJ39" s="591"/>
      <c r="BK39" s="591"/>
      <c r="BL39" s="591"/>
      <c r="BM39" s="591"/>
      <c r="BN39" s="591"/>
      <c r="BO39" s="580"/>
      <c r="BP39" s="566">
        <f>60%*'Datastream - Indices'!AV38</f>
        <v>-5.3674652570551658E-2</v>
      </c>
      <c r="BQ39" s="566">
        <f>5%*'Datastream - Indices'!AW38</f>
        <v>-5.4621388696042654E-3</v>
      </c>
      <c r="BR39" s="588">
        <f>0%</f>
        <v>0</v>
      </c>
      <c r="BS39" s="588">
        <f>(0.3+0.05)*'Datastream - Indices'!AY38</f>
        <v>6.2299999999999994E-3</v>
      </c>
      <c r="BT39" s="588">
        <f>0%</f>
        <v>0</v>
      </c>
      <c r="BU39" s="588">
        <f>0%</f>
        <v>0</v>
      </c>
      <c r="BV39" s="588">
        <f t="shared" si="0"/>
        <v>-5.290679144015592E-2</v>
      </c>
    </row>
    <row r="40" spans="1:74" ht="16.5" customHeight="1">
      <c r="A40" s="550">
        <v>2007</v>
      </c>
      <c r="B40" s="566"/>
      <c r="C40" s="566">
        <f>SUM(G40:J40)+X40+W40+E40+F40+B40</f>
        <v>0.65</v>
      </c>
      <c r="D40" s="566">
        <f>SUM(K40)</f>
        <v>0</v>
      </c>
      <c r="E40" s="588"/>
      <c r="F40" s="588"/>
      <c r="G40" s="588">
        <v>0.25</v>
      </c>
      <c r="H40" s="588"/>
      <c r="I40" s="588">
        <v>0.4</v>
      </c>
      <c r="J40" s="588"/>
      <c r="K40" s="588"/>
      <c r="L40" s="588">
        <f>SUM(M40:V40)</f>
        <v>0.35</v>
      </c>
      <c r="M40" s="588"/>
      <c r="N40" s="588"/>
      <c r="O40" s="588"/>
      <c r="P40" s="588"/>
      <c r="Q40" s="588">
        <v>0.1</v>
      </c>
      <c r="R40" s="588"/>
      <c r="S40" s="588">
        <v>0.25</v>
      </c>
      <c r="T40" s="588"/>
      <c r="U40" s="588"/>
      <c r="V40" s="588"/>
      <c r="W40" s="588"/>
      <c r="X40" s="588"/>
      <c r="Y40" s="588">
        <f>AD40</f>
        <v>0</v>
      </c>
      <c r="Z40" s="588">
        <f>AA40+AC40+AE40</f>
        <v>0</v>
      </c>
      <c r="AA40" s="588"/>
      <c r="AB40" s="588"/>
      <c r="AC40" s="588"/>
      <c r="AD40" s="588"/>
      <c r="AE40" s="588"/>
      <c r="AF40" s="588">
        <f>C40+D40+L40+Z40+AB40+Y40</f>
        <v>1</v>
      </c>
      <c r="AI40" s="550">
        <v>2007</v>
      </c>
      <c r="AJ40" s="590">
        <f>SUM(AL40:AX40)</f>
        <v>0</v>
      </c>
      <c r="AK40" s="590">
        <f>SUM(AY40:AZ40)</f>
        <v>0</v>
      </c>
      <c r="AL40" s="588"/>
      <c r="AM40" s="588"/>
      <c r="AN40" s="588"/>
      <c r="AO40" s="588"/>
      <c r="AP40" s="588"/>
      <c r="AQ40" s="588"/>
      <c r="AR40" s="588"/>
      <c r="AS40" s="588"/>
      <c r="AT40" s="588"/>
      <c r="AU40" s="588"/>
      <c r="AV40" s="588"/>
      <c r="AW40" s="588"/>
      <c r="AX40" s="588"/>
      <c r="AY40" s="588"/>
      <c r="AZ40" s="588"/>
      <c r="BA40" s="588">
        <f>SUM(AL40:AZ40)</f>
        <v>0</v>
      </c>
      <c r="BD40" s="550">
        <v>2007</v>
      </c>
      <c r="BE40" s="588"/>
      <c r="BF40" s="588"/>
      <c r="BG40" s="588"/>
      <c r="BH40" s="588"/>
      <c r="BI40" s="588"/>
      <c r="BJ40" s="588"/>
      <c r="BK40" s="588"/>
      <c r="BL40" s="588"/>
      <c r="BM40" s="588"/>
      <c r="BN40" s="588">
        <f>SUM(BE40:BM40)</f>
        <v>0</v>
      </c>
      <c r="BO40" s="580">
        <v>2007</v>
      </c>
      <c r="BP40" s="566">
        <f>60%*'Datastream - Indices'!AV39</f>
        <v>-1.5048937098684611E-2</v>
      </c>
      <c r="BQ40" s="566">
        <f>5%*'Datastream - Indices'!AW39</f>
        <v>1.8279173006714167E-3</v>
      </c>
      <c r="BR40" s="588">
        <f>0%</f>
        <v>0</v>
      </c>
      <c r="BS40" s="588">
        <f>(0.3+0.05)*'Datastream - Indices'!AY39</f>
        <v>-6.2999999999999992E-4</v>
      </c>
      <c r="BT40" s="588">
        <f>0%</f>
        <v>0</v>
      </c>
      <c r="BU40" s="588">
        <f>0%</f>
        <v>0</v>
      </c>
      <c r="BV40" s="588">
        <f t="shared" si="0"/>
        <v>-1.3851019798013195E-2</v>
      </c>
    </row>
    <row r="41" spans="1:74" ht="16.5" customHeight="1">
      <c r="A41" s="550"/>
      <c r="B41" s="566"/>
      <c r="C41" s="566"/>
      <c r="D41" s="566"/>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I41" s="550"/>
      <c r="AJ41" s="590"/>
      <c r="AK41" s="590"/>
      <c r="AL41" s="588"/>
      <c r="AM41" s="588"/>
      <c r="AN41" s="588"/>
      <c r="AO41" s="588"/>
      <c r="AP41" s="588"/>
      <c r="AQ41" s="588"/>
      <c r="AR41" s="588"/>
      <c r="AS41" s="588"/>
      <c r="AT41" s="588"/>
      <c r="AU41" s="588"/>
      <c r="AV41" s="588"/>
      <c r="AW41" s="588"/>
      <c r="AX41" s="588"/>
      <c r="AY41" s="588"/>
      <c r="AZ41" s="588"/>
      <c r="BA41" s="588"/>
      <c r="BD41" s="550"/>
      <c r="BE41" s="588"/>
      <c r="BF41" s="588"/>
      <c r="BG41" s="588"/>
      <c r="BH41" s="588"/>
      <c r="BI41" s="588"/>
      <c r="BJ41" s="588"/>
      <c r="BK41" s="588"/>
      <c r="BL41" s="588"/>
      <c r="BM41" s="588"/>
      <c r="BN41" s="588"/>
      <c r="BO41" s="580"/>
      <c r="BP41" s="566">
        <f>60%*'Datastream - Indices'!AV40</f>
        <v>1.2433716540109423E-2</v>
      </c>
      <c r="BQ41" s="566">
        <f>5%*'Datastream - Indices'!AW40</f>
        <v>7.2607457173272053E-3</v>
      </c>
      <c r="BR41" s="588">
        <f>0%</f>
        <v>0</v>
      </c>
      <c r="BS41" s="588">
        <f>(0.3+0.05)*'Datastream - Indices'!AY40</f>
        <v>7.9450000000000007E-3</v>
      </c>
      <c r="BT41" s="588">
        <f>0%</f>
        <v>0</v>
      </c>
      <c r="BU41" s="588">
        <f>0%</f>
        <v>0</v>
      </c>
      <c r="BV41" s="588">
        <f t="shared" si="0"/>
        <v>2.7639462257436631E-2</v>
      </c>
    </row>
    <row r="42" spans="1:74" ht="16.5" customHeight="1">
      <c r="A42" s="550"/>
      <c r="B42" s="566"/>
      <c r="C42" s="566"/>
      <c r="D42" s="566"/>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I42" s="550"/>
      <c r="AJ42" s="590"/>
      <c r="AK42" s="590"/>
      <c r="AL42" s="588"/>
      <c r="AM42" s="588"/>
      <c r="AN42" s="588"/>
      <c r="AO42" s="588"/>
      <c r="AP42" s="588"/>
      <c r="AQ42" s="588"/>
      <c r="AR42" s="588"/>
      <c r="AS42" s="588"/>
      <c r="AT42" s="588"/>
      <c r="AU42" s="588"/>
      <c r="AV42" s="588"/>
      <c r="AW42" s="588"/>
      <c r="AX42" s="588"/>
      <c r="AY42" s="588"/>
      <c r="AZ42" s="588"/>
      <c r="BA42" s="588"/>
      <c r="BD42" s="550"/>
      <c r="BE42" s="588"/>
      <c r="BF42" s="588"/>
      <c r="BG42" s="588"/>
      <c r="BH42" s="588"/>
      <c r="BI42" s="588"/>
      <c r="BJ42" s="588"/>
      <c r="BK42" s="588"/>
      <c r="BL42" s="588"/>
      <c r="BM42" s="588"/>
      <c r="BN42" s="588"/>
      <c r="BO42" s="580"/>
      <c r="BP42" s="566">
        <f>60%*'Datastream - Indices'!AV41</f>
        <v>4.0904456578380995E-2</v>
      </c>
      <c r="BQ42" s="566">
        <f>5%*'Datastream - Indices'!AW41</f>
        <v>7.535991243244812E-3</v>
      </c>
      <c r="BR42" s="588">
        <f>0%</f>
        <v>0</v>
      </c>
      <c r="BS42" s="588">
        <f>(0.3+0.05)*'Datastream - Indices'!AY41</f>
        <v>-1.6799999999999999E-3</v>
      </c>
      <c r="BT42" s="588">
        <f>0%</f>
        <v>0</v>
      </c>
      <c r="BU42" s="588">
        <f>0%</f>
        <v>0</v>
      </c>
      <c r="BV42" s="588">
        <f t="shared" si="0"/>
        <v>4.6760447821625806E-2</v>
      </c>
    </row>
    <row r="43" spans="1:74" ht="16.5" customHeight="1">
      <c r="A43" s="550"/>
      <c r="B43" s="566"/>
      <c r="C43" s="566"/>
      <c r="D43" s="566"/>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I43" s="550"/>
      <c r="AJ43" s="590"/>
      <c r="AK43" s="590"/>
      <c r="AL43" s="588"/>
      <c r="AM43" s="588"/>
      <c r="AN43" s="588"/>
      <c r="AO43" s="588"/>
      <c r="AP43" s="588"/>
      <c r="AQ43" s="588"/>
      <c r="AR43" s="588"/>
      <c r="AS43" s="588"/>
      <c r="AT43" s="588"/>
      <c r="AU43" s="588"/>
      <c r="AV43" s="588"/>
      <c r="AW43" s="588"/>
      <c r="AX43" s="588"/>
      <c r="AY43" s="588"/>
      <c r="AZ43" s="588"/>
      <c r="BA43" s="588"/>
      <c r="BD43" s="550"/>
      <c r="BE43" s="588"/>
      <c r="BF43" s="588"/>
      <c r="BG43" s="588"/>
      <c r="BH43" s="588"/>
      <c r="BI43" s="588"/>
      <c r="BJ43" s="588"/>
      <c r="BK43" s="588"/>
      <c r="BL43" s="588"/>
      <c r="BM43" s="588"/>
      <c r="BN43" s="588"/>
      <c r="BO43" s="580"/>
      <c r="BP43" s="566">
        <f>60%*'Datastream - Indices'!AV42</f>
        <v>1.7559815307121886E-2</v>
      </c>
      <c r="BQ43" s="566">
        <f>5%*'Datastream - Indices'!AW42</f>
        <v>1.179449940016491E-3</v>
      </c>
      <c r="BR43" s="588">
        <f>0%</f>
        <v>0</v>
      </c>
      <c r="BS43" s="588">
        <f>(0.3+0.05)*'Datastream - Indices'!AY42</f>
        <v>1.2949999999999999E-3</v>
      </c>
      <c r="BT43" s="588">
        <f>0%</f>
        <v>0</v>
      </c>
      <c r="BU43" s="588">
        <f>0%</f>
        <v>0</v>
      </c>
      <c r="BV43" s="588">
        <f t="shared" si="0"/>
        <v>2.0034265247138378E-2</v>
      </c>
    </row>
    <row r="44" spans="1:74" ht="16.5" customHeight="1">
      <c r="A44" s="550" t="s">
        <v>660</v>
      </c>
      <c r="B44" s="593"/>
      <c r="C44" s="566">
        <f>SUM(G44:J44)+X44+W44+E44+F44+B44</f>
        <v>0.65</v>
      </c>
      <c r="D44" s="566">
        <f>SUM(K44)</f>
        <v>0</v>
      </c>
      <c r="E44" s="591"/>
      <c r="F44" s="591"/>
      <c r="G44" s="591">
        <v>0.25</v>
      </c>
      <c r="H44" s="591"/>
      <c r="I44" s="591">
        <v>0.4</v>
      </c>
      <c r="J44" s="591"/>
      <c r="K44" s="591"/>
      <c r="L44" s="588">
        <f>SUM(M44:V44)</f>
        <v>0.35</v>
      </c>
      <c r="M44" s="591"/>
      <c r="N44" s="591"/>
      <c r="O44" s="591"/>
      <c r="P44" s="591"/>
      <c r="Q44" s="591">
        <v>0.1</v>
      </c>
      <c r="R44" s="591"/>
      <c r="S44" s="591"/>
      <c r="T44" s="591"/>
      <c r="U44" s="591"/>
      <c r="V44" s="591">
        <v>0.25</v>
      </c>
      <c r="W44" s="591"/>
      <c r="X44" s="591"/>
      <c r="Y44" s="588">
        <f>AD44</f>
        <v>0</v>
      </c>
      <c r="Z44" s="588">
        <f>AA44+AC44+AE44</f>
        <v>0</v>
      </c>
      <c r="AA44" s="591"/>
      <c r="AB44" s="591"/>
      <c r="AC44" s="591"/>
      <c r="AD44" s="591"/>
      <c r="AE44" s="591"/>
      <c r="AF44" s="588">
        <f>C44+D44+L44+Z44+AB44+Y44</f>
        <v>1</v>
      </c>
      <c r="AI44" s="550">
        <v>2006</v>
      </c>
      <c r="AJ44" s="590">
        <f>SUM(AL44:AX44)</f>
        <v>0</v>
      </c>
      <c r="AK44" s="590">
        <f>SUM(AY44:AZ44)</f>
        <v>0</v>
      </c>
      <c r="AL44" s="591"/>
      <c r="AM44" s="591"/>
      <c r="AN44" s="591"/>
      <c r="AO44" s="591"/>
      <c r="AP44" s="591"/>
      <c r="AQ44" s="591"/>
      <c r="AR44" s="591"/>
      <c r="AS44" s="591"/>
      <c r="AT44" s="591"/>
      <c r="AU44" s="591"/>
      <c r="AV44" s="591"/>
      <c r="AW44" s="591"/>
      <c r="AX44" s="591"/>
      <c r="AY44" s="591"/>
      <c r="AZ44" s="591"/>
      <c r="BA44" s="591">
        <f>SUM(AL44:AZ44)</f>
        <v>0</v>
      </c>
      <c r="BD44" s="550">
        <v>2006</v>
      </c>
      <c r="BE44" s="591"/>
      <c r="BF44" s="591"/>
      <c r="BG44" s="591"/>
      <c r="BH44" s="591"/>
      <c r="BI44" s="591"/>
      <c r="BJ44" s="591"/>
      <c r="BK44" s="591"/>
      <c r="BL44" s="591"/>
      <c r="BM44" s="591"/>
      <c r="BN44" s="591">
        <f>SUM(BE44:BM44)</f>
        <v>0</v>
      </c>
      <c r="BO44" s="580" t="s">
        <v>660</v>
      </c>
      <c r="BP44" s="566">
        <f>60%*'Datastream - Indices'!AV43</f>
        <v>5.1999391819978695E-2</v>
      </c>
      <c r="BQ44" s="566">
        <f>5%*'Datastream - Indices'!AW43</f>
        <v>8.8178177978763712E-3</v>
      </c>
      <c r="BR44" s="588">
        <f>0%</f>
        <v>0</v>
      </c>
      <c r="BS44" s="588">
        <f>(0.3+0.05)*'Datastream - Indices'!AY43</f>
        <v>-2.905E-3</v>
      </c>
      <c r="BT44" s="588">
        <f>0%</f>
        <v>0</v>
      </c>
      <c r="BU44" s="588">
        <f>0%</f>
        <v>0</v>
      </c>
      <c r="BV44" s="588">
        <f t="shared" si="0"/>
        <v>5.7912209617855072E-2</v>
      </c>
    </row>
    <row r="45" spans="1:74" ht="16.5" customHeight="1">
      <c r="A45" s="550"/>
      <c r="B45" s="593"/>
      <c r="C45" s="566"/>
      <c r="D45" s="566"/>
      <c r="E45" s="591"/>
      <c r="F45" s="591"/>
      <c r="G45" s="591"/>
      <c r="H45" s="591"/>
      <c r="I45" s="591"/>
      <c r="J45" s="591"/>
      <c r="K45" s="591"/>
      <c r="L45" s="588"/>
      <c r="M45" s="591"/>
      <c r="N45" s="591"/>
      <c r="O45" s="591"/>
      <c r="P45" s="591"/>
      <c r="Q45" s="591"/>
      <c r="R45" s="591"/>
      <c r="S45" s="591"/>
      <c r="T45" s="591"/>
      <c r="U45" s="591"/>
      <c r="V45" s="591"/>
      <c r="W45" s="591"/>
      <c r="X45" s="591"/>
      <c r="Y45" s="588"/>
      <c r="Z45" s="588"/>
      <c r="AA45" s="591"/>
      <c r="AB45" s="591"/>
      <c r="AC45" s="591"/>
      <c r="AD45" s="591"/>
      <c r="AE45" s="591"/>
      <c r="AF45" s="588"/>
      <c r="AI45" s="550"/>
      <c r="AJ45" s="590"/>
      <c r="AK45" s="590"/>
      <c r="AL45" s="591"/>
      <c r="AM45" s="591"/>
      <c r="AN45" s="591"/>
      <c r="AO45" s="591"/>
      <c r="AP45" s="591"/>
      <c r="AQ45" s="591"/>
      <c r="AR45" s="591"/>
      <c r="AS45" s="591"/>
      <c r="AT45" s="591"/>
      <c r="AU45" s="591"/>
      <c r="AV45" s="591"/>
      <c r="AW45" s="591"/>
      <c r="AX45" s="591"/>
      <c r="AY45" s="591"/>
      <c r="AZ45" s="591"/>
      <c r="BA45" s="591"/>
      <c r="BD45" s="550"/>
      <c r="BE45" s="591"/>
      <c r="BF45" s="591"/>
      <c r="BG45" s="591"/>
      <c r="BH45" s="591"/>
      <c r="BI45" s="591"/>
      <c r="BJ45" s="591"/>
      <c r="BK45" s="591"/>
      <c r="BL45" s="591"/>
      <c r="BM45" s="591"/>
      <c r="BN45" s="591"/>
      <c r="BO45" s="580"/>
      <c r="BP45" s="566">
        <f>60%*'Datastream - Indices'!AV44</f>
        <v>2.4827149416794227E-2</v>
      </c>
      <c r="BQ45" s="566">
        <f>5%*'Datastream - Indices'!AW44</f>
        <v>2.4908940632806104E-3</v>
      </c>
      <c r="BR45" s="588">
        <f>0%</f>
        <v>0</v>
      </c>
      <c r="BS45" s="588">
        <f>(0.3+0.05)*'Datastream - Indices'!AY44</f>
        <v>7.6999999999999996E-4</v>
      </c>
      <c r="BT45" s="588">
        <f>0%</f>
        <v>0</v>
      </c>
      <c r="BU45" s="588">
        <f>0%</f>
        <v>0</v>
      </c>
      <c r="BV45" s="588">
        <f t="shared" si="0"/>
        <v>2.8088043480074838E-2</v>
      </c>
    </row>
    <row r="46" spans="1:74" ht="16.5" customHeight="1">
      <c r="A46" s="550"/>
      <c r="B46" s="593"/>
      <c r="C46" s="566"/>
      <c r="D46" s="566"/>
      <c r="E46" s="591"/>
      <c r="F46" s="591"/>
      <c r="G46" s="591"/>
      <c r="H46" s="591"/>
      <c r="I46" s="591"/>
      <c r="J46" s="591"/>
      <c r="K46" s="591"/>
      <c r="L46" s="588"/>
      <c r="M46" s="591"/>
      <c r="N46" s="591"/>
      <c r="O46" s="591"/>
      <c r="P46" s="591"/>
      <c r="Q46" s="591"/>
      <c r="R46" s="591"/>
      <c r="S46" s="591"/>
      <c r="T46" s="591"/>
      <c r="U46" s="591"/>
      <c r="V46" s="591"/>
      <c r="W46" s="591"/>
      <c r="X46" s="591"/>
      <c r="Y46" s="588"/>
      <c r="Z46" s="588"/>
      <c r="AA46" s="591"/>
      <c r="AB46" s="591"/>
      <c r="AC46" s="591"/>
      <c r="AD46" s="591"/>
      <c r="AE46" s="591"/>
      <c r="AF46" s="588"/>
      <c r="AI46" s="550"/>
      <c r="AJ46" s="590"/>
      <c r="AK46" s="590"/>
      <c r="AL46" s="591"/>
      <c r="AM46" s="591"/>
      <c r="AN46" s="591"/>
      <c r="AO46" s="591"/>
      <c r="AP46" s="591"/>
      <c r="AQ46" s="591"/>
      <c r="AR46" s="591"/>
      <c r="AS46" s="591"/>
      <c r="AT46" s="591"/>
      <c r="AU46" s="591"/>
      <c r="AV46" s="591"/>
      <c r="AW46" s="591"/>
      <c r="AX46" s="591"/>
      <c r="AY46" s="591"/>
      <c r="AZ46" s="591"/>
      <c r="BA46" s="591"/>
      <c r="BD46" s="550"/>
      <c r="BE46" s="591"/>
      <c r="BF46" s="591"/>
      <c r="BG46" s="591"/>
      <c r="BH46" s="591"/>
      <c r="BI46" s="591"/>
      <c r="BJ46" s="591"/>
      <c r="BK46" s="591"/>
      <c r="BL46" s="591"/>
      <c r="BM46" s="591"/>
      <c r="BN46" s="591"/>
      <c r="BO46" s="580"/>
      <c r="BP46" s="566">
        <f>60%*'Datastream - Indices'!AV45</f>
        <v>-4.4944997380827875E-3</v>
      </c>
      <c r="BQ46" s="566">
        <f>5%*'Datastream - Indices'!AW45</f>
        <v>-2.1348773514643358E-3</v>
      </c>
      <c r="BR46" s="588">
        <f>0%</f>
        <v>0</v>
      </c>
      <c r="BS46" s="588">
        <f>(0.3+0.05)*'Datastream - Indices'!AY45</f>
        <v>-1.4350000000000001E-3</v>
      </c>
      <c r="BT46" s="588">
        <f>0%</f>
        <v>0</v>
      </c>
      <c r="BU46" s="588">
        <f>0%</f>
        <v>0</v>
      </c>
      <c r="BV46" s="588">
        <f t="shared" si="0"/>
        <v>-8.0643770895471242E-3</v>
      </c>
    </row>
    <row r="47" spans="1:74" ht="16.5" customHeight="1">
      <c r="A47" s="550"/>
      <c r="B47" s="593"/>
      <c r="C47" s="566"/>
      <c r="D47" s="566"/>
      <c r="E47" s="591"/>
      <c r="F47" s="591"/>
      <c r="G47" s="591"/>
      <c r="H47" s="591"/>
      <c r="I47" s="591"/>
      <c r="J47" s="591"/>
      <c r="K47" s="591"/>
      <c r="L47" s="588"/>
      <c r="M47" s="591"/>
      <c r="N47" s="591"/>
      <c r="O47" s="591"/>
      <c r="P47" s="591"/>
      <c r="Q47" s="591"/>
      <c r="R47" s="591"/>
      <c r="S47" s="591"/>
      <c r="T47" s="591"/>
      <c r="U47" s="591"/>
      <c r="V47" s="591"/>
      <c r="W47" s="591"/>
      <c r="X47" s="591"/>
      <c r="Y47" s="588"/>
      <c r="Z47" s="588"/>
      <c r="AA47" s="591"/>
      <c r="AB47" s="591"/>
      <c r="AC47" s="591"/>
      <c r="AD47" s="591"/>
      <c r="AE47" s="591"/>
      <c r="AF47" s="588"/>
      <c r="AI47" s="550"/>
      <c r="AJ47" s="590"/>
      <c r="AK47" s="590"/>
      <c r="AL47" s="591"/>
      <c r="AM47" s="591"/>
      <c r="AN47" s="591"/>
      <c r="AO47" s="591"/>
      <c r="AP47" s="591"/>
      <c r="AQ47" s="591"/>
      <c r="AR47" s="591"/>
      <c r="AS47" s="591"/>
      <c r="AT47" s="591"/>
      <c r="AU47" s="591"/>
      <c r="AV47" s="591"/>
      <c r="AW47" s="591"/>
      <c r="AX47" s="591"/>
      <c r="AY47" s="591"/>
      <c r="AZ47" s="591"/>
      <c r="BA47" s="591"/>
      <c r="BD47" s="550"/>
      <c r="BE47" s="591"/>
      <c r="BF47" s="591"/>
      <c r="BG47" s="591"/>
      <c r="BH47" s="591"/>
      <c r="BI47" s="591"/>
      <c r="BJ47" s="591"/>
      <c r="BK47" s="591"/>
      <c r="BL47" s="591"/>
      <c r="BM47" s="591"/>
      <c r="BN47" s="591"/>
      <c r="BO47" s="580"/>
      <c r="BP47" s="566">
        <f>60%*'Datastream - Indices'!AV46</f>
        <v>4.4406312413851311E-2</v>
      </c>
      <c r="BQ47" s="566">
        <f>5%*'Datastream - Indices'!AW46</f>
        <v>6.0600768424729284E-3</v>
      </c>
      <c r="BR47" s="588">
        <f>0%</f>
        <v>0</v>
      </c>
      <c r="BS47" s="588">
        <f>(0.3+0.05)*'Datastream - Indices'!AY46</f>
        <v>-4.3749999999999995E-3</v>
      </c>
      <c r="BT47" s="588">
        <f>0%</f>
        <v>0</v>
      </c>
      <c r="BU47" s="588">
        <f>0%</f>
        <v>0</v>
      </c>
      <c r="BV47" s="588">
        <f t="shared" si="0"/>
        <v>4.6091389256324243E-2</v>
      </c>
    </row>
    <row r="48" spans="1:74" ht="16.5" customHeight="1">
      <c r="A48" s="550">
        <v>2005</v>
      </c>
      <c r="B48" s="566">
        <v>0.55200000000000005</v>
      </c>
      <c r="C48" s="566">
        <f t="shared" ref="C48:C55" si="1">SUM(G48:J48)+X48+W48+E48+F48+B48</f>
        <v>0.58800000000000008</v>
      </c>
      <c r="D48" s="566">
        <f t="shared" ref="D48:D55" si="2">SUM(K48)</f>
        <v>0</v>
      </c>
      <c r="E48" s="588"/>
      <c r="F48" s="588">
        <v>3.5999999999999997E-2</v>
      </c>
      <c r="G48" s="588"/>
      <c r="H48" s="588"/>
      <c r="I48" s="588"/>
      <c r="J48" s="588"/>
      <c r="K48" s="588"/>
      <c r="L48" s="588">
        <f t="shared" ref="L48:L55" si="3">SUM(M48:V48)</f>
        <v>0.33100000000000002</v>
      </c>
      <c r="M48" s="588"/>
      <c r="N48" s="588"/>
      <c r="O48" s="588">
        <v>0.33100000000000002</v>
      </c>
      <c r="P48" s="588"/>
      <c r="Q48" s="588"/>
      <c r="R48" s="588"/>
      <c r="S48" s="588"/>
      <c r="T48" s="588"/>
      <c r="U48" s="588"/>
      <c r="V48" s="588"/>
      <c r="W48" s="588"/>
      <c r="X48" s="588"/>
      <c r="Y48" s="588">
        <f t="shared" ref="Y48:Y55" si="4">AD48</f>
        <v>0.04</v>
      </c>
      <c r="Z48" s="588">
        <f t="shared" ref="Z48:Z55" si="5">AA48+AC48+AE48</f>
        <v>4.1000000000000002E-2</v>
      </c>
      <c r="AA48" s="588"/>
      <c r="AB48" s="588"/>
      <c r="AC48" s="588">
        <v>4.1000000000000002E-2</v>
      </c>
      <c r="AD48" s="588">
        <v>0.04</v>
      </c>
      <c r="AE48" s="588"/>
      <c r="AF48" s="588">
        <f t="shared" ref="AF48:AF55" si="6">C48+D48+L48+Z48+AB48+Y48</f>
        <v>1</v>
      </c>
      <c r="AI48" s="550">
        <v>2005</v>
      </c>
      <c r="AJ48" s="590">
        <f t="shared" ref="AJ48:AJ55" si="7">SUM(AL48:AX48)</f>
        <v>0</v>
      </c>
      <c r="AK48" s="590">
        <f t="shared" ref="AK48:AK55" si="8">SUM(AY48:AZ48)</f>
        <v>0</v>
      </c>
      <c r="AL48" s="588"/>
      <c r="AM48" s="588"/>
      <c r="AN48" s="588"/>
      <c r="AO48" s="588"/>
      <c r="AP48" s="588"/>
      <c r="AQ48" s="588"/>
      <c r="AR48" s="588"/>
      <c r="AS48" s="588"/>
      <c r="AT48" s="588"/>
      <c r="AU48" s="588"/>
      <c r="AV48" s="588"/>
      <c r="AW48" s="588"/>
      <c r="AX48" s="588"/>
      <c r="AY48" s="588"/>
      <c r="AZ48" s="588"/>
      <c r="BA48" s="588">
        <f t="shared" ref="BA48:BA55" si="9">SUM(AL48:AZ48)</f>
        <v>0</v>
      </c>
      <c r="BD48" s="550">
        <v>2005</v>
      </c>
      <c r="BE48" s="588"/>
      <c r="BF48" s="588"/>
      <c r="BG48" s="588"/>
      <c r="BH48" s="588"/>
      <c r="BI48" s="588"/>
      <c r="BJ48" s="588"/>
      <c r="BK48" s="588"/>
      <c r="BL48" s="588"/>
      <c r="BM48" s="588"/>
      <c r="BN48" s="588">
        <f t="shared" ref="BN48:BN55" si="10">SUM(BE48:BM48)</f>
        <v>0</v>
      </c>
      <c r="BO48" s="580">
        <v>2005</v>
      </c>
      <c r="BP48" s="566"/>
      <c r="BQ48" s="566"/>
      <c r="BR48" s="592"/>
      <c r="BS48" s="592"/>
      <c r="BT48" s="592"/>
      <c r="BU48" s="592"/>
      <c r="BV48" s="592"/>
    </row>
    <row r="49" spans="1:74" ht="16.5" customHeight="1">
      <c r="A49" s="550">
        <v>2004</v>
      </c>
      <c r="B49" s="593"/>
      <c r="C49" s="566">
        <f t="shared" si="1"/>
        <v>0.47</v>
      </c>
      <c r="D49" s="566">
        <f t="shared" si="2"/>
        <v>0</v>
      </c>
      <c r="E49" s="591"/>
      <c r="F49" s="591"/>
      <c r="G49" s="591"/>
      <c r="H49" s="591"/>
      <c r="I49" s="591"/>
      <c r="J49" s="591"/>
      <c r="K49" s="591"/>
      <c r="L49" s="588">
        <f t="shared" si="3"/>
        <v>0.53</v>
      </c>
      <c r="M49" s="591"/>
      <c r="N49" s="591"/>
      <c r="O49" s="591"/>
      <c r="P49" s="591"/>
      <c r="Q49" s="591"/>
      <c r="R49" s="591"/>
      <c r="S49" s="591"/>
      <c r="T49" s="591"/>
      <c r="U49" s="591"/>
      <c r="V49" s="591">
        <v>0.53</v>
      </c>
      <c r="W49" s="591">
        <v>0.47</v>
      </c>
      <c r="X49" s="591"/>
      <c r="Y49" s="588">
        <f t="shared" si="4"/>
        <v>0</v>
      </c>
      <c r="Z49" s="588">
        <f t="shared" si="5"/>
        <v>0</v>
      </c>
      <c r="AA49" s="591"/>
      <c r="AB49" s="591"/>
      <c r="AC49" s="591"/>
      <c r="AD49" s="591"/>
      <c r="AE49" s="591"/>
      <c r="AF49" s="588">
        <f t="shared" si="6"/>
        <v>1</v>
      </c>
      <c r="AI49" s="550">
        <v>2004</v>
      </c>
      <c r="AJ49" s="590">
        <f t="shared" si="7"/>
        <v>0</v>
      </c>
      <c r="AK49" s="590">
        <f t="shared" si="8"/>
        <v>0</v>
      </c>
      <c r="AL49" s="591"/>
      <c r="AM49" s="591"/>
      <c r="AN49" s="591"/>
      <c r="AO49" s="591"/>
      <c r="AP49" s="591"/>
      <c r="AQ49" s="591"/>
      <c r="AR49" s="591"/>
      <c r="AS49" s="591"/>
      <c r="AT49" s="591"/>
      <c r="AU49" s="591"/>
      <c r="AV49" s="591"/>
      <c r="AW49" s="591"/>
      <c r="AX49" s="591"/>
      <c r="AY49" s="591"/>
      <c r="AZ49" s="591"/>
      <c r="BA49" s="591">
        <f t="shared" si="9"/>
        <v>0</v>
      </c>
      <c r="BD49" s="550">
        <v>2004</v>
      </c>
      <c r="BE49" s="591"/>
      <c r="BF49" s="591"/>
      <c r="BG49" s="591"/>
      <c r="BH49" s="591"/>
      <c r="BI49" s="591"/>
      <c r="BJ49" s="591"/>
      <c r="BK49" s="591"/>
      <c r="BL49" s="591"/>
      <c r="BM49" s="591"/>
      <c r="BN49" s="591">
        <f t="shared" si="10"/>
        <v>0</v>
      </c>
      <c r="BO49" s="580">
        <v>2004</v>
      </c>
      <c r="BP49" s="566"/>
      <c r="BQ49" s="566"/>
      <c r="BR49" s="592"/>
      <c r="BS49" s="592"/>
      <c r="BT49" s="592"/>
      <c r="BU49" s="592"/>
      <c r="BV49" s="592"/>
    </row>
    <row r="50" spans="1:74" ht="16.5" customHeight="1">
      <c r="A50" s="550" t="s">
        <v>667</v>
      </c>
      <c r="B50" s="566"/>
      <c r="C50" s="566">
        <f t="shared" si="1"/>
        <v>0.31</v>
      </c>
      <c r="D50" s="566">
        <f t="shared" si="2"/>
        <v>0</v>
      </c>
      <c r="E50" s="588"/>
      <c r="F50" s="588"/>
      <c r="G50" s="588"/>
      <c r="H50" s="588"/>
      <c r="I50" s="588"/>
      <c r="J50" s="588"/>
      <c r="K50" s="588"/>
      <c r="L50" s="588">
        <f t="shared" si="3"/>
        <v>0.69</v>
      </c>
      <c r="M50" s="588"/>
      <c r="N50" s="588"/>
      <c r="O50" s="588"/>
      <c r="P50" s="588"/>
      <c r="Q50" s="588"/>
      <c r="R50" s="588"/>
      <c r="S50" s="588"/>
      <c r="T50" s="588"/>
      <c r="U50" s="588"/>
      <c r="V50" s="588">
        <v>0.69</v>
      </c>
      <c r="W50" s="588"/>
      <c r="X50" s="588">
        <v>0.31</v>
      </c>
      <c r="Y50" s="588">
        <f t="shared" si="4"/>
        <v>0</v>
      </c>
      <c r="Z50" s="588">
        <f t="shared" si="5"/>
        <v>0</v>
      </c>
      <c r="AA50" s="588"/>
      <c r="AB50" s="588"/>
      <c r="AC50" s="588"/>
      <c r="AD50" s="588"/>
      <c r="AE50" s="588"/>
      <c r="AF50" s="588">
        <f t="shared" si="6"/>
        <v>1</v>
      </c>
      <c r="AI50" s="550">
        <v>2003</v>
      </c>
      <c r="AJ50" s="590">
        <f t="shared" si="7"/>
        <v>0</v>
      </c>
      <c r="AK50" s="590">
        <f t="shared" si="8"/>
        <v>0</v>
      </c>
      <c r="AL50" s="588"/>
      <c r="AM50" s="588"/>
      <c r="AN50" s="588"/>
      <c r="AO50" s="588"/>
      <c r="AP50" s="588"/>
      <c r="AQ50" s="588"/>
      <c r="AR50" s="588"/>
      <c r="AS50" s="588"/>
      <c r="AT50" s="588"/>
      <c r="AU50" s="588"/>
      <c r="AV50" s="588"/>
      <c r="AW50" s="588"/>
      <c r="AX50" s="588"/>
      <c r="AY50" s="588"/>
      <c r="AZ50" s="588"/>
      <c r="BA50" s="588">
        <f t="shared" si="9"/>
        <v>0</v>
      </c>
      <c r="BD50" s="550">
        <v>2003</v>
      </c>
      <c r="BE50" s="588"/>
      <c r="BF50" s="588"/>
      <c r="BG50" s="588"/>
      <c r="BH50" s="588"/>
      <c r="BI50" s="588"/>
      <c r="BJ50" s="588"/>
      <c r="BK50" s="588"/>
      <c r="BL50" s="588"/>
      <c r="BM50" s="588"/>
      <c r="BN50" s="588">
        <f t="shared" si="10"/>
        <v>0</v>
      </c>
      <c r="BO50" s="580" t="s">
        <v>667</v>
      </c>
      <c r="BP50" s="566"/>
      <c r="BQ50" s="566"/>
      <c r="BR50" s="592"/>
      <c r="BS50" s="592"/>
      <c r="BT50" s="592"/>
      <c r="BU50" s="592"/>
      <c r="BV50" s="592"/>
    </row>
    <row r="51" spans="1:74" ht="16.5" customHeight="1">
      <c r="A51" s="550">
        <v>2002</v>
      </c>
      <c r="B51" s="593"/>
      <c r="C51" s="566">
        <f t="shared" si="1"/>
        <v>0</v>
      </c>
      <c r="D51" s="566">
        <f t="shared" si="2"/>
        <v>0</v>
      </c>
      <c r="E51" s="591"/>
      <c r="F51" s="591"/>
      <c r="G51" s="591"/>
      <c r="H51" s="591"/>
      <c r="I51" s="591"/>
      <c r="J51" s="591"/>
      <c r="K51" s="591"/>
      <c r="L51" s="588">
        <f t="shared" si="3"/>
        <v>0</v>
      </c>
      <c r="M51" s="591"/>
      <c r="N51" s="591"/>
      <c r="O51" s="591"/>
      <c r="P51" s="591"/>
      <c r="Q51" s="591"/>
      <c r="R51" s="591"/>
      <c r="S51" s="591"/>
      <c r="T51" s="591"/>
      <c r="U51" s="591"/>
      <c r="V51" s="591"/>
      <c r="W51" s="591"/>
      <c r="X51" s="591"/>
      <c r="Y51" s="588">
        <f t="shared" si="4"/>
        <v>0</v>
      </c>
      <c r="Z51" s="588">
        <f t="shared" si="5"/>
        <v>0</v>
      </c>
      <c r="AA51" s="591"/>
      <c r="AB51" s="591"/>
      <c r="AC51" s="591"/>
      <c r="AD51" s="591"/>
      <c r="AE51" s="591"/>
      <c r="AF51" s="588">
        <f t="shared" si="6"/>
        <v>0</v>
      </c>
      <c r="AI51" s="550">
        <v>2002</v>
      </c>
      <c r="AJ51" s="590">
        <f t="shared" si="7"/>
        <v>0</v>
      </c>
      <c r="AK51" s="590">
        <f t="shared" si="8"/>
        <v>0</v>
      </c>
      <c r="AL51" s="591"/>
      <c r="AM51" s="591"/>
      <c r="AN51" s="591"/>
      <c r="AO51" s="591"/>
      <c r="AP51" s="591"/>
      <c r="AQ51" s="591"/>
      <c r="AR51" s="591"/>
      <c r="AS51" s="591"/>
      <c r="AT51" s="591"/>
      <c r="AU51" s="591"/>
      <c r="AV51" s="591"/>
      <c r="AW51" s="591"/>
      <c r="AX51" s="591"/>
      <c r="AY51" s="591"/>
      <c r="AZ51" s="591"/>
      <c r="BA51" s="591">
        <f t="shared" si="9"/>
        <v>0</v>
      </c>
      <c r="BD51" s="550">
        <v>2002</v>
      </c>
      <c r="BE51" s="591"/>
      <c r="BF51" s="591">
        <v>0.71</v>
      </c>
      <c r="BG51" s="591"/>
      <c r="BH51" s="591"/>
      <c r="BI51" s="591"/>
      <c r="BJ51" s="591"/>
      <c r="BK51" s="591"/>
      <c r="BL51" s="591">
        <v>0.28999999999999998</v>
      </c>
      <c r="BM51" s="591"/>
      <c r="BN51" s="591">
        <f t="shared" si="10"/>
        <v>1</v>
      </c>
      <c r="BO51" s="580">
        <v>2002</v>
      </c>
      <c r="BP51" s="566"/>
      <c r="BQ51" s="566"/>
      <c r="BR51" s="592"/>
      <c r="BS51" s="592"/>
      <c r="BT51" s="592"/>
      <c r="BU51" s="592"/>
      <c r="BV51" s="592"/>
    </row>
    <row r="52" spans="1:74" ht="16.5" customHeight="1">
      <c r="A52" s="550">
        <v>2001</v>
      </c>
      <c r="B52" s="566"/>
      <c r="C52" s="566">
        <f t="shared" si="1"/>
        <v>0</v>
      </c>
      <c r="D52" s="566">
        <f t="shared" si="2"/>
        <v>0</v>
      </c>
      <c r="E52" s="588"/>
      <c r="F52" s="588"/>
      <c r="G52" s="588"/>
      <c r="H52" s="588"/>
      <c r="I52" s="588"/>
      <c r="J52" s="588"/>
      <c r="K52" s="588"/>
      <c r="L52" s="588">
        <f t="shared" si="3"/>
        <v>0</v>
      </c>
      <c r="M52" s="588"/>
      <c r="N52" s="588"/>
      <c r="O52" s="588"/>
      <c r="P52" s="588"/>
      <c r="Q52" s="588"/>
      <c r="R52" s="588"/>
      <c r="S52" s="588"/>
      <c r="T52" s="588"/>
      <c r="U52" s="588"/>
      <c r="V52" s="588"/>
      <c r="W52" s="588"/>
      <c r="X52" s="588"/>
      <c r="Y52" s="588">
        <f t="shared" si="4"/>
        <v>0</v>
      </c>
      <c r="Z52" s="588">
        <f t="shared" si="5"/>
        <v>0</v>
      </c>
      <c r="AA52" s="588"/>
      <c r="AB52" s="588"/>
      <c r="AC52" s="588"/>
      <c r="AD52" s="588"/>
      <c r="AE52" s="588"/>
      <c r="AF52" s="588">
        <f t="shared" si="6"/>
        <v>0</v>
      </c>
      <c r="AI52" s="550">
        <v>2001</v>
      </c>
      <c r="AJ52" s="590">
        <f t="shared" si="7"/>
        <v>0</v>
      </c>
      <c r="AK52" s="590">
        <f t="shared" si="8"/>
        <v>0</v>
      </c>
      <c r="AL52" s="588"/>
      <c r="AM52" s="588"/>
      <c r="AN52" s="588"/>
      <c r="AO52" s="588"/>
      <c r="AP52" s="588"/>
      <c r="AQ52" s="588"/>
      <c r="AR52" s="588"/>
      <c r="AS52" s="588"/>
      <c r="AT52" s="588"/>
      <c r="AU52" s="588"/>
      <c r="AV52" s="588"/>
      <c r="AW52" s="588"/>
      <c r="AX52" s="588"/>
      <c r="AY52" s="588"/>
      <c r="AZ52" s="588"/>
      <c r="BA52" s="588">
        <f t="shared" si="9"/>
        <v>0</v>
      </c>
      <c r="BD52" s="550" t="s">
        <v>672</v>
      </c>
      <c r="BE52" s="588"/>
      <c r="BF52" s="588">
        <v>0.7</v>
      </c>
      <c r="BG52" s="588"/>
      <c r="BH52" s="588"/>
      <c r="BI52" s="588"/>
      <c r="BJ52" s="588"/>
      <c r="BK52" s="588">
        <v>0.3</v>
      </c>
      <c r="BL52" s="588"/>
      <c r="BM52" s="588"/>
      <c r="BN52" s="588">
        <f t="shared" si="10"/>
        <v>1</v>
      </c>
      <c r="BO52" s="580">
        <v>2001</v>
      </c>
      <c r="BP52" s="566"/>
      <c r="BQ52" s="566"/>
      <c r="BR52" s="592"/>
      <c r="BS52" s="592"/>
      <c r="BT52" s="592"/>
      <c r="BU52" s="592"/>
      <c r="BV52" s="592"/>
    </row>
    <row r="53" spans="1:74" ht="16.5" customHeight="1">
      <c r="A53" s="550">
        <v>2000</v>
      </c>
      <c r="B53" s="593"/>
      <c r="C53" s="566">
        <f t="shared" si="1"/>
        <v>0</v>
      </c>
      <c r="D53" s="566">
        <f t="shared" si="2"/>
        <v>0</v>
      </c>
      <c r="E53" s="591"/>
      <c r="F53" s="591"/>
      <c r="G53" s="591"/>
      <c r="H53" s="591"/>
      <c r="I53" s="591"/>
      <c r="J53" s="591"/>
      <c r="K53" s="591"/>
      <c r="L53" s="588">
        <f t="shared" si="3"/>
        <v>0</v>
      </c>
      <c r="M53" s="591"/>
      <c r="N53" s="591"/>
      <c r="O53" s="591"/>
      <c r="P53" s="591"/>
      <c r="Q53" s="591"/>
      <c r="R53" s="591"/>
      <c r="S53" s="591"/>
      <c r="T53" s="591"/>
      <c r="U53" s="591"/>
      <c r="V53" s="591"/>
      <c r="W53" s="591"/>
      <c r="X53" s="591"/>
      <c r="Y53" s="588">
        <f t="shared" si="4"/>
        <v>0</v>
      </c>
      <c r="Z53" s="588">
        <f t="shared" si="5"/>
        <v>0</v>
      </c>
      <c r="AA53" s="591"/>
      <c r="AB53" s="591"/>
      <c r="AC53" s="591"/>
      <c r="AD53" s="591"/>
      <c r="AE53" s="591"/>
      <c r="AF53" s="588">
        <f t="shared" si="6"/>
        <v>0</v>
      </c>
      <c r="AI53" s="550">
        <v>2000</v>
      </c>
      <c r="AJ53" s="590">
        <f t="shared" si="7"/>
        <v>0</v>
      </c>
      <c r="AK53" s="590">
        <f t="shared" si="8"/>
        <v>0</v>
      </c>
      <c r="AL53" s="591"/>
      <c r="AM53" s="591"/>
      <c r="AN53" s="591"/>
      <c r="AO53" s="591"/>
      <c r="AP53" s="591"/>
      <c r="AQ53" s="591"/>
      <c r="AR53" s="591"/>
      <c r="AS53" s="591"/>
      <c r="AT53" s="591"/>
      <c r="AU53" s="591"/>
      <c r="AV53" s="591"/>
      <c r="AW53" s="591"/>
      <c r="AX53" s="591"/>
      <c r="AY53" s="591"/>
      <c r="AZ53" s="591"/>
      <c r="BA53" s="591">
        <f t="shared" si="9"/>
        <v>0</v>
      </c>
      <c r="BD53" s="550" t="s">
        <v>675</v>
      </c>
      <c r="BE53" s="591"/>
      <c r="BF53" s="591">
        <v>0.82</v>
      </c>
      <c r="BG53" s="591"/>
      <c r="BH53" s="591"/>
      <c r="BI53" s="591"/>
      <c r="BJ53" s="591"/>
      <c r="BK53" s="591">
        <v>0.18</v>
      </c>
      <c r="BL53" s="591"/>
      <c r="BM53" s="591"/>
      <c r="BN53" s="591">
        <f t="shared" si="10"/>
        <v>1</v>
      </c>
      <c r="BO53" s="580">
        <v>2000</v>
      </c>
      <c r="BP53" s="566"/>
      <c r="BQ53" s="566"/>
      <c r="BR53" s="592"/>
      <c r="BS53" s="592"/>
      <c r="BT53" s="592"/>
      <c r="BU53" s="592"/>
      <c r="BV53" s="592"/>
    </row>
    <row r="54" spans="1:74" ht="16.5" customHeight="1">
      <c r="A54" s="550">
        <v>1999</v>
      </c>
      <c r="B54" s="566"/>
      <c r="C54" s="566">
        <f t="shared" si="1"/>
        <v>0</v>
      </c>
      <c r="D54" s="566">
        <f t="shared" si="2"/>
        <v>0</v>
      </c>
      <c r="E54" s="588"/>
      <c r="F54" s="588"/>
      <c r="G54" s="588"/>
      <c r="H54" s="588"/>
      <c r="I54" s="588"/>
      <c r="J54" s="588"/>
      <c r="K54" s="588"/>
      <c r="L54" s="588">
        <f t="shared" si="3"/>
        <v>0</v>
      </c>
      <c r="M54" s="588"/>
      <c r="N54" s="588"/>
      <c r="O54" s="588"/>
      <c r="P54" s="588"/>
      <c r="Q54" s="588"/>
      <c r="R54" s="588"/>
      <c r="S54" s="588"/>
      <c r="T54" s="588"/>
      <c r="U54" s="588"/>
      <c r="V54" s="588"/>
      <c r="W54" s="588"/>
      <c r="X54" s="588"/>
      <c r="Y54" s="588">
        <f t="shared" si="4"/>
        <v>0</v>
      </c>
      <c r="Z54" s="588">
        <f t="shared" si="5"/>
        <v>0</v>
      </c>
      <c r="AA54" s="588"/>
      <c r="AB54" s="588"/>
      <c r="AC54" s="588"/>
      <c r="AD54" s="588"/>
      <c r="AE54" s="588"/>
      <c r="AF54" s="588">
        <f t="shared" si="6"/>
        <v>0</v>
      </c>
      <c r="AI54" s="550">
        <v>1999</v>
      </c>
      <c r="AJ54" s="590">
        <f t="shared" si="7"/>
        <v>0</v>
      </c>
      <c r="AK54" s="590">
        <f t="shared" si="8"/>
        <v>0</v>
      </c>
      <c r="AL54" s="588"/>
      <c r="AM54" s="588"/>
      <c r="AN54" s="588"/>
      <c r="AO54" s="588"/>
      <c r="AP54" s="588"/>
      <c r="AQ54" s="588"/>
      <c r="AR54" s="588"/>
      <c r="AS54" s="588"/>
      <c r="AT54" s="588"/>
      <c r="AU54" s="588"/>
      <c r="AV54" s="588"/>
      <c r="AW54" s="588"/>
      <c r="AX54" s="588"/>
      <c r="AY54" s="588"/>
      <c r="AZ54" s="588"/>
      <c r="BA54" s="588">
        <f t="shared" si="9"/>
        <v>0</v>
      </c>
      <c r="BD54" s="550">
        <v>1999</v>
      </c>
      <c r="BE54" s="588"/>
      <c r="BF54" s="588">
        <v>0.8</v>
      </c>
      <c r="BG54" s="588"/>
      <c r="BH54" s="588"/>
      <c r="BI54" s="588">
        <v>0.2</v>
      </c>
      <c r="BJ54" s="588"/>
      <c r="BK54" s="588"/>
      <c r="BL54" s="588"/>
      <c r="BM54" s="588"/>
      <c r="BN54" s="588">
        <f t="shared" si="10"/>
        <v>1</v>
      </c>
      <c r="BO54" s="580">
        <v>1999</v>
      </c>
      <c r="BP54" s="566"/>
      <c r="BQ54" s="566"/>
      <c r="BR54" s="592"/>
      <c r="BS54" s="592"/>
      <c r="BT54" s="592"/>
      <c r="BU54" s="592"/>
      <c r="BV54" s="592"/>
    </row>
    <row r="55" spans="1:74" ht="16.5" customHeight="1">
      <c r="A55" s="550">
        <v>1998</v>
      </c>
      <c r="B55" s="593"/>
      <c r="C55" s="566">
        <f t="shared" si="1"/>
        <v>0</v>
      </c>
      <c r="D55" s="566">
        <f t="shared" si="2"/>
        <v>0</v>
      </c>
      <c r="E55" s="591"/>
      <c r="F55" s="591"/>
      <c r="G55" s="591"/>
      <c r="H55" s="591"/>
      <c r="I55" s="591"/>
      <c r="J55" s="591"/>
      <c r="K55" s="591"/>
      <c r="L55" s="588">
        <f t="shared" si="3"/>
        <v>0</v>
      </c>
      <c r="M55" s="591"/>
      <c r="N55" s="591"/>
      <c r="O55" s="591"/>
      <c r="P55" s="591"/>
      <c r="Q55" s="591"/>
      <c r="R55" s="591"/>
      <c r="S55" s="591"/>
      <c r="T55" s="591"/>
      <c r="U55" s="591"/>
      <c r="V55" s="591"/>
      <c r="W55" s="591"/>
      <c r="X55" s="591"/>
      <c r="Y55" s="588">
        <f t="shared" si="4"/>
        <v>0</v>
      </c>
      <c r="Z55" s="588">
        <f t="shared" si="5"/>
        <v>0</v>
      </c>
      <c r="AA55" s="591"/>
      <c r="AB55" s="591"/>
      <c r="AC55" s="591"/>
      <c r="AD55" s="591"/>
      <c r="AE55" s="591"/>
      <c r="AF55" s="588">
        <f t="shared" si="6"/>
        <v>0</v>
      </c>
      <c r="AI55" s="550">
        <v>1998</v>
      </c>
      <c r="AJ55" s="590">
        <f t="shared" si="7"/>
        <v>0</v>
      </c>
      <c r="AK55" s="590">
        <f t="shared" si="8"/>
        <v>0</v>
      </c>
      <c r="AL55" s="591"/>
      <c r="AM55" s="591"/>
      <c r="AN55" s="591"/>
      <c r="AO55" s="591"/>
      <c r="AP55" s="591"/>
      <c r="AQ55" s="591"/>
      <c r="AR55" s="591"/>
      <c r="AS55" s="591"/>
      <c r="AT55" s="591"/>
      <c r="AU55" s="591"/>
      <c r="AV55" s="591"/>
      <c r="AW55" s="591"/>
      <c r="AX55" s="591"/>
      <c r="AY55" s="591"/>
      <c r="AZ55" s="591"/>
      <c r="BA55" s="591">
        <f t="shared" si="9"/>
        <v>0</v>
      </c>
      <c r="BD55" s="550">
        <v>1998</v>
      </c>
      <c r="BE55" s="591"/>
      <c r="BF55" s="591"/>
      <c r="BG55" s="591"/>
      <c r="BH55" s="591"/>
      <c r="BI55" s="591"/>
      <c r="BJ55" s="591"/>
      <c r="BK55" s="591"/>
      <c r="BL55" s="591"/>
      <c r="BM55" s="591"/>
      <c r="BN55" s="591">
        <f t="shared" si="10"/>
        <v>0</v>
      </c>
      <c r="BO55" s="580">
        <v>1998</v>
      </c>
      <c r="BP55" s="566"/>
      <c r="BQ55" s="566"/>
      <c r="BR55" s="592"/>
      <c r="BS55" s="592"/>
      <c r="BT55" s="592"/>
      <c r="BU55" s="592"/>
      <c r="BV55" s="592"/>
    </row>
    <row r="56" spans="1:74" ht="22.5" customHeight="1">
      <c r="A56" s="559"/>
      <c r="B56" s="594"/>
      <c r="C56" s="594"/>
      <c r="D56" s="594"/>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I56" s="589"/>
      <c r="AJ56" s="595"/>
      <c r="AK56" s="595"/>
      <c r="AL56" s="596"/>
      <c r="BE56" s="592"/>
      <c r="BF56" s="592"/>
      <c r="BG56" s="592"/>
      <c r="BH56" s="592"/>
      <c r="BI56" s="592"/>
      <c r="BJ56" s="592"/>
      <c r="BK56" s="592"/>
      <c r="BL56" s="592"/>
      <c r="BM56" s="592"/>
      <c r="BN56" s="592"/>
    </row>
    <row r="57" spans="1:74" ht="22.5" customHeight="1">
      <c r="A57" s="559"/>
      <c r="B57" s="594"/>
      <c r="C57" s="594"/>
      <c r="D57" s="594"/>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I57" s="589"/>
      <c r="AJ57" s="595"/>
      <c r="AK57" s="595"/>
      <c r="AL57" s="596"/>
      <c r="BE57" s="592"/>
      <c r="BF57" s="592"/>
      <c r="BG57" s="592"/>
      <c r="BH57" s="592"/>
      <c r="BI57" s="592"/>
      <c r="BJ57" s="592"/>
      <c r="BK57" s="592"/>
      <c r="BL57" s="592"/>
      <c r="BM57" s="592"/>
      <c r="BN57" s="592"/>
    </row>
    <row r="58" spans="1:74" ht="22.5" customHeight="1">
      <c r="A58" s="559"/>
      <c r="B58" s="594"/>
      <c r="C58" s="594"/>
      <c r="D58" s="594"/>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I58" s="589"/>
      <c r="AJ58" s="597"/>
      <c r="AK58" s="597"/>
      <c r="AL58" s="596"/>
      <c r="BE58" s="592"/>
      <c r="BF58" s="592"/>
      <c r="BG58" s="592"/>
      <c r="BH58" s="592"/>
      <c r="BI58" s="592"/>
      <c r="BJ58" s="592"/>
      <c r="BK58" s="592"/>
      <c r="BL58" s="592"/>
      <c r="BM58" s="592"/>
      <c r="BN58" s="592"/>
    </row>
    <row r="59" spans="1:74" ht="22.5" customHeight="1">
      <c r="A59" s="559"/>
      <c r="B59" s="594"/>
      <c r="C59" s="594"/>
      <c r="D59" s="594"/>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I59" s="589"/>
      <c r="AJ59" s="595"/>
      <c r="AK59" s="595"/>
      <c r="AL59" s="596"/>
      <c r="BE59" s="592"/>
      <c r="BF59" s="592"/>
      <c r="BG59" s="592"/>
      <c r="BH59" s="592"/>
      <c r="BI59" s="592"/>
      <c r="BJ59" s="592"/>
      <c r="BK59" s="592"/>
      <c r="BL59" s="592"/>
      <c r="BM59" s="592"/>
      <c r="BN59" s="592"/>
    </row>
    <row r="60" spans="1:74" ht="22.5" customHeight="1">
      <c r="A60" s="598"/>
      <c r="B60" s="599"/>
      <c r="C60" s="599"/>
      <c r="D60" s="599"/>
      <c r="E60" s="600" t="s">
        <v>678</v>
      </c>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I60" s="589"/>
      <c r="AJ60" s="597"/>
      <c r="AK60" s="597"/>
      <c r="AL60" s="596"/>
      <c r="BD60" s="601" t="s">
        <v>677</v>
      </c>
      <c r="BE60" s="592"/>
      <c r="BF60" s="592"/>
      <c r="BG60" s="592"/>
      <c r="BH60" s="592"/>
      <c r="BI60" s="592"/>
      <c r="BJ60" s="592"/>
      <c r="BK60" s="592"/>
      <c r="BL60" s="592"/>
      <c r="BM60" s="592"/>
      <c r="BN60" s="592"/>
    </row>
    <row r="61" spans="1:74" ht="22.5" customHeight="1">
      <c r="A61" s="559"/>
      <c r="B61" s="594"/>
      <c r="C61" s="594"/>
      <c r="D61" s="594"/>
      <c r="E61" s="592" t="s">
        <v>676</v>
      </c>
      <c r="AI61" s="559"/>
      <c r="AJ61" s="595"/>
      <c r="AK61" s="595"/>
      <c r="AL61" s="565"/>
      <c r="AM61" s="565"/>
      <c r="AN61" s="565"/>
      <c r="AO61" s="565"/>
      <c r="AP61" s="565"/>
      <c r="AQ61" s="565"/>
      <c r="AR61" s="565"/>
      <c r="AS61" s="565"/>
      <c r="AX61" s="565"/>
      <c r="AY61" s="565"/>
      <c r="BD61" s="602" t="s">
        <v>675</v>
      </c>
      <c r="BE61" s="572" t="s">
        <v>674</v>
      </c>
      <c r="BF61" s="592"/>
      <c r="BG61" s="592"/>
      <c r="BH61" s="592"/>
      <c r="BI61" s="592"/>
      <c r="BJ61" s="592"/>
      <c r="BK61" s="592"/>
      <c r="BL61" s="592"/>
      <c r="BM61" s="592"/>
      <c r="BN61" s="592"/>
    </row>
    <row r="62" spans="1:74" ht="22.5" customHeight="1">
      <c r="A62" s="603"/>
      <c r="B62" s="604"/>
      <c r="C62" s="604"/>
      <c r="D62" s="604"/>
      <c r="E62" s="605"/>
      <c r="F62" s="605"/>
      <c r="G62" s="605"/>
      <c r="H62" s="605"/>
      <c r="I62" s="605"/>
      <c r="J62" s="605"/>
      <c r="K62" s="605"/>
      <c r="L62" s="605"/>
      <c r="AI62" s="559"/>
      <c r="AJ62" s="559"/>
      <c r="AK62" s="559"/>
      <c r="AL62" s="597"/>
      <c r="AM62" s="597"/>
      <c r="AN62" s="597"/>
      <c r="AO62" s="597"/>
      <c r="AP62" s="597"/>
      <c r="AQ62" s="597"/>
      <c r="AR62" s="597"/>
      <c r="AS62" s="597"/>
      <c r="AX62" s="597"/>
      <c r="AY62" s="597"/>
      <c r="BE62" s="592"/>
      <c r="BF62" s="592"/>
      <c r="BG62" s="592"/>
      <c r="BH62" s="592"/>
      <c r="BI62" s="592"/>
      <c r="BJ62" s="592"/>
      <c r="BK62" s="592"/>
      <c r="BL62" s="592"/>
      <c r="BM62" s="592"/>
      <c r="BN62" s="592"/>
    </row>
    <row r="63" spans="1:74" ht="22.5" customHeight="1">
      <c r="A63" s="603"/>
      <c r="B63" s="604"/>
      <c r="C63" s="606">
        <v>2015</v>
      </c>
      <c r="D63" s="607" t="s">
        <v>673</v>
      </c>
      <c r="E63" s="605"/>
      <c r="F63" s="605"/>
      <c r="G63" s="605"/>
      <c r="H63" s="605"/>
      <c r="I63" s="605"/>
      <c r="J63" s="605"/>
      <c r="K63" s="605"/>
      <c r="L63" s="605"/>
      <c r="AI63" s="559"/>
      <c r="AJ63" s="559"/>
      <c r="AK63" s="559"/>
      <c r="AL63" s="595"/>
      <c r="AM63" s="595"/>
      <c r="AN63" s="595"/>
      <c r="AO63" s="595"/>
      <c r="AP63" s="595"/>
      <c r="AQ63" s="595"/>
      <c r="AR63" s="595"/>
      <c r="AS63" s="595"/>
      <c r="AX63" s="595"/>
      <c r="AY63" s="595"/>
      <c r="BD63" s="602" t="s">
        <v>672</v>
      </c>
      <c r="BE63" s="572" t="s">
        <v>671</v>
      </c>
      <c r="BF63" s="592"/>
      <c r="BG63" s="592"/>
      <c r="BH63" s="592"/>
      <c r="BI63" s="592"/>
      <c r="BJ63" s="592"/>
      <c r="BK63" s="592"/>
      <c r="BL63" s="592"/>
      <c r="BM63" s="592"/>
      <c r="BN63" s="592"/>
    </row>
    <row r="64" spans="1:74" ht="22.5" customHeight="1">
      <c r="A64" s="598"/>
      <c r="B64" s="599"/>
      <c r="C64" s="599"/>
      <c r="D64" s="607" t="s">
        <v>670</v>
      </c>
      <c r="E64" s="572" t="s">
        <v>669</v>
      </c>
      <c r="F64" s="605"/>
      <c r="G64" s="605"/>
      <c r="H64" s="605"/>
      <c r="I64" s="605"/>
      <c r="J64" s="605"/>
      <c r="K64" s="605"/>
      <c r="L64" s="605"/>
      <c r="AI64" s="559"/>
      <c r="AJ64" s="559"/>
      <c r="AK64" s="559"/>
      <c r="AL64" s="597"/>
      <c r="AM64" s="597"/>
      <c r="AN64" s="597"/>
      <c r="AO64" s="597"/>
      <c r="AP64" s="597"/>
      <c r="AQ64" s="597"/>
      <c r="AR64" s="597"/>
      <c r="AS64" s="597"/>
      <c r="AX64" s="597"/>
      <c r="AY64" s="597"/>
      <c r="BE64" s="592"/>
      <c r="BF64" s="592"/>
      <c r="BG64" s="592"/>
      <c r="BH64" s="592"/>
      <c r="BI64" s="592"/>
      <c r="BJ64" s="592"/>
      <c r="BK64" s="592"/>
      <c r="BL64" s="592"/>
      <c r="BM64" s="592"/>
      <c r="BN64" s="592"/>
    </row>
    <row r="65" spans="1:66" ht="22.5" customHeight="1">
      <c r="A65" s="567"/>
      <c r="B65" s="567"/>
      <c r="C65" s="567"/>
      <c r="D65" s="567"/>
      <c r="E65" s="605" t="s">
        <v>668</v>
      </c>
      <c r="F65" s="605"/>
      <c r="G65" s="605"/>
      <c r="H65" s="605"/>
      <c r="I65" s="605"/>
      <c r="J65" s="605"/>
      <c r="K65" s="605"/>
      <c r="L65" s="605"/>
      <c r="AI65" s="559"/>
      <c r="AJ65" s="559"/>
      <c r="AK65" s="559"/>
      <c r="AL65" s="595"/>
      <c r="AM65" s="595"/>
      <c r="AN65" s="595"/>
      <c r="AO65" s="595"/>
      <c r="AP65" s="595"/>
      <c r="AQ65" s="595"/>
      <c r="AR65" s="595"/>
      <c r="AS65" s="595"/>
      <c r="AX65" s="595"/>
      <c r="AY65" s="595"/>
      <c r="BD65" s="602" t="s">
        <v>667</v>
      </c>
      <c r="BE65" s="608" t="s">
        <v>666</v>
      </c>
      <c r="BF65" s="592"/>
      <c r="BG65" s="592"/>
      <c r="BH65" s="592"/>
      <c r="BI65" s="592"/>
      <c r="BJ65" s="592"/>
      <c r="BK65" s="592"/>
      <c r="BL65" s="592"/>
      <c r="BM65" s="592"/>
      <c r="BN65" s="592"/>
    </row>
    <row r="66" spans="1:66" ht="22.5" customHeight="1">
      <c r="B66" s="567"/>
      <c r="C66" s="567"/>
      <c r="D66" s="567"/>
      <c r="E66" s="572" t="s">
        <v>665</v>
      </c>
      <c r="AI66" s="559"/>
      <c r="AJ66" s="559"/>
      <c r="AK66" s="559"/>
      <c r="AL66" s="597"/>
      <c r="AM66" s="597"/>
      <c r="AN66" s="597"/>
      <c r="AO66" s="597"/>
      <c r="AP66" s="597"/>
      <c r="AQ66" s="597"/>
      <c r="AR66" s="597"/>
      <c r="AS66" s="597"/>
      <c r="AX66" s="597"/>
      <c r="AY66" s="597"/>
      <c r="BE66" s="609" t="s">
        <v>664</v>
      </c>
      <c r="BF66" s="592"/>
      <c r="BG66" s="592"/>
      <c r="BH66" s="592"/>
      <c r="BI66" s="592"/>
      <c r="BJ66" s="592"/>
      <c r="BK66" s="592"/>
      <c r="BL66" s="592"/>
      <c r="BM66" s="592"/>
      <c r="BN66" s="592"/>
    </row>
    <row r="67" spans="1:66" ht="22.5" customHeight="1">
      <c r="B67" s="567"/>
      <c r="C67" s="567"/>
      <c r="D67" s="567"/>
      <c r="E67" s="572" t="s">
        <v>663</v>
      </c>
      <c r="AI67" s="559"/>
      <c r="AJ67" s="559"/>
      <c r="AK67" s="559"/>
      <c r="AL67" s="595"/>
      <c r="AM67" s="595"/>
      <c r="AN67" s="595"/>
      <c r="AO67" s="595"/>
      <c r="AP67" s="595"/>
      <c r="AQ67" s="595"/>
      <c r="AR67" s="595"/>
      <c r="AS67" s="595"/>
      <c r="AX67" s="595"/>
      <c r="AY67" s="595"/>
      <c r="BE67" s="592"/>
      <c r="BF67" s="592"/>
      <c r="BG67" s="592"/>
      <c r="BH67" s="592"/>
      <c r="BI67" s="592"/>
      <c r="BJ67" s="592"/>
      <c r="BK67" s="592"/>
      <c r="BL67" s="592"/>
      <c r="BM67" s="592"/>
      <c r="BN67" s="592"/>
    </row>
    <row r="68" spans="1:66" ht="22.5" customHeight="1">
      <c r="AI68" s="559"/>
      <c r="AJ68" s="559"/>
      <c r="AK68" s="559"/>
      <c r="AL68" s="597"/>
      <c r="AM68" s="597"/>
      <c r="AN68" s="597"/>
      <c r="AO68" s="597"/>
      <c r="AP68" s="597"/>
      <c r="AQ68" s="597"/>
      <c r="AR68" s="597"/>
      <c r="AS68" s="597"/>
      <c r="AX68" s="597"/>
      <c r="AY68" s="597"/>
      <c r="BE68" s="592"/>
      <c r="BF68" s="592"/>
      <c r="BG68" s="592"/>
      <c r="BH68" s="592"/>
      <c r="BI68" s="592"/>
      <c r="BJ68" s="592"/>
      <c r="BK68" s="592"/>
      <c r="BL68" s="592"/>
      <c r="BM68" s="592"/>
      <c r="BN68" s="592"/>
    </row>
    <row r="69" spans="1:66" ht="22.5" customHeight="1">
      <c r="A69" s="610"/>
      <c r="B69" s="589"/>
      <c r="C69" s="1010"/>
      <c r="D69" s="1010"/>
      <c r="E69" s="596"/>
      <c r="F69" s="596"/>
      <c r="G69" s="596"/>
      <c r="H69" s="596"/>
      <c r="I69" s="596"/>
      <c r="J69" s="596"/>
      <c r="K69" s="596"/>
      <c r="L69" s="1010"/>
      <c r="M69" s="1010"/>
      <c r="N69" s="1010"/>
      <c r="O69" s="565"/>
      <c r="P69" s="1010"/>
      <c r="AI69" s="559"/>
      <c r="AJ69" s="559"/>
      <c r="AK69" s="559"/>
      <c r="AL69" s="595"/>
      <c r="AM69" s="595"/>
      <c r="AN69" s="595"/>
      <c r="AO69" s="595"/>
      <c r="AP69" s="595"/>
      <c r="AQ69" s="595"/>
      <c r="AR69" s="595"/>
      <c r="AS69" s="595"/>
      <c r="AX69" s="595"/>
      <c r="AY69" s="595"/>
      <c r="BE69" s="592"/>
      <c r="BF69" s="592"/>
      <c r="BG69" s="592"/>
      <c r="BH69" s="592"/>
      <c r="BI69" s="592"/>
      <c r="BJ69" s="592"/>
      <c r="BK69" s="592"/>
      <c r="BL69" s="592"/>
      <c r="BM69" s="592"/>
      <c r="BN69" s="592"/>
    </row>
    <row r="70" spans="1:66" ht="22.5" customHeight="1">
      <c r="A70" s="559"/>
      <c r="B70" s="589"/>
      <c r="C70" s="565"/>
      <c r="D70" s="565"/>
      <c r="E70" s="596"/>
      <c r="F70" s="596"/>
      <c r="G70" s="596"/>
      <c r="H70" s="596"/>
      <c r="I70" s="596"/>
      <c r="J70" s="596"/>
      <c r="K70" s="596"/>
      <c r="L70" s="565"/>
      <c r="M70" s="565"/>
      <c r="N70" s="565"/>
      <c r="O70" s="565"/>
      <c r="P70" s="1010"/>
      <c r="AI70" s="559"/>
      <c r="AJ70" s="559"/>
      <c r="AK70" s="559"/>
      <c r="AL70" s="597"/>
      <c r="AM70" s="597"/>
      <c r="AN70" s="597"/>
      <c r="AO70" s="597"/>
      <c r="AP70" s="597"/>
      <c r="AQ70" s="597"/>
      <c r="AR70" s="597"/>
      <c r="AS70" s="597"/>
      <c r="AX70" s="597"/>
      <c r="AY70" s="597"/>
      <c r="BE70" s="592"/>
      <c r="BF70" s="592"/>
      <c r="BG70" s="592"/>
      <c r="BH70" s="592"/>
      <c r="BI70" s="592"/>
      <c r="BJ70" s="592"/>
      <c r="BK70" s="592"/>
      <c r="BL70" s="592"/>
      <c r="BM70" s="592"/>
      <c r="BN70" s="592"/>
    </row>
    <row r="71" spans="1:66" ht="22.5" customHeight="1">
      <c r="A71" s="559"/>
      <c r="B71" s="611"/>
      <c r="C71" s="566"/>
      <c r="D71" s="566"/>
      <c r="E71" s="589"/>
      <c r="F71" s="596"/>
      <c r="G71" s="596"/>
      <c r="H71" s="596"/>
      <c r="I71" s="596"/>
      <c r="J71" s="596"/>
      <c r="K71" s="596"/>
      <c r="L71" s="596"/>
      <c r="M71" s="596"/>
      <c r="N71" s="596"/>
      <c r="O71" s="596"/>
      <c r="P71" s="596"/>
      <c r="AI71" s="559"/>
      <c r="AJ71" s="559"/>
      <c r="AK71" s="559"/>
      <c r="AL71" s="595"/>
      <c r="AM71" s="595"/>
      <c r="AN71" s="595"/>
      <c r="AO71" s="595"/>
      <c r="AP71" s="595"/>
      <c r="AQ71" s="595"/>
      <c r="AR71" s="595"/>
      <c r="AS71" s="595"/>
      <c r="AX71" s="595"/>
      <c r="AY71" s="595"/>
      <c r="BD71" s="602" t="s">
        <v>662</v>
      </c>
      <c r="BE71" s="612" t="s">
        <v>661</v>
      </c>
      <c r="BF71" s="592"/>
      <c r="BG71" s="592"/>
      <c r="BH71" s="592"/>
      <c r="BI71" s="592"/>
      <c r="BJ71" s="592"/>
      <c r="BK71" s="592"/>
      <c r="BL71" s="592"/>
      <c r="BM71" s="592"/>
      <c r="BN71" s="592"/>
    </row>
    <row r="72" spans="1:66" ht="22.5" customHeight="1">
      <c r="A72" s="613"/>
      <c r="B72" s="560"/>
      <c r="C72" s="566"/>
      <c r="D72" s="566"/>
      <c r="E72" s="560"/>
      <c r="F72" s="597"/>
      <c r="G72" s="597"/>
      <c r="H72" s="597"/>
      <c r="I72" s="597"/>
      <c r="J72" s="597"/>
      <c r="K72" s="597"/>
      <c r="L72" s="597"/>
      <c r="M72" s="597"/>
      <c r="N72" s="597"/>
      <c r="O72" s="597"/>
      <c r="P72" s="614"/>
      <c r="AI72" s="559"/>
      <c r="AJ72" s="559"/>
      <c r="AK72" s="559"/>
      <c r="AL72" s="597"/>
      <c r="AM72" s="597"/>
      <c r="AN72" s="597"/>
      <c r="AO72" s="597"/>
      <c r="AP72" s="597"/>
      <c r="AQ72" s="597"/>
      <c r="AR72" s="597"/>
      <c r="AS72" s="597"/>
      <c r="AX72" s="597"/>
      <c r="AY72" s="597"/>
      <c r="BE72" s="592"/>
      <c r="BF72" s="592"/>
      <c r="BG72" s="592"/>
      <c r="BH72" s="592"/>
      <c r="BI72" s="592"/>
      <c r="BJ72" s="592"/>
      <c r="BK72" s="592"/>
      <c r="BL72" s="592"/>
      <c r="BM72" s="592"/>
      <c r="BN72" s="592"/>
    </row>
    <row r="73" spans="1:66" ht="22.5" customHeight="1">
      <c r="A73" s="559"/>
      <c r="B73" s="615"/>
      <c r="C73" s="566"/>
      <c r="D73" s="566"/>
      <c r="E73" s="596"/>
      <c r="F73" s="596"/>
      <c r="G73" s="596"/>
      <c r="H73" s="596"/>
      <c r="I73" s="596"/>
      <c r="J73" s="596"/>
      <c r="K73" s="596"/>
      <c r="L73" s="596"/>
      <c r="M73" s="597"/>
      <c r="N73" s="596"/>
      <c r="O73" s="596"/>
      <c r="P73" s="614"/>
      <c r="AI73" s="559"/>
      <c r="AJ73" s="559"/>
      <c r="AK73" s="559"/>
      <c r="AL73" s="595"/>
      <c r="AM73" s="595"/>
      <c r="AN73" s="595"/>
      <c r="AO73" s="595"/>
      <c r="AP73" s="595"/>
      <c r="AQ73" s="595"/>
      <c r="AR73" s="595"/>
      <c r="AS73" s="595"/>
      <c r="AX73" s="595"/>
      <c r="AY73" s="595"/>
      <c r="BD73" s="602" t="s">
        <v>660</v>
      </c>
      <c r="BE73" s="572" t="s">
        <v>659</v>
      </c>
      <c r="BF73" s="592"/>
      <c r="BG73" s="592"/>
      <c r="BH73" s="592"/>
      <c r="BI73" s="592"/>
      <c r="BJ73" s="592"/>
      <c r="BK73" s="592"/>
      <c r="BL73" s="592"/>
      <c r="BM73" s="592"/>
      <c r="BN73" s="592"/>
    </row>
    <row r="74" spans="1:66" ht="22.5" customHeight="1">
      <c r="A74" s="559"/>
      <c r="B74" s="615"/>
      <c r="C74" s="566"/>
      <c r="D74" s="566"/>
      <c r="E74" s="596"/>
      <c r="F74" s="596"/>
      <c r="G74" s="596"/>
      <c r="H74" s="596"/>
      <c r="I74" s="596"/>
      <c r="J74" s="596"/>
      <c r="K74" s="596"/>
      <c r="L74" s="596"/>
      <c r="M74" s="597"/>
      <c r="N74" s="596"/>
      <c r="O74" s="596"/>
      <c r="P74" s="614"/>
      <c r="AI74" s="559"/>
      <c r="AJ74" s="559"/>
      <c r="AK74" s="559"/>
      <c r="AL74" s="597"/>
      <c r="AM74" s="597"/>
      <c r="AN74" s="597"/>
      <c r="AO74" s="597"/>
      <c r="AP74" s="597"/>
      <c r="AQ74" s="597"/>
      <c r="AR74" s="597"/>
      <c r="AS74" s="597"/>
      <c r="AX74" s="597"/>
      <c r="AY74" s="597"/>
      <c r="BE74" s="572" t="s">
        <v>658</v>
      </c>
      <c r="BF74" s="592"/>
      <c r="BG74" s="592"/>
      <c r="BH74" s="592"/>
      <c r="BI74" s="592"/>
      <c r="BJ74" s="592"/>
      <c r="BK74" s="592"/>
      <c r="BL74" s="592"/>
      <c r="BM74" s="592"/>
      <c r="BN74" s="592"/>
    </row>
    <row r="75" spans="1:66" ht="22.5" customHeight="1">
      <c r="A75" s="559"/>
      <c r="B75" s="615"/>
      <c r="C75" s="566"/>
      <c r="D75" s="566"/>
      <c r="E75" s="596"/>
      <c r="F75" s="596"/>
      <c r="G75" s="596"/>
      <c r="H75" s="596"/>
      <c r="I75" s="596"/>
      <c r="J75" s="596"/>
      <c r="K75" s="596"/>
      <c r="L75" s="596"/>
      <c r="M75" s="596"/>
      <c r="N75" s="596"/>
      <c r="O75" s="596"/>
      <c r="P75" s="614"/>
      <c r="AI75" s="559"/>
      <c r="AJ75" s="559"/>
      <c r="AK75" s="559"/>
      <c r="AL75" s="595"/>
      <c r="AM75" s="595"/>
      <c r="AN75" s="595"/>
      <c r="AO75" s="595"/>
      <c r="AP75" s="595"/>
      <c r="AQ75" s="595"/>
      <c r="AR75" s="595"/>
      <c r="AS75" s="595"/>
      <c r="AX75" s="595"/>
      <c r="AY75" s="595"/>
      <c r="BE75" s="592"/>
      <c r="BF75" s="592"/>
      <c r="BG75" s="592"/>
      <c r="BH75" s="592"/>
      <c r="BI75" s="592"/>
      <c r="BJ75" s="592"/>
      <c r="BK75" s="592"/>
      <c r="BL75" s="592"/>
      <c r="BM75" s="592"/>
      <c r="BN75" s="592"/>
    </row>
    <row r="76" spans="1:66" ht="22.5" customHeight="1">
      <c r="A76" s="559"/>
      <c r="B76" s="615"/>
      <c r="C76" s="566"/>
      <c r="D76" s="566"/>
      <c r="E76" s="596"/>
      <c r="F76" s="596"/>
      <c r="G76" s="596"/>
      <c r="H76" s="596"/>
      <c r="I76" s="596"/>
      <c r="J76" s="596"/>
      <c r="K76" s="596"/>
      <c r="L76" s="596"/>
      <c r="M76" s="596"/>
      <c r="N76" s="596"/>
      <c r="O76" s="596"/>
      <c r="P76" s="614"/>
      <c r="AI76" s="559"/>
      <c r="AJ76" s="559"/>
      <c r="AK76" s="559"/>
      <c r="AL76" s="597"/>
      <c r="AM76" s="597"/>
      <c r="AN76" s="597"/>
      <c r="AO76" s="597"/>
      <c r="AP76" s="597"/>
      <c r="AQ76" s="597"/>
      <c r="AR76" s="597"/>
      <c r="AS76" s="597"/>
      <c r="AX76" s="597"/>
      <c r="AY76" s="597"/>
      <c r="BE76" s="592"/>
      <c r="BF76" s="592"/>
      <c r="BG76" s="592"/>
      <c r="BH76" s="592"/>
      <c r="BI76" s="592"/>
      <c r="BJ76" s="592"/>
      <c r="BK76" s="592"/>
      <c r="BL76" s="592"/>
      <c r="BM76" s="592"/>
      <c r="BN76" s="592"/>
    </row>
    <row r="77" spans="1:66" ht="22.5" customHeight="1">
      <c r="A77" s="559"/>
      <c r="B77" s="615"/>
      <c r="C77" s="566"/>
      <c r="D77" s="566"/>
      <c r="E77" s="596"/>
      <c r="F77" s="596"/>
      <c r="G77" s="596"/>
      <c r="H77" s="596"/>
      <c r="I77" s="596"/>
      <c r="J77" s="596"/>
      <c r="K77" s="596"/>
      <c r="L77" s="596"/>
      <c r="M77" s="596"/>
      <c r="N77" s="596"/>
      <c r="O77" s="596"/>
      <c r="P77" s="614"/>
      <c r="AI77" s="559"/>
      <c r="AJ77" s="559"/>
      <c r="AK77" s="559"/>
      <c r="AL77" s="595"/>
      <c r="AM77" s="595"/>
      <c r="AN77" s="595"/>
      <c r="AO77" s="595"/>
      <c r="AP77" s="595"/>
      <c r="AQ77" s="595"/>
      <c r="AR77" s="595"/>
      <c r="AS77" s="595"/>
      <c r="AX77" s="595"/>
      <c r="AY77" s="595"/>
      <c r="BD77" s="602" t="s">
        <v>657</v>
      </c>
      <c r="BE77" s="572" t="s">
        <v>656</v>
      </c>
      <c r="BF77" s="592"/>
      <c r="BG77" s="592"/>
      <c r="BH77" s="592"/>
      <c r="BI77" s="592"/>
      <c r="BJ77" s="592"/>
      <c r="BK77" s="592"/>
      <c r="BL77" s="592"/>
      <c r="BM77" s="592"/>
      <c r="BN77" s="592"/>
    </row>
    <row r="78" spans="1:66" ht="22.5" customHeight="1">
      <c r="A78" s="559"/>
      <c r="B78" s="615"/>
      <c r="C78" s="566"/>
      <c r="D78" s="566"/>
      <c r="E78" s="596"/>
      <c r="F78" s="596"/>
      <c r="G78" s="596"/>
      <c r="H78" s="596"/>
      <c r="I78" s="596"/>
      <c r="J78" s="596"/>
      <c r="K78" s="596"/>
      <c r="L78" s="596"/>
      <c r="M78" s="596"/>
      <c r="N78" s="596"/>
      <c r="O78" s="596"/>
      <c r="P78" s="614"/>
      <c r="AI78" s="559"/>
      <c r="AJ78" s="559"/>
      <c r="AK78" s="559"/>
      <c r="AL78" s="597"/>
      <c r="AM78" s="597"/>
      <c r="AN78" s="597"/>
      <c r="AO78" s="597"/>
      <c r="AP78" s="597"/>
      <c r="AQ78" s="597"/>
      <c r="AR78" s="597"/>
      <c r="AS78" s="597"/>
      <c r="AX78" s="597"/>
      <c r="AY78" s="597"/>
      <c r="BE78" s="592"/>
      <c r="BF78" s="592"/>
      <c r="BG78" s="592"/>
      <c r="BH78" s="592"/>
      <c r="BI78" s="592"/>
      <c r="BJ78" s="592"/>
      <c r="BK78" s="592"/>
      <c r="BL78" s="592"/>
      <c r="BM78" s="592"/>
      <c r="BN78" s="592"/>
    </row>
    <row r="79" spans="1:66" ht="22.5" customHeight="1">
      <c r="A79" s="559"/>
      <c r="B79" s="615"/>
      <c r="C79" s="566"/>
      <c r="D79" s="566"/>
      <c r="E79" s="596"/>
      <c r="F79" s="596"/>
      <c r="G79" s="596"/>
      <c r="H79" s="596"/>
      <c r="I79" s="596"/>
      <c r="J79" s="596"/>
      <c r="K79" s="596"/>
      <c r="L79" s="596"/>
      <c r="M79" s="596"/>
      <c r="N79" s="596"/>
      <c r="O79" s="596"/>
      <c r="P79" s="614"/>
      <c r="AI79" s="559"/>
      <c r="AJ79" s="559"/>
      <c r="AK79" s="559"/>
      <c r="AL79" s="595"/>
      <c r="AM79" s="595"/>
      <c r="AN79" s="595"/>
      <c r="AO79" s="595"/>
      <c r="AP79" s="595"/>
      <c r="AQ79" s="595"/>
      <c r="AR79" s="595"/>
      <c r="AS79" s="595"/>
      <c r="AX79" s="595"/>
      <c r="AY79" s="595"/>
      <c r="BE79" s="592"/>
      <c r="BF79" s="592"/>
      <c r="BG79" s="592"/>
      <c r="BH79" s="592"/>
      <c r="BI79" s="592"/>
      <c r="BJ79" s="592"/>
      <c r="BK79" s="592"/>
      <c r="BL79" s="592"/>
      <c r="BM79" s="592"/>
      <c r="BN79" s="592"/>
    </row>
    <row r="80" spans="1:66" ht="22.5" customHeight="1">
      <c r="A80" s="559"/>
      <c r="B80" s="615"/>
      <c r="C80" s="566"/>
      <c r="D80" s="566"/>
      <c r="E80" s="596"/>
      <c r="F80" s="596"/>
      <c r="G80" s="596"/>
      <c r="H80" s="596"/>
      <c r="I80" s="596"/>
      <c r="J80" s="596"/>
      <c r="K80" s="596"/>
      <c r="L80" s="596"/>
      <c r="M80" s="596"/>
      <c r="N80" s="596"/>
      <c r="O80" s="596"/>
      <c r="P80" s="614"/>
      <c r="AI80" s="559"/>
      <c r="AJ80" s="559"/>
      <c r="AK80" s="559"/>
      <c r="AL80" s="597"/>
      <c r="AM80" s="597"/>
      <c r="AN80" s="597"/>
      <c r="AO80" s="597"/>
      <c r="AP80" s="597"/>
      <c r="AQ80" s="597"/>
      <c r="AR80" s="597"/>
      <c r="AS80" s="597"/>
      <c r="AX80" s="597"/>
      <c r="AY80" s="597"/>
      <c r="BE80" s="592"/>
      <c r="BF80" s="592"/>
      <c r="BG80" s="592"/>
      <c r="BH80" s="592"/>
      <c r="BI80" s="592"/>
      <c r="BJ80" s="592"/>
      <c r="BK80" s="592"/>
      <c r="BL80" s="592"/>
      <c r="BM80" s="592"/>
      <c r="BN80" s="592"/>
    </row>
    <row r="81" spans="1:66" ht="22.5" customHeight="1">
      <c r="A81" s="559"/>
      <c r="B81" s="615"/>
      <c r="C81" s="566"/>
      <c r="D81" s="566"/>
      <c r="E81" s="596"/>
      <c r="F81" s="596"/>
      <c r="G81" s="596"/>
      <c r="H81" s="596"/>
      <c r="I81" s="596"/>
      <c r="J81" s="596"/>
      <c r="K81" s="596"/>
      <c r="L81" s="596"/>
      <c r="M81" s="596"/>
      <c r="N81" s="596"/>
      <c r="O81" s="596"/>
      <c r="P81" s="614"/>
      <c r="AI81" s="559"/>
      <c r="AJ81" s="559"/>
      <c r="AK81" s="559"/>
      <c r="AL81" s="595"/>
      <c r="AM81" s="595"/>
      <c r="AN81" s="595"/>
      <c r="AO81" s="595"/>
      <c r="AP81" s="595"/>
      <c r="AQ81" s="595"/>
      <c r="AR81" s="595"/>
      <c r="AS81" s="595"/>
      <c r="AX81" s="595"/>
      <c r="AY81" s="595"/>
      <c r="BE81" s="592"/>
      <c r="BF81" s="592"/>
      <c r="BG81" s="592"/>
      <c r="BH81" s="592"/>
      <c r="BI81" s="592"/>
      <c r="BJ81" s="592"/>
      <c r="BK81" s="592"/>
      <c r="BL81" s="592"/>
      <c r="BM81" s="592"/>
      <c r="BN81" s="592"/>
    </row>
    <row r="82" spans="1:66" ht="22.5" customHeight="1">
      <c r="A82" s="559"/>
      <c r="B82" s="615"/>
      <c r="C82" s="566"/>
      <c r="D82" s="566"/>
      <c r="E82" s="596"/>
      <c r="F82" s="596"/>
      <c r="G82" s="596"/>
      <c r="H82" s="596"/>
      <c r="I82" s="596"/>
      <c r="J82" s="596"/>
      <c r="K82" s="596"/>
      <c r="L82" s="596"/>
      <c r="M82" s="596"/>
      <c r="N82" s="596"/>
      <c r="O82" s="596"/>
      <c r="P82" s="596"/>
      <c r="BE82" s="592"/>
      <c r="BF82" s="592"/>
      <c r="BG82" s="592"/>
      <c r="BH82" s="592"/>
      <c r="BI82" s="592"/>
      <c r="BJ82" s="592"/>
      <c r="BK82" s="592"/>
      <c r="BL82" s="592"/>
      <c r="BM82" s="592"/>
      <c r="BN82" s="592"/>
    </row>
    <row r="83" spans="1:66" ht="22.5" customHeight="1">
      <c r="A83" s="559"/>
      <c r="B83" s="615"/>
      <c r="C83" s="566"/>
      <c r="D83" s="566"/>
      <c r="E83" s="596"/>
      <c r="F83" s="596"/>
      <c r="G83" s="596"/>
      <c r="H83" s="596"/>
      <c r="I83" s="596"/>
      <c r="J83" s="596"/>
      <c r="K83" s="596"/>
      <c r="L83" s="596"/>
      <c r="M83" s="596"/>
      <c r="N83" s="596"/>
      <c r="O83" s="596"/>
      <c r="P83" s="596"/>
      <c r="BE83" s="592"/>
      <c r="BF83" s="592"/>
      <c r="BG83" s="592"/>
      <c r="BH83" s="592"/>
      <c r="BI83" s="592"/>
      <c r="BJ83" s="592"/>
      <c r="BK83" s="592"/>
      <c r="BL83" s="592"/>
      <c r="BM83" s="592"/>
      <c r="BN83" s="592"/>
    </row>
    <row r="84" spans="1:66" ht="22.5" customHeight="1">
      <c r="A84" s="559"/>
      <c r="B84" s="615"/>
      <c r="C84" s="566"/>
      <c r="D84" s="566"/>
      <c r="E84" s="596"/>
      <c r="F84" s="596"/>
      <c r="G84" s="596"/>
      <c r="H84" s="596"/>
      <c r="I84" s="596"/>
      <c r="J84" s="596"/>
      <c r="K84" s="596"/>
      <c r="L84" s="596"/>
      <c r="M84" s="596"/>
      <c r="N84" s="596"/>
      <c r="O84" s="596"/>
      <c r="P84" s="596"/>
      <c r="BE84" s="592"/>
      <c r="BF84" s="592"/>
      <c r="BG84" s="592"/>
      <c r="BH84" s="592"/>
      <c r="BI84" s="592"/>
      <c r="BJ84" s="592"/>
      <c r="BK84" s="592"/>
      <c r="BL84" s="592"/>
      <c r="BM84" s="592"/>
      <c r="BN84" s="592"/>
    </row>
    <row r="85" spans="1:66" ht="22.5" customHeight="1">
      <c r="A85" s="559"/>
      <c r="B85" s="615"/>
      <c r="C85" s="566"/>
      <c r="D85" s="566"/>
      <c r="E85" s="596"/>
      <c r="F85" s="596"/>
      <c r="G85" s="596"/>
      <c r="H85" s="596"/>
      <c r="I85" s="596"/>
      <c r="J85" s="596"/>
      <c r="K85" s="596"/>
      <c r="L85" s="596"/>
      <c r="M85" s="596"/>
      <c r="N85" s="596"/>
      <c r="O85" s="596"/>
      <c r="P85" s="596"/>
      <c r="BE85" s="592"/>
      <c r="BF85" s="592"/>
      <c r="BG85" s="592"/>
      <c r="BH85" s="592"/>
      <c r="BI85" s="592"/>
      <c r="BJ85" s="592"/>
      <c r="BK85" s="592"/>
      <c r="BL85" s="592"/>
      <c r="BM85" s="592"/>
      <c r="BN85" s="592"/>
    </row>
    <row r="86" spans="1:66" ht="22.5" customHeight="1">
      <c r="A86" s="559"/>
      <c r="B86" s="615"/>
      <c r="C86" s="566"/>
      <c r="D86" s="566"/>
      <c r="E86" s="596"/>
      <c r="F86" s="596"/>
      <c r="G86" s="596"/>
      <c r="H86" s="596"/>
      <c r="I86" s="596"/>
      <c r="J86" s="596"/>
      <c r="K86" s="596"/>
      <c r="L86" s="596"/>
      <c r="M86" s="596"/>
      <c r="N86" s="596"/>
      <c r="O86" s="596"/>
      <c r="P86" s="596"/>
      <c r="AI86" s="601"/>
      <c r="AJ86" s="601"/>
      <c r="AK86" s="601"/>
      <c r="BE86" s="592"/>
      <c r="BF86" s="592"/>
      <c r="BG86" s="592"/>
      <c r="BH86" s="592"/>
      <c r="BI86" s="592"/>
      <c r="BJ86" s="592"/>
      <c r="BK86" s="592"/>
      <c r="BL86" s="592"/>
      <c r="BM86" s="592"/>
      <c r="BN86" s="592"/>
    </row>
    <row r="87" spans="1:66" ht="22.5" customHeight="1">
      <c r="A87" s="559"/>
      <c r="B87" s="615"/>
      <c r="C87" s="566"/>
      <c r="D87" s="566"/>
      <c r="E87" s="596"/>
      <c r="F87" s="596"/>
      <c r="G87" s="596"/>
      <c r="H87" s="596"/>
      <c r="I87" s="596"/>
      <c r="J87" s="596"/>
      <c r="K87" s="596"/>
      <c r="L87" s="596"/>
      <c r="M87" s="596"/>
      <c r="N87" s="596"/>
      <c r="O87" s="596"/>
      <c r="P87" s="596"/>
      <c r="AI87" s="602"/>
      <c r="AJ87" s="602"/>
      <c r="AK87" s="602"/>
      <c r="AL87" s="572"/>
      <c r="BE87" s="592"/>
      <c r="BF87" s="592"/>
      <c r="BG87" s="592"/>
      <c r="BH87" s="592"/>
      <c r="BI87" s="592"/>
      <c r="BJ87" s="592"/>
      <c r="BK87" s="592"/>
      <c r="BL87" s="592"/>
      <c r="BM87" s="592"/>
      <c r="BN87" s="592"/>
    </row>
    <row r="88" spans="1:66" ht="22.5" customHeight="1">
      <c r="A88" s="559"/>
      <c r="B88" s="615"/>
      <c r="C88" s="566"/>
      <c r="D88" s="566"/>
      <c r="E88" s="596"/>
      <c r="F88" s="596"/>
      <c r="G88" s="596"/>
      <c r="H88" s="596"/>
      <c r="I88" s="596"/>
      <c r="J88" s="596"/>
      <c r="K88" s="596"/>
      <c r="L88" s="596"/>
      <c r="M88" s="596"/>
      <c r="N88" s="596"/>
      <c r="O88" s="596"/>
      <c r="P88" s="596"/>
      <c r="BE88" s="592"/>
      <c r="BF88" s="592"/>
      <c r="BG88" s="592"/>
      <c r="BH88" s="592"/>
      <c r="BI88" s="592"/>
      <c r="BJ88" s="592"/>
      <c r="BK88" s="592"/>
      <c r="BL88" s="592"/>
      <c r="BM88" s="592"/>
      <c r="BN88" s="592"/>
    </row>
    <row r="89" spans="1:66" ht="22.5" customHeight="1">
      <c r="A89" s="559"/>
      <c r="B89" s="615"/>
      <c r="C89" s="566"/>
      <c r="D89" s="566"/>
      <c r="E89" s="596"/>
      <c r="F89" s="596"/>
      <c r="G89" s="596"/>
      <c r="H89" s="596"/>
      <c r="I89" s="596"/>
      <c r="J89" s="596"/>
      <c r="K89" s="596"/>
      <c r="L89" s="596"/>
      <c r="M89" s="596"/>
      <c r="N89" s="596"/>
      <c r="O89" s="596"/>
      <c r="P89" s="596"/>
      <c r="AH89" s="601"/>
      <c r="AI89" s="602"/>
      <c r="AJ89" s="602"/>
      <c r="AK89" s="602"/>
      <c r="AL89" s="572"/>
      <c r="BE89" s="592"/>
      <c r="BF89" s="592"/>
      <c r="BG89" s="592"/>
      <c r="BH89" s="592"/>
      <c r="BI89" s="592"/>
      <c r="BJ89" s="592"/>
      <c r="BK89" s="592"/>
      <c r="BL89" s="592"/>
      <c r="BM89" s="592"/>
      <c r="BN89" s="592"/>
    </row>
    <row r="90" spans="1:66" ht="36.75" customHeight="1">
      <c r="A90" s="589"/>
      <c r="B90" s="615"/>
      <c r="C90" s="615"/>
      <c r="D90" s="615"/>
      <c r="E90" s="596"/>
      <c r="F90" s="596"/>
      <c r="G90" s="596"/>
      <c r="H90" s="596"/>
      <c r="I90" s="596"/>
      <c r="J90" s="596"/>
      <c r="K90" s="596"/>
      <c r="L90" s="596"/>
      <c r="M90" s="596"/>
      <c r="N90" s="596"/>
      <c r="O90" s="596"/>
      <c r="P90" s="596"/>
      <c r="BE90" s="592"/>
      <c r="BF90" s="592"/>
      <c r="BG90" s="592"/>
      <c r="BH90" s="592"/>
      <c r="BI90" s="592"/>
      <c r="BJ90" s="592"/>
      <c r="BK90" s="592"/>
      <c r="BL90" s="592"/>
      <c r="BM90" s="592"/>
      <c r="BN90" s="592"/>
    </row>
    <row r="91" spans="1:66" ht="36.75" customHeight="1">
      <c r="B91" s="567"/>
      <c r="C91" s="567"/>
      <c r="D91" s="567"/>
      <c r="AI91" s="602"/>
      <c r="AJ91" s="602"/>
      <c r="AK91" s="602"/>
      <c r="AL91" s="608"/>
      <c r="BE91" s="592"/>
      <c r="BF91" s="592"/>
      <c r="BG91" s="592"/>
      <c r="BH91" s="592"/>
      <c r="BI91" s="592"/>
      <c r="BJ91" s="592"/>
      <c r="BK91" s="592"/>
      <c r="BL91" s="592"/>
      <c r="BM91" s="592"/>
      <c r="BN91" s="592"/>
    </row>
    <row r="92" spans="1:66" ht="36.75" customHeight="1">
      <c r="B92" s="567"/>
      <c r="C92" s="567"/>
      <c r="D92" s="567"/>
      <c r="AL92" s="609"/>
      <c r="BE92" s="592"/>
      <c r="BF92" s="592"/>
      <c r="BG92" s="592"/>
      <c r="BH92" s="592"/>
      <c r="BI92" s="592"/>
      <c r="BJ92" s="592"/>
      <c r="BK92" s="592"/>
      <c r="BL92" s="592"/>
      <c r="BM92" s="592"/>
      <c r="BN92" s="592"/>
    </row>
    <row r="93" spans="1:66" ht="36.75" customHeight="1">
      <c r="B93" s="567"/>
      <c r="C93" s="567"/>
      <c r="D93" s="567"/>
      <c r="BE93" s="592"/>
      <c r="BF93" s="592"/>
      <c r="BG93" s="592"/>
      <c r="BH93" s="592"/>
      <c r="BI93" s="592"/>
      <c r="BJ93" s="592"/>
      <c r="BK93" s="592"/>
      <c r="BL93" s="592"/>
      <c r="BM93" s="592"/>
      <c r="BN93" s="592"/>
    </row>
    <row r="94" spans="1:66" ht="36.75" customHeight="1">
      <c r="B94" s="567"/>
      <c r="C94" s="567"/>
      <c r="D94" s="567"/>
      <c r="BE94" s="592"/>
      <c r="BF94" s="592"/>
      <c r="BG94" s="592"/>
      <c r="BH94" s="592"/>
      <c r="BI94" s="592"/>
      <c r="BJ94" s="592"/>
      <c r="BK94" s="592"/>
      <c r="BL94" s="592"/>
      <c r="BM94" s="592"/>
      <c r="BN94" s="592"/>
    </row>
    <row r="95" spans="1:66" ht="36.75" customHeight="1">
      <c r="BE95" s="592"/>
      <c r="BF95" s="592"/>
      <c r="BG95" s="592"/>
      <c r="BH95" s="592"/>
      <c r="BI95" s="592"/>
      <c r="BJ95" s="592"/>
      <c r="BK95" s="592"/>
      <c r="BL95" s="592"/>
      <c r="BM95" s="592"/>
      <c r="BN95" s="592"/>
    </row>
    <row r="96" spans="1:66" ht="36.75" customHeight="1">
      <c r="BE96" s="592"/>
      <c r="BF96" s="592"/>
      <c r="BG96" s="592"/>
      <c r="BH96" s="592"/>
      <c r="BI96" s="592"/>
      <c r="BJ96" s="592"/>
      <c r="BK96" s="592"/>
      <c r="BL96" s="592"/>
      <c r="BM96" s="592"/>
      <c r="BN96" s="592"/>
    </row>
    <row r="97" spans="35:66" ht="36.75" customHeight="1">
      <c r="AI97" s="602"/>
      <c r="AJ97" s="602"/>
      <c r="AK97" s="602"/>
      <c r="AL97" s="612"/>
      <c r="BE97" s="592"/>
      <c r="BF97" s="592"/>
      <c r="BG97" s="592"/>
      <c r="BH97" s="592"/>
      <c r="BI97" s="592"/>
      <c r="BJ97" s="592"/>
      <c r="BK97" s="592"/>
      <c r="BL97" s="592"/>
      <c r="BM97" s="592"/>
      <c r="BN97" s="592"/>
    </row>
    <row r="98" spans="35:66" ht="36.75" customHeight="1">
      <c r="BE98" s="592"/>
      <c r="BF98" s="592"/>
      <c r="BG98" s="592"/>
      <c r="BH98" s="592"/>
      <c r="BI98" s="592"/>
      <c r="BJ98" s="592"/>
      <c r="BK98" s="592"/>
      <c r="BL98" s="592"/>
      <c r="BM98" s="592"/>
      <c r="BN98" s="592"/>
    </row>
    <row r="99" spans="35:66" ht="36.75" customHeight="1">
      <c r="AI99" s="602"/>
      <c r="AJ99" s="602"/>
      <c r="AK99" s="602"/>
      <c r="AL99" s="572"/>
      <c r="BE99" s="592"/>
      <c r="BF99" s="592"/>
      <c r="BG99" s="592"/>
      <c r="BH99" s="592"/>
      <c r="BI99" s="592"/>
      <c r="BJ99" s="592"/>
      <c r="BK99" s="592"/>
      <c r="BL99" s="592"/>
      <c r="BM99" s="592"/>
      <c r="BN99" s="592"/>
    </row>
    <row r="100" spans="35:66" ht="36.75" customHeight="1">
      <c r="AL100" s="572"/>
      <c r="BE100" s="592"/>
      <c r="BF100" s="592"/>
      <c r="BG100" s="592"/>
      <c r="BH100" s="592"/>
      <c r="BI100" s="592"/>
      <c r="BJ100" s="592"/>
      <c r="BK100" s="592"/>
      <c r="BL100" s="592"/>
      <c r="BM100" s="592"/>
      <c r="BN100" s="592"/>
    </row>
    <row r="101" spans="35:66" ht="36.75" customHeight="1">
      <c r="BE101" s="592"/>
      <c r="BF101" s="592"/>
      <c r="BG101" s="592"/>
      <c r="BH101" s="592"/>
      <c r="BI101" s="592"/>
      <c r="BJ101" s="592"/>
      <c r="BK101" s="592"/>
      <c r="BL101" s="592"/>
      <c r="BM101" s="592"/>
      <c r="BN101" s="592"/>
    </row>
    <row r="102" spans="35:66" ht="36.75" customHeight="1">
      <c r="BE102" s="592"/>
      <c r="BF102" s="592"/>
      <c r="BG102" s="592"/>
      <c r="BH102" s="592"/>
      <c r="BI102" s="592"/>
      <c r="BJ102" s="592"/>
      <c r="BK102" s="592"/>
      <c r="BL102" s="592"/>
      <c r="BM102" s="592"/>
      <c r="BN102" s="592"/>
    </row>
    <row r="103" spans="35:66" ht="36.75" customHeight="1">
      <c r="AI103" s="602"/>
      <c r="AJ103" s="602"/>
      <c r="AK103" s="602"/>
      <c r="AL103" s="572"/>
      <c r="BE103" s="592"/>
      <c r="BF103" s="592"/>
      <c r="BG103" s="592"/>
      <c r="BH103" s="592"/>
      <c r="BI103" s="592"/>
      <c r="BJ103" s="592"/>
      <c r="BK103" s="592"/>
      <c r="BL103" s="592"/>
      <c r="BM103" s="592"/>
      <c r="BN103" s="592"/>
    </row>
    <row r="104" spans="35:66" ht="36.75" customHeight="1">
      <c r="BE104" s="592"/>
      <c r="BF104" s="592"/>
      <c r="BG104" s="592"/>
      <c r="BH104" s="592"/>
      <c r="BI104" s="592"/>
      <c r="BJ104" s="592"/>
      <c r="BK104" s="592"/>
      <c r="BL104" s="592"/>
      <c r="BM104" s="592"/>
      <c r="BN104" s="592"/>
    </row>
    <row r="105" spans="35:66" ht="36.75" customHeight="1">
      <c r="BE105" s="592"/>
      <c r="BF105" s="592"/>
      <c r="BG105" s="592"/>
      <c r="BH105" s="592"/>
      <c r="BI105" s="592"/>
      <c r="BJ105" s="592"/>
      <c r="BK105" s="592"/>
      <c r="BL105" s="592"/>
      <c r="BM105" s="592"/>
      <c r="BN105" s="592"/>
    </row>
    <row r="106" spans="35:66" ht="36.75" customHeight="1">
      <c r="BE106" s="592"/>
      <c r="BF106" s="592"/>
      <c r="BG106" s="592"/>
      <c r="BH106" s="592"/>
      <c r="BI106" s="592"/>
      <c r="BJ106" s="592"/>
      <c r="BK106" s="592"/>
      <c r="BL106" s="592"/>
      <c r="BM106" s="592"/>
      <c r="BN106" s="592"/>
    </row>
  </sheetData>
  <mergeCells count="10">
    <mergeCell ref="BO1:BV1"/>
    <mergeCell ref="C69:D69"/>
    <mergeCell ref="L69:N69"/>
    <mergeCell ref="P69:P70"/>
    <mergeCell ref="BV2:BV3"/>
    <mergeCell ref="BR2:BT2"/>
    <mergeCell ref="AJ2:AK2"/>
    <mergeCell ref="C2:D2"/>
    <mergeCell ref="AF2:AF3"/>
    <mergeCell ref="BP2:BQ2"/>
  </mergeCells>
  <pageMargins left="0.7" right="0.7" top="0.75" bottom="0.75"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sheetPr>
  <dimension ref="A1:AV231"/>
  <sheetViews>
    <sheetView zoomScale="90" zoomScaleNormal="90" zoomScalePageLayoutView="90" workbookViewId="0">
      <pane xSplit="1" ySplit="2" topLeftCell="AG3" activePane="bottomRight" state="frozen"/>
      <selection pane="topRight" activeCell="C1" sqref="C1"/>
      <selection pane="bottomLeft" activeCell="A3" sqref="A3"/>
      <selection pane="bottomRight" activeCell="B3" sqref="B3"/>
    </sheetView>
  </sheetViews>
  <sheetFormatPr defaultColWidth="8.85546875" defaultRowHeight="15"/>
  <cols>
    <col min="1" max="1" width="13.42578125" style="4" customWidth="1"/>
    <col min="2" max="2" width="10.42578125" style="4" customWidth="1"/>
    <col min="3" max="3" width="11.85546875" style="4" customWidth="1"/>
    <col min="4" max="4" width="10.85546875" style="31" customWidth="1"/>
    <col min="5" max="5" width="10.28515625" style="4" customWidth="1"/>
    <col min="6" max="6" width="10.85546875" style="41" customWidth="1"/>
    <col min="7" max="7" width="12.28515625" style="41" bestFit="1" customWidth="1"/>
    <col min="8" max="8" width="14.85546875" style="31" customWidth="1"/>
    <col min="9" max="9" width="11.7109375" style="31" customWidth="1"/>
    <col min="10" max="10" width="11.7109375" style="4" hidden="1" customWidth="1"/>
    <col min="11" max="12" width="11.7109375" style="4" customWidth="1"/>
    <col min="13" max="13" width="15.7109375" style="4" customWidth="1"/>
    <col min="14" max="15" width="13.7109375" style="4" customWidth="1"/>
    <col min="16" max="17" width="14" style="4" customWidth="1"/>
    <col min="18" max="20" width="13.7109375" style="4" customWidth="1"/>
    <col min="21" max="21" width="10.85546875" style="4" customWidth="1"/>
    <col min="22" max="22" width="10.7109375" style="4" customWidth="1"/>
    <col min="23" max="25" width="11.140625" style="4" customWidth="1"/>
    <col min="26" max="26" width="12.7109375" style="4" customWidth="1"/>
    <col min="27" max="27" width="12.28515625" style="4" customWidth="1"/>
    <col min="28" max="28" width="9.140625" style="4" customWidth="1"/>
    <col min="29" max="29" width="11.85546875" style="4" customWidth="1"/>
    <col min="30" max="34" width="11.42578125" style="4" customWidth="1"/>
    <col min="35" max="35" width="13" style="4" customWidth="1"/>
    <col min="36" max="36" width="11.42578125" style="4" customWidth="1"/>
    <col min="37" max="37" width="12.42578125" style="4" customWidth="1"/>
    <col min="38" max="38" width="14" style="4" customWidth="1"/>
    <col min="39" max="39" width="13" style="4" customWidth="1"/>
    <col min="40" max="40" width="8.85546875" style="4"/>
    <col min="41" max="41" width="11.42578125" style="4" customWidth="1"/>
    <col min="42" max="42" width="8.85546875" style="4"/>
    <col min="43" max="43" width="14.140625" style="4" customWidth="1"/>
    <col min="44" max="44" width="8.85546875" style="4"/>
    <col min="45" max="45" width="12.28515625" style="4" customWidth="1"/>
    <col min="46" max="46" width="12.7109375" style="4" customWidth="1"/>
    <col min="47" max="47" width="13.140625" style="4" customWidth="1"/>
    <col min="48" max="48" width="10.42578125" style="4" customWidth="1"/>
    <col min="49" max="16384" width="8.85546875" style="4"/>
  </cols>
  <sheetData>
    <row r="1" spans="1:48">
      <c r="B1" s="914" t="s">
        <v>534</v>
      </c>
      <c r="C1" s="914"/>
      <c r="D1" s="914"/>
      <c r="E1" s="914"/>
      <c r="F1" s="235"/>
      <c r="G1" s="914" t="s">
        <v>535</v>
      </c>
      <c r="H1" s="914"/>
      <c r="I1" s="914"/>
      <c r="J1" s="914"/>
      <c r="K1" s="235"/>
      <c r="L1" s="914" t="s">
        <v>229</v>
      </c>
      <c r="M1" s="914"/>
      <c r="N1" s="914"/>
      <c r="O1" s="914"/>
      <c r="P1" s="914"/>
      <c r="Q1" s="914"/>
      <c r="R1" s="914"/>
      <c r="S1" s="914"/>
      <c r="U1" s="915" t="s">
        <v>227</v>
      </c>
      <c r="V1" s="915"/>
      <c r="W1" s="915"/>
      <c r="X1" s="915"/>
      <c r="Y1" s="915"/>
      <c r="Z1" s="915"/>
      <c r="AA1" s="915"/>
      <c r="AB1" s="915"/>
      <c r="AC1" s="915"/>
      <c r="AD1" s="915"/>
      <c r="AE1" s="915"/>
      <c r="AF1" s="915"/>
      <c r="AG1" s="915"/>
      <c r="AH1" s="915"/>
      <c r="AI1" s="915"/>
      <c r="AJ1" s="915"/>
      <c r="AK1" s="915"/>
      <c r="AL1" s="915"/>
      <c r="AM1" s="915"/>
      <c r="AN1" s="915"/>
      <c r="AO1" s="915"/>
      <c r="AP1" s="915"/>
      <c r="AQ1" s="915"/>
      <c r="AR1" s="915"/>
      <c r="AS1" s="915"/>
      <c r="AT1" s="915"/>
      <c r="AU1" s="915"/>
      <c r="AV1" s="915"/>
    </row>
    <row r="2" spans="1:48" ht="57" customHeight="1">
      <c r="A2" s="310" t="s">
        <v>226</v>
      </c>
      <c r="B2" s="327" t="s">
        <v>549</v>
      </c>
      <c r="C2" s="310" t="s">
        <v>131</v>
      </c>
      <c r="D2" s="329" t="s">
        <v>78</v>
      </c>
      <c r="E2" s="62" t="s">
        <v>569</v>
      </c>
      <c r="F2" s="310"/>
      <c r="G2" s="345" t="s">
        <v>550</v>
      </c>
      <c r="H2" s="310" t="s">
        <v>84</v>
      </c>
      <c r="I2" s="310" t="s">
        <v>78</v>
      </c>
      <c r="J2" s="310" t="s">
        <v>221</v>
      </c>
      <c r="K2" s="310"/>
      <c r="L2" s="327" t="s">
        <v>551</v>
      </c>
      <c r="M2" s="330" t="s">
        <v>84</v>
      </c>
      <c r="N2" s="310" t="s">
        <v>228</v>
      </c>
      <c r="O2" s="310" t="s">
        <v>78</v>
      </c>
      <c r="P2" s="310" t="s">
        <v>78</v>
      </c>
      <c r="Q2" s="310" t="s">
        <v>466</v>
      </c>
      <c r="R2" s="310" t="s">
        <v>467</v>
      </c>
      <c r="S2" s="310" t="s">
        <v>258</v>
      </c>
      <c r="T2" s="310"/>
      <c r="U2" s="324" t="s">
        <v>86</v>
      </c>
      <c r="V2" s="327" t="s">
        <v>222</v>
      </c>
      <c r="W2" s="327" t="s">
        <v>223</v>
      </c>
      <c r="X2" s="310" t="s">
        <v>225</v>
      </c>
      <c r="Y2" s="310" t="s">
        <v>232</v>
      </c>
      <c r="Z2" s="327" t="s">
        <v>536</v>
      </c>
      <c r="AA2" s="327" t="s">
        <v>234</v>
      </c>
      <c r="AB2" s="310" t="s">
        <v>130</v>
      </c>
      <c r="AC2" s="327" t="s">
        <v>230</v>
      </c>
      <c r="AD2" s="327" t="s">
        <v>537</v>
      </c>
      <c r="AE2" s="327" t="s">
        <v>538</v>
      </c>
      <c r="AF2" s="326" t="s">
        <v>540</v>
      </c>
      <c r="AG2" s="327" t="s">
        <v>226</v>
      </c>
      <c r="AH2" s="327" t="s">
        <v>495</v>
      </c>
      <c r="AI2" s="327" t="s">
        <v>539</v>
      </c>
      <c r="AJ2" s="327" t="s">
        <v>496</v>
      </c>
      <c r="AK2" s="327" t="s">
        <v>86</v>
      </c>
      <c r="AL2" s="327" t="s">
        <v>237</v>
      </c>
      <c r="AM2" s="327" t="s">
        <v>231</v>
      </c>
      <c r="AN2" s="327" t="s">
        <v>235</v>
      </c>
      <c r="AO2" s="327" t="s">
        <v>236</v>
      </c>
      <c r="AP2" s="310"/>
      <c r="AQ2" s="327" t="s">
        <v>453</v>
      </c>
      <c r="AR2" s="327" t="s">
        <v>461</v>
      </c>
      <c r="AS2" s="327" t="s">
        <v>543</v>
      </c>
      <c r="AT2" s="327" t="s">
        <v>541</v>
      </c>
      <c r="AU2" s="327" t="s">
        <v>542</v>
      </c>
      <c r="AV2" s="327" t="s">
        <v>526</v>
      </c>
    </row>
    <row r="3" spans="1:48">
      <c r="A3" s="56">
        <v>35826</v>
      </c>
      <c r="B3" s="202">
        <v>1.0392455493920301</v>
      </c>
      <c r="C3" s="321" t="s">
        <v>74</v>
      </c>
      <c r="D3" s="60">
        <f>(B3*B4*B5)-1</f>
        <v>6.278453497990899E-2</v>
      </c>
      <c r="E3" s="60">
        <f>D3</f>
        <v>6.278453497990899E-2</v>
      </c>
      <c r="F3" s="59"/>
      <c r="G3" s="311">
        <v>1.1933564837429E-2</v>
      </c>
      <c r="H3" s="312">
        <f>G3+1</f>
        <v>1.011933564837429</v>
      </c>
      <c r="I3" s="5">
        <f>(H3*H4*H5)-1</f>
        <v>3.7292463523384667E-2</v>
      </c>
      <c r="J3" s="281">
        <f>I3</f>
        <v>3.7292463523384667E-2</v>
      </c>
      <c r="K3" s="105"/>
      <c r="L3" s="105">
        <v>3.2605357130746099E-3</v>
      </c>
      <c r="M3" s="58">
        <v>1.0032605357130699</v>
      </c>
      <c r="N3" s="332" t="s">
        <v>74</v>
      </c>
      <c r="O3" s="106">
        <f>(M3*M4*M5)-1</f>
        <v>1.9767430787411389E-2</v>
      </c>
      <c r="P3" s="106">
        <f>O3</f>
        <v>1.9767430787411389E-2</v>
      </c>
      <c r="Q3" s="105"/>
      <c r="R3" s="332">
        <v>1998</v>
      </c>
      <c r="S3" s="106">
        <f>Q6</f>
        <v>0.14531868618130483</v>
      </c>
      <c r="T3" s="105"/>
      <c r="U3" s="320" t="s">
        <v>74</v>
      </c>
      <c r="AA3" s="51"/>
      <c r="AD3" s="107">
        <f t="shared" ref="AD3:AD34" si="0">D3</f>
        <v>6.278453497990899E-2</v>
      </c>
      <c r="AG3" s="321">
        <v>1998</v>
      </c>
      <c r="AH3" s="106">
        <f>AE6</f>
        <v>0.19206193588897114</v>
      </c>
      <c r="AI3" s="106">
        <v>9.6000000000000002E-2</v>
      </c>
      <c r="AK3" s="320" t="s">
        <v>74</v>
      </c>
      <c r="AO3" s="72"/>
    </row>
    <row r="4" spans="1:48">
      <c r="A4" s="56">
        <v>35854</v>
      </c>
      <c r="B4" s="202">
        <v>1.0148003066562137</v>
      </c>
      <c r="C4" s="321" t="s">
        <v>75</v>
      </c>
      <c r="D4" s="60">
        <f>(B6*B7*B8)-1</f>
        <v>2.7920116796854355E-2</v>
      </c>
      <c r="E4" s="60">
        <f t="shared" ref="E4:E67" si="1">D4</f>
        <v>2.7920116796854355E-2</v>
      </c>
      <c r="F4" s="59"/>
      <c r="G4" s="311">
        <v>1.08130478435997E-2</v>
      </c>
      <c r="H4" s="312">
        <f t="shared" ref="H4:H67" si="2">G4+1</f>
        <v>1.0108130478435997</v>
      </c>
      <c r="I4" s="5">
        <f>(H6*H7*H8)-1</f>
        <v>2.0710359171483006E-2</v>
      </c>
      <c r="J4" s="281">
        <f t="shared" ref="J4:J67" si="3">I4</f>
        <v>2.0710359171483006E-2</v>
      </c>
      <c r="K4" s="105"/>
      <c r="L4" s="105">
        <v>1.6020373083822603E-2</v>
      </c>
      <c r="M4" s="58">
        <v>1.0160203730838226</v>
      </c>
      <c r="N4" s="332" t="s">
        <v>75</v>
      </c>
      <c r="O4" s="106">
        <f>(M6*M7*M8)-1</f>
        <v>2.1329425489575282E-2</v>
      </c>
      <c r="P4" s="106">
        <f t="shared" ref="P4:P67" si="4">O4</f>
        <v>2.1329425489575282E-2</v>
      </c>
      <c r="Q4" s="105"/>
      <c r="R4" s="332">
        <v>1999</v>
      </c>
      <c r="S4" s="106">
        <f>Q10</f>
        <v>7.8597405953688804E-2</v>
      </c>
      <c r="T4" s="105"/>
      <c r="U4" s="320" t="s">
        <v>75</v>
      </c>
      <c r="AA4" s="51"/>
      <c r="AD4" s="107">
        <f>D4</f>
        <v>2.7920116796854355E-2</v>
      </c>
      <c r="AG4" s="321">
        <v>1999</v>
      </c>
      <c r="AH4" s="106">
        <f>AE10</f>
        <v>0.13454250864627504</v>
      </c>
      <c r="AI4" s="106">
        <v>0.1244</v>
      </c>
      <c r="AK4" s="320" t="s">
        <v>75</v>
      </c>
      <c r="AO4" s="72"/>
    </row>
    <row r="5" spans="1:48">
      <c r="A5" s="56">
        <v>35885</v>
      </c>
      <c r="B5" s="202">
        <v>1.0077352799323633</v>
      </c>
      <c r="C5" s="321" t="s">
        <v>76</v>
      </c>
      <c r="D5" s="60">
        <f>(B9*B10*B11)-1</f>
        <v>-3.7523137184266031E-2</v>
      </c>
      <c r="E5" s="60">
        <f t="shared" si="1"/>
        <v>-3.7523137184266031E-2</v>
      </c>
      <c r="F5" s="59"/>
      <c r="G5" s="311">
        <v>1.40943941937619E-2</v>
      </c>
      <c r="H5" s="312">
        <f t="shared" si="2"/>
        <v>1.0140943941937619</v>
      </c>
      <c r="I5" s="5">
        <f>(H9*H10*H11)-1</f>
        <v>-3.5726046902602948E-2</v>
      </c>
      <c r="J5" s="281">
        <f t="shared" si="3"/>
        <v>-3.5726046902602948E-2</v>
      </c>
      <c r="K5" s="105"/>
      <c r="L5" s="105">
        <v>4.2605010401719495E-4</v>
      </c>
      <c r="M5" s="58">
        <v>1.0004260501040172</v>
      </c>
      <c r="N5" s="332" t="s">
        <v>76</v>
      </c>
      <c r="O5" s="106">
        <f>(M9*M10*M11)-1</f>
        <v>-2.2067027632722835E-3</v>
      </c>
      <c r="P5" s="106">
        <f t="shared" si="4"/>
        <v>-2.2067027632722835E-3</v>
      </c>
      <c r="Q5" s="105"/>
      <c r="R5" s="332">
        <v>2000</v>
      </c>
      <c r="S5" s="106">
        <f>Q14</f>
        <v>-2.8714040550387065E-2</v>
      </c>
      <c r="T5" s="105"/>
      <c r="U5" s="320" t="s">
        <v>76</v>
      </c>
      <c r="AA5" s="51"/>
      <c r="AD5" s="107">
        <f t="shared" si="0"/>
        <v>-3.7523137184266031E-2</v>
      </c>
      <c r="AG5" s="321">
        <v>2000</v>
      </c>
      <c r="AH5" s="106">
        <f>AE14</f>
        <v>6.5003384062240377E-2</v>
      </c>
      <c r="AI5" s="106">
        <v>2.4899999999999999E-2</v>
      </c>
      <c r="AK5" s="320" t="s">
        <v>76</v>
      </c>
      <c r="AO5" s="72"/>
    </row>
    <row r="6" spans="1:48">
      <c r="A6" s="56">
        <v>35915</v>
      </c>
      <c r="B6" s="202">
        <v>0.99345761280954725</v>
      </c>
      <c r="C6" s="321" t="s">
        <v>77</v>
      </c>
      <c r="D6" s="60">
        <f>(B12*B13*B14)-1</f>
        <v>0.13888042129647382</v>
      </c>
      <c r="E6" s="60">
        <f t="shared" si="1"/>
        <v>0.13888042129647382</v>
      </c>
      <c r="F6" s="59"/>
      <c r="G6" s="311">
        <v>2.2595274831323001E-3</v>
      </c>
      <c r="H6" s="312">
        <f t="shared" si="2"/>
        <v>1.0022595274831323</v>
      </c>
      <c r="I6" s="5">
        <f>(H12*H13*H14)-1</f>
        <v>7.0148570136256083E-2</v>
      </c>
      <c r="J6" s="281">
        <f t="shared" si="3"/>
        <v>7.0148570136256083E-2</v>
      </c>
      <c r="K6" s="105"/>
      <c r="L6" s="105">
        <v>1.55963150593088E-2</v>
      </c>
      <c r="M6" s="58">
        <v>1.0155963150593088</v>
      </c>
      <c r="N6" s="332" t="s">
        <v>77</v>
      </c>
      <c r="O6" s="106">
        <f>(M12*M13*M14)-1</f>
        <v>0.10642853266759045</v>
      </c>
      <c r="P6" s="106">
        <f t="shared" si="4"/>
        <v>0.10642853266759045</v>
      </c>
      <c r="Q6" s="106">
        <f>P3+P4+P5+P6</f>
        <v>0.14531868618130483</v>
      </c>
      <c r="R6" s="332">
        <v>2001</v>
      </c>
      <c r="S6" s="106">
        <f>Q18</f>
        <v>-6.8680816703550751E-2</v>
      </c>
      <c r="T6" s="105"/>
      <c r="U6" s="320" t="s">
        <v>77</v>
      </c>
      <c r="AA6" s="51"/>
      <c r="AD6" s="107">
        <f t="shared" si="0"/>
        <v>0.13888042129647382</v>
      </c>
      <c r="AE6" s="124">
        <f>AD6+AD5+AD4+AD3</f>
        <v>0.19206193588897114</v>
      </c>
      <c r="AG6" s="321">
        <v>2001</v>
      </c>
      <c r="AH6" s="106">
        <f>AE18</f>
        <v>-5.1069613203912234E-2</v>
      </c>
      <c r="AI6" s="106">
        <v>-2.47E-2</v>
      </c>
      <c r="AK6" s="320" t="s">
        <v>77</v>
      </c>
      <c r="AO6" s="72"/>
    </row>
    <row r="7" spans="1:48">
      <c r="A7" s="56">
        <v>35946</v>
      </c>
      <c r="B7" s="202">
        <v>1.0100595909329784</v>
      </c>
      <c r="C7" s="321" t="s">
        <v>70</v>
      </c>
      <c r="D7" s="60">
        <f>(B15*B16*B17)-1</f>
        <v>1.4206772062699269E-3</v>
      </c>
      <c r="E7" s="60">
        <f t="shared" si="1"/>
        <v>1.4206772062699269E-3</v>
      </c>
      <c r="F7" s="59"/>
      <c r="G7" s="311">
        <v>9.3042598881754E-3</v>
      </c>
      <c r="H7" s="312">
        <f t="shared" si="2"/>
        <v>1.0093042598881754</v>
      </c>
      <c r="I7" s="5">
        <f>(H15*H16*H17)-1</f>
        <v>2.9285188764089698E-2</v>
      </c>
      <c r="J7" s="281">
        <f t="shared" si="3"/>
        <v>2.9285188764089698E-2</v>
      </c>
      <c r="K7" s="105"/>
      <c r="L7" s="105">
        <v>1.09586067634782E-4</v>
      </c>
      <c r="M7" s="58">
        <v>1.0001095860676348</v>
      </c>
      <c r="N7" s="332" t="s">
        <v>70</v>
      </c>
      <c r="O7" s="106">
        <f>(M15*M16*M17)-1</f>
        <v>-1.2806109663260901E-2</v>
      </c>
      <c r="P7" s="106">
        <f>O7</f>
        <v>-1.2806109663260901E-2</v>
      </c>
      <c r="Q7" s="106"/>
      <c r="R7" s="332">
        <v>2002</v>
      </c>
      <c r="S7" s="106">
        <f>Q22</f>
        <v>5.0661719598872446E-2</v>
      </c>
      <c r="T7" s="105"/>
      <c r="U7" s="320" t="s">
        <v>70</v>
      </c>
      <c r="AA7" s="51"/>
      <c r="AD7" s="107">
        <f t="shared" si="0"/>
        <v>1.4206772062699269E-3</v>
      </c>
      <c r="AG7" s="321">
        <v>2002</v>
      </c>
      <c r="AH7" s="106">
        <f>AE22</f>
        <v>-0.20271388485631148</v>
      </c>
      <c r="AI7" s="106">
        <v>-4.7399999999999998E-2</v>
      </c>
      <c r="AK7" s="320" t="s">
        <v>70</v>
      </c>
      <c r="AO7" s="72"/>
    </row>
    <row r="8" spans="1:48">
      <c r="A8" s="56">
        <v>35976</v>
      </c>
      <c r="B8" s="202">
        <v>1.0243845661453521</v>
      </c>
      <c r="C8" s="321" t="s">
        <v>71</v>
      </c>
      <c r="D8" s="60">
        <f>(B18*B19*B20)-1</f>
        <v>1.5875272851554989E-2</v>
      </c>
      <c r="E8" s="60">
        <f t="shared" si="1"/>
        <v>1.5875272851554989E-2</v>
      </c>
      <c r="F8" s="59"/>
      <c r="G8" s="311">
        <v>9.0210415118976393E-3</v>
      </c>
      <c r="H8" s="312">
        <f>G8+1</f>
        <v>1.0090210415118976</v>
      </c>
      <c r="I8" s="5">
        <f>(H18*H19*H20)-1</f>
        <v>2.0071136026281966E-2</v>
      </c>
      <c r="J8" s="281">
        <f t="shared" si="3"/>
        <v>2.0071136026281966E-2</v>
      </c>
      <c r="K8" s="105"/>
      <c r="L8" s="105">
        <v>5.5348755556963204E-3</v>
      </c>
      <c r="M8" s="58">
        <v>1.0055348755556963</v>
      </c>
      <c r="N8" s="332" t="s">
        <v>71</v>
      </c>
      <c r="O8" s="106">
        <f>(M18*M19*M20)-1</f>
        <v>-2.6679188548619504E-3</v>
      </c>
      <c r="P8" s="106">
        <f>O8</f>
        <v>-2.6679188548619504E-3</v>
      </c>
      <c r="Q8" s="106"/>
      <c r="R8" s="332">
        <v>2003</v>
      </c>
      <c r="S8" s="106">
        <f>Q26</f>
        <v>0.23254177609509608</v>
      </c>
      <c r="T8" s="105"/>
      <c r="U8" s="320" t="s">
        <v>71</v>
      </c>
      <c r="AA8" s="51"/>
      <c r="AD8" s="107">
        <f t="shared" si="0"/>
        <v>1.5875272851554989E-2</v>
      </c>
      <c r="AG8" s="321">
        <v>2003</v>
      </c>
      <c r="AH8" s="106">
        <f>AE26</f>
        <v>0.18837836702446698</v>
      </c>
      <c r="AI8" s="106">
        <v>0.12590000000000001</v>
      </c>
      <c r="AK8" s="320" t="s">
        <v>71</v>
      </c>
      <c r="AO8" s="72"/>
    </row>
    <row r="9" spans="1:48">
      <c r="A9" s="56">
        <v>36007</v>
      </c>
      <c r="B9" s="202">
        <v>0.98523450561753256</v>
      </c>
      <c r="C9" s="321" t="s">
        <v>72</v>
      </c>
      <c r="D9" s="121">
        <f>(B21*B22*B23)-1</f>
        <v>1.7983406728286244E-2</v>
      </c>
      <c r="E9" s="60">
        <f t="shared" si="1"/>
        <v>1.7983406728286244E-2</v>
      </c>
      <c r="F9" s="59"/>
      <c r="G9" s="311">
        <v>5.4142912825632097E-3</v>
      </c>
      <c r="H9" s="312">
        <f>G9+1</f>
        <v>1.0054142912825632</v>
      </c>
      <c r="I9" s="5">
        <f>(H21*H22*H23)-1</f>
        <v>-7.9180589556350212E-3</v>
      </c>
      <c r="J9" s="281">
        <f t="shared" si="3"/>
        <v>-7.9180589556350212E-3</v>
      </c>
      <c r="K9" s="105"/>
      <c r="L9" s="105">
        <v>1.2975443494565001E-3</v>
      </c>
      <c r="M9" s="58">
        <v>1.0012975443494565</v>
      </c>
      <c r="N9" s="332" t="s">
        <v>72</v>
      </c>
      <c r="O9" s="106">
        <f>(M21*M22*M23)-1</f>
        <v>3.3740647464486795E-2</v>
      </c>
      <c r="P9" s="106">
        <f t="shared" si="4"/>
        <v>3.3740647464486795E-2</v>
      </c>
      <c r="Q9" s="106"/>
      <c r="R9" s="332">
        <v>2004</v>
      </c>
      <c r="S9" s="106">
        <f>Q30</f>
        <v>0.1380218205494993</v>
      </c>
      <c r="T9" s="105"/>
      <c r="U9" s="320" t="s">
        <v>72</v>
      </c>
      <c r="AA9" s="51"/>
      <c r="AD9" s="107">
        <f t="shared" si="0"/>
        <v>1.7983406728286244E-2</v>
      </c>
      <c r="AG9" s="321">
        <v>2004</v>
      </c>
      <c r="AH9" s="106">
        <f>AE30</f>
        <v>4.0188841338295256E-2</v>
      </c>
      <c r="AI9" s="106">
        <v>8.9399999999999993E-2</v>
      </c>
      <c r="AK9" s="320" t="s">
        <v>72</v>
      </c>
      <c r="AO9" s="72"/>
    </row>
    <row r="10" spans="1:48">
      <c r="A10" s="56">
        <v>36038</v>
      </c>
      <c r="B10" s="202">
        <v>1.0034683234610893</v>
      </c>
      <c r="C10" s="321" t="s">
        <v>73</v>
      </c>
      <c r="D10" s="60">
        <f>(B24*B25*B26)-1</f>
        <v>9.9263151860163878E-2</v>
      </c>
      <c r="E10" s="60">
        <f t="shared" si="1"/>
        <v>9.9263151860163878E-2</v>
      </c>
      <c r="F10" s="59"/>
      <c r="G10" s="311">
        <v>-4.38027488406263E-2</v>
      </c>
      <c r="H10" s="312">
        <f t="shared" si="2"/>
        <v>0.95619725115937371</v>
      </c>
      <c r="I10" s="5">
        <f>(H24*H25*H26)-1</f>
        <v>7.9458433516220728E-2</v>
      </c>
      <c r="J10" s="281">
        <f t="shared" si="3"/>
        <v>7.9458433516220728E-2</v>
      </c>
      <c r="K10" s="105"/>
      <c r="L10" s="105">
        <v>-3.5971749461070603E-2</v>
      </c>
      <c r="M10" s="58">
        <v>0.96402825053892938</v>
      </c>
      <c r="N10" s="332" t="s">
        <v>73</v>
      </c>
      <c r="O10" s="106">
        <f>(M24*M25*M26)-1</f>
        <v>6.033078700732486E-2</v>
      </c>
      <c r="P10" s="106">
        <f t="shared" si="4"/>
        <v>6.033078700732486E-2</v>
      </c>
      <c r="Q10" s="106">
        <f>P7+P8+P9+P10</f>
        <v>7.8597405953688804E-2</v>
      </c>
      <c r="R10" s="332">
        <v>2005</v>
      </c>
      <c r="S10" s="106">
        <f>Q34</f>
        <v>2.2541971465570576E-2</v>
      </c>
      <c r="T10" s="105"/>
      <c r="U10" s="320" t="s">
        <v>73</v>
      </c>
      <c r="AA10" s="51"/>
      <c r="AD10" s="107">
        <f t="shared" si="0"/>
        <v>9.9263151860163878E-2</v>
      </c>
      <c r="AE10" s="124">
        <f>AD10+AD9+AD8+AD7</f>
        <v>0.13454250864627504</v>
      </c>
      <c r="AG10" s="321">
        <v>2005</v>
      </c>
      <c r="AH10" s="106">
        <f>AE34</f>
        <v>0.13591328657566404</v>
      </c>
      <c r="AI10" s="106">
        <v>0.1109</v>
      </c>
      <c r="AK10" s="320" t="s">
        <v>73</v>
      </c>
      <c r="AO10" s="72"/>
    </row>
    <row r="11" spans="1:48">
      <c r="A11" s="56">
        <v>36068</v>
      </c>
      <c r="B11" s="202">
        <v>0.97352479449060814</v>
      </c>
      <c r="C11" s="321" t="s">
        <v>59</v>
      </c>
      <c r="D11" s="60">
        <f>(B27*B28*B29)-1</f>
        <v>5.3533662537651017E-2</v>
      </c>
      <c r="E11" s="60">
        <f t="shared" si="1"/>
        <v>5.3533662537651017E-2</v>
      </c>
      <c r="F11" s="59"/>
      <c r="G11" s="311">
        <v>3.0160690280016701E-3</v>
      </c>
      <c r="H11" s="312">
        <f t="shared" si="2"/>
        <v>1.0030160690280017</v>
      </c>
      <c r="I11" s="5">
        <f>(H27*H28*H29)-1</f>
        <v>2.3652536084123543E-2</v>
      </c>
      <c r="J11" s="281">
        <f t="shared" si="3"/>
        <v>2.3652536084123543E-2</v>
      </c>
      <c r="K11" s="105"/>
      <c r="L11" s="105">
        <v>3.3683705175703099E-2</v>
      </c>
      <c r="M11" s="58">
        <v>1.0336837051757031</v>
      </c>
      <c r="N11" s="332" t="s">
        <v>59</v>
      </c>
      <c r="O11" s="106">
        <f>(M27*M28*M29)-1</f>
        <v>3.3425059086740205E-3</v>
      </c>
      <c r="P11" s="106">
        <f t="shared" si="4"/>
        <v>3.3425059086740205E-3</v>
      </c>
      <c r="Q11" s="106"/>
      <c r="R11" s="332">
        <v>2006</v>
      </c>
      <c r="S11" s="106">
        <f>Q38</f>
        <v>0.14397423298343881</v>
      </c>
      <c r="T11" s="105"/>
      <c r="U11" s="320" t="s">
        <v>59</v>
      </c>
      <c r="AA11" s="51"/>
      <c r="AD11" s="107">
        <f t="shared" si="0"/>
        <v>5.3533662537651017E-2</v>
      </c>
      <c r="AG11" s="321">
        <v>2006</v>
      </c>
      <c r="AH11" s="106">
        <f>AE38</f>
        <v>6.1098830016568795E-2</v>
      </c>
      <c r="AI11" s="106">
        <v>7.9200000000000007E-2</v>
      </c>
      <c r="AK11" s="320" t="s">
        <v>59</v>
      </c>
      <c r="AO11" s="72"/>
    </row>
    <row r="12" spans="1:48">
      <c r="A12" s="56">
        <v>36099</v>
      </c>
      <c r="B12" s="202">
        <v>1.0553309213554474</v>
      </c>
      <c r="C12" s="321" t="s">
        <v>60</v>
      </c>
      <c r="D12" s="60">
        <f>(B30*B31*B32)-1</f>
        <v>1.5571703740073772E-3</v>
      </c>
      <c r="E12" s="60">
        <f t="shared" si="1"/>
        <v>1.5571703740073772E-3</v>
      </c>
      <c r="F12" s="59"/>
      <c r="G12" s="311">
        <v>2.6489525414822999E-2</v>
      </c>
      <c r="H12" s="312">
        <f t="shared" si="2"/>
        <v>1.026489525414823</v>
      </c>
      <c r="I12" s="5">
        <f>(H30*H31*H32)-1</f>
        <v>-2.8695071652706794E-5</v>
      </c>
      <c r="J12" s="281">
        <f t="shared" si="3"/>
        <v>-2.8695071652706794E-5</v>
      </c>
      <c r="K12" s="105"/>
      <c r="L12" s="105">
        <v>5.9582478334945899E-2</v>
      </c>
      <c r="M12" s="58">
        <v>1.0595824783349459</v>
      </c>
      <c r="N12" s="332" t="s">
        <v>60</v>
      </c>
      <c r="O12" s="106">
        <f>(M30*M31*M32)-1</f>
        <v>-1.1156068624270543E-2</v>
      </c>
      <c r="P12" s="106">
        <f t="shared" si="4"/>
        <v>-1.1156068624270543E-2</v>
      </c>
      <c r="Q12" s="106"/>
      <c r="R12" s="332">
        <v>2007</v>
      </c>
      <c r="S12" s="106">
        <f>Q42</f>
        <v>9.8752571982640536E-2</v>
      </c>
      <c r="T12" s="105"/>
      <c r="U12" s="320" t="s">
        <v>60</v>
      </c>
      <c r="AA12" s="51"/>
      <c r="AD12" s="107">
        <f t="shared" si="0"/>
        <v>1.5571703740073772E-3</v>
      </c>
      <c r="AG12" s="321">
        <v>2007</v>
      </c>
      <c r="AH12" s="106">
        <f>AE42</f>
        <v>-3.8803435890618188E-2</v>
      </c>
      <c r="AI12" s="106">
        <v>4.6199999999999998E-2</v>
      </c>
      <c r="AJ12" s="106">
        <f>AF42</f>
        <v>-4.26242146601441E-2</v>
      </c>
      <c r="AK12" s="320" t="s">
        <v>60</v>
      </c>
      <c r="AO12" s="72"/>
    </row>
    <row r="13" spans="1:48">
      <c r="A13" s="56">
        <v>36129</v>
      </c>
      <c r="B13" s="202">
        <v>1.0262383556400605</v>
      </c>
      <c r="C13" s="321" t="s">
        <v>61</v>
      </c>
      <c r="D13" s="60">
        <f>(B33*B34*B35)-1</f>
        <v>2.4108704540863224E-2</v>
      </c>
      <c r="E13" s="60">
        <f>D13</f>
        <v>2.4108704540863224E-2</v>
      </c>
      <c r="F13" s="59"/>
      <c r="G13" s="311">
        <v>3.36989847050106E-2</v>
      </c>
      <c r="H13" s="312">
        <f t="shared" si="2"/>
        <v>1.0336989847050106</v>
      </c>
      <c r="I13" s="5">
        <f>(H33*H34*H35)-1</f>
        <v>2.9804681255014565E-3</v>
      </c>
      <c r="J13" s="281">
        <f t="shared" si="3"/>
        <v>2.9804681255014565E-3</v>
      </c>
      <c r="K13" s="105"/>
      <c r="L13" s="105">
        <v>1.35487179917817E-2</v>
      </c>
      <c r="M13" s="58">
        <v>1.0135487179917817</v>
      </c>
      <c r="N13" s="332" t="s">
        <v>61</v>
      </c>
      <c r="O13" s="106">
        <f>(M33*M34*M35)-1</f>
        <v>-3.5758065980356024E-2</v>
      </c>
      <c r="P13" s="106">
        <f t="shared" si="4"/>
        <v>-3.5758065980356024E-2</v>
      </c>
      <c r="Q13" s="106"/>
      <c r="R13" s="332">
        <v>2008</v>
      </c>
      <c r="S13" s="106">
        <f>Q46</f>
        <v>-0.30360971535845727</v>
      </c>
      <c r="T13" s="105"/>
      <c r="U13" s="320" t="s">
        <v>61</v>
      </c>
      <c r="AA13" s="51"/>
      <c r="AD13" s="107">
        <f t="shared" si="0"/>
        <v>2.4108704540863224E-2</v>
      </c>
      <c r="AG13" s="321">
        <v>2008</v>
      </c>
      <c r="AH13" s="106">
        <f>AE46</f>
        <v>-6.4914799515809363E-2</v>
      </c>
      <c r="AI13" s="106">
        <v>-0.2331</v>
      </c>
      <c r="AJ13" s="106">
        <f>AF46</f>
        <v>-7.2843481442374847E-2</v>
      </c>
      <c r="AK13" s="320" t="s">
        <v>61</v>
      </c>
      <c r="AO13" s="72"/>
    </row>
    <row r="14" spans="1:48">
      <c r="A14" s="56">
        <v>36160</v>
      </c>
      <c r="B14" s="202">
        <v>1.0515773455267299</v>
      </c>
      <c r="C14" s="321" t="s">
        <v>62</v>
      </c>
      <c r="D14" s="60">
        <f>(B36*B37*B38)-1</f>
        <v>-1.4196153390281241E-2</v>
      </c>
      <c r="E14" s="60">
        <f t="shared" si="1"/>
        <v>-1.4196153390281241E-2</v>
      </c>
      <c r="F14" s="59"/>
      <c r="G14" s="311">
        <v>8.5454252450749592E-3</v>
      </c>
      <c r="H14" s="312">
        <f t="shared" si="2"/>
        <v>1.008545425245075</v>
      </c>
      <c r="I14" s="5">
        <f>(H36*H37*H38)-1</f>
        <v>-1.7238718041857615E-3</v>
      </c>
      <c r="J14" s="281">
        <f t="shared" si="3"/>
        <v>-1.7238718041857615E-3</v>
      </c>
      <c r="K14" s="105"/>
      <c r="L14" s="105">
        <v>3.02531953910323E-2</v>
      </c>
      <c r="M14" s="58">
        <v>1.0302531953910323</v>
      </c>
      <c r="N14" s="332" t="s">
        <v>62</v>
      </c>
      <c r="O14" s="106">
        <f>(M36*M37*M38)-1</f>
        <v>1.4857588145565481E-2</v>
      </c>
      <c r="P14" s="106">
        <f t="shared" si="4"/>
        <v>1.4857588145565481E-2</v>
      </c>
      <c r="Q14" s="106">
        <f>P11+P12+P13+P14</f>
        <v>-2.8714040550387065E-2</v>
      </c>
      <c r="R14" s="332">
        <v>2009</v>
      </c>
      <c r="S14" s="106">
        <f>Q50</f>
        <v>0.29838714328437932</v>
      </c>
      <c r="T14" s="105"/>
      <c r="U14" s="320" t="s">
        <v>62</v>
      </c>
      <c r="AA14" s="51"/>
      <c r="AD14" s="107">
        <f t="shared" si="0"/>
        <v>-1.4196153390281241E-2</v>
      </c>
      <c r="AE14" s="124">
        <f>AD14+AD13+AD12+AD11</f>
        <v>6.5003384062240377E-2</v>
      </c>
      <c r="AG14" s="321">
        <v>2009</v>
      </c>
      <c r="AH14" s="106">
        <f>AE50</f>
        <v>9.0958314264508733E-2</v>
      </c>
      <c r="AI14" s="106">
        <v>0.25619999999999998</v>
      </c>
      <c r="AJ14" s="106">
        <f>AF50</f>
        <v>6.2304196190066774E-2</v>
      </c>
      <c r="AK14" s="320" t="s">
        <v>62</v>
      </c>
      <c r="AL14" s="314"/>
      <c r="AM14" s="315"/>
      <c r="AO14" s="72"/>
    </row>
    <row r="15" spans="1:48">
      <c r="A15" s="56">
        <v>36191</v>
      </c>
      <c r="B15" s="202">
        <v>0.98747812333427099</v>
      </c>
      <c r="C15" s="321" t="s">
        <v>63</v>
      </c>
      <c r="D15" s="60">
        <f>(B39*B40*B41)-1</f>
        <v>-4.2037518520749328E-2</v>
      </c>
      <c r="E15" s="60">
        <f t="shared" si="1"/>
        <v>-4.2037518520749328E-2</v>
      </c>
      <c r="F15" s="59"/>
      <c r="G15" s="311">
        <v>1.6581265599580099E-2</v>
      </c>
      <c r="H15" s="312">
        <f t="shared" si="2"/>
        <v>1.0165812655995801</v>
      </c>
      <c r="I15" s="313">
        <f>(H39*H40*H41)-1</f>
        <v>-2.7912285430858663E-2</v>
      </c>
      <c r="J15" s="281">
        <f t="shared" si="3"/>
        <v>-2.7912285430858663E-2</v>
      </c>
      <c r="K15" s="105"/>
      <c r="L15" s="105">
        <v>-1.2749134917684499E-3</v>
      </c>
      <c r="M15" s="58">
        <v>0.99872508650823155</v>
      </c>
      <c r="N15" s="332" t="s">
        <v>63</v>
      </c>
      <c r="O15" s="106">
        <f>(M39*M40*M41)-1</f>
        <v>-7.2598594490699164E-2</v>
      </c>
      <c r="P15" s="106">
        <f t="shared" si="4"/>
        <v>-7.2598594490699164E-2</v>
      </c>
      <c r="Q15" s="106"/>
      <c r="R15" s="332">
        <v>2010</v>
      </c>
      <c r="S15" s="106">
        <f>Q54</f>
        <v>9.8146004031926304E-2</v>
      </c>
      <c r="T15" s="105"/>
      <c r="U15" s="320" t="s">
        <v>63</v>
      </c>
      <c r="AA15" s="51"/>
      <c r="AD15" s="107">
        <f t="shared" si="0"/>
        <v>-4.2037518520749328E-2</v>
      </c>
      <c r="AG15" s="321">
        <v>2010</v>
      </c>
      <c r="AH15" s="106">
        <f>AE54</f>
        <v>9.2150388475763845E-2</v>
      </c>
      <c r="AI15" s="106">
        <v>9.6199999999999994E-2</v>
      </c>
      <c r="AJ15" s="106">
        <f>AF54</f>
        <v>9.2370613242329203E-2</v>
      </c>
      <c r="AK15" s="320" t="s">
        <v>63</v>
      </c>
      <c r="AL15" s="4">
        <f>(32.061+4.906+2.338)</f>
        <v>39.305</v>
      </c>
      <c r="AM15" s="4">
        <f>83.007-AL15</f>
        <v>43.702000000000005</v>
      </c>
      <c r="AN15" s="4">
        <f t="shared" ref="AN15:AN46" si="5">AM15+AL15</f>
        <v>83.007000000000005</v>
      </c>
      <c r="AO15" s="72"/>
      <c r="AQ15" s="4">
        <f>12.275+0.602</f>
        <v>12.877000000000001</v>
      </c>
      <c r="AS15" s="4">
        <f t="shared" ref="AS15:AS46" si="6">AQ15/AL15</f>
        <v>0.32761735148199977</v>
      </c>
    </row>
    <row r="16" spans="1:48">
      <c r="A16" s="56">
        <v>36219</v>
      </c>
      <c r="B16" s="202">
        <v>1.01959185950967</v>
      </c>
      <c r="C16" s="321" t="s">
        <v>64</v>
      </c>
      <c r="D16" s="60">
        <f>(B42*B43*B44)-1</f>
        <v>2.0011787962030736E-2</v>
      </c>
      <c r="E16" s="60">
        <f t="shared" si="1"/>
        <v>2.0011787962030736E-2</v>
      </c>
      <c r="F16" s="59"/>
      <c r="G16" s="311">
        <v>-1.0723440772710599E-2</v>
      </c>
      <c r="H16" s="312">
        <f t="shared" si="2"/>
        <v>0.98927655922728941</v>
      </c>
      <c r="I16" s="313">
        <f>(H42*H43*H44)-1</f>
        <v>1.0938783145526765E-2</v>
      </c>
      <c r="J16" s="281">
        <f t="shared" si="3"/>
        <v>1.0938783145526765E-2</v>
      </c>
      <c r="K16" s="105"/>
      <c r="L16" s="105">
        <v>-2.9774597857858298E-2</v>
      </c>
      <c r="M16" s="58">
        <v>0.9702254021421417</v>
      </c>
      <c r="N16" s="332" t="s">
        <v>64</v>
      </c>
      <c r="O16" s="106">
        <f>(M42*M43*M44)-1</f>
        <v>-4.7676841306213413E-3</v>
      </c>
      <c r="P16" s="106">
        <f t="shared" si="4"/>
        <v>-4.7676841306213413E-3</v>
      </c>
      <c r="Q16" s="106"/>
      <c r="R16" s="332">
        <v>2011</v>
      </c>
      <c r="S16" s="106">
        <f>Q58</f>
        <v>-3.0130866679731416E-2</v>
      </c>
      <c r="T16" s="105"/>
      <c r="U16" s="320" t="s">
        <v>64</v>
      </c>
      <c r="AA16" s="51"/>
      <c r="AD16" s="107">
        <f t="shared" si="0"/>
        <v>2.0011787962030736E-2</v>
      </c>
      <c r="AG16" s="321">
        <v>2011</v>
      </c>
      <c r="AH16" s="106">
        <f>AE58</f>
        <v>-1.1761262697659869E-2</v>
      </c>
      <c r="AI16" s="106">
        <v>-2.5399999999999999E-2</v>
      </c>
      <c r="AJ16" s="106">
        <f>AF58</f>
        <v>-1.6380652433209186E-2</v>
      </c>
      <c r="AK16" s="320" t="s">
        <v>64</v>
      </c>
      <c r="AL16" s="4">
        <f>(37.209+24.207+9.273+6.962+3.572)-AL15</f>
        <v>41.918000000000013</v>
      </c>
      <c r="AM16" s="40">
        <f>166.3-83.007-AL16</f>
        <v>41.374999999999993</v>
      </c>
      <c r="AN16" s="4">
        <f t="shared" si="5"/>
        <v>83.293000000000006</v>
      </c>
      <c r="AO16" s="72"/>
      <c r="AQ16" s="4">
        <f>(24.207+6.962)-AQ15</f>
        <v>18.292000000000002</v>
      </c>
      <c r="AR16" s="4">
        <f>(AQ16/AQ15)-1</f>
        <v>0.42051720121146241</v>
      </c>
      <c r="AS16" s="4">
        <f t="shared" si="6"/>
        <v>0.43637578128727506</v>
      </c>
    </row>
    <row r="17" spans="1:48">
      <c r="A17" s="56">
        <v>36250</v>
      </c>
      <c r="B17" s="202">
        <v>0.99463265151776081</v>
      </c>
      <c r="C17" s="321" t="s">
        <v>65</v>
      </c>
      <c r="D17" s="60">
        <f>(B45*B46*B47)-1</f>
        <v>-6.3600728654100602E-2</v>
      </c>
      <c r="E17" s="60">
        <f t="shared" si="1"/>
        <v>-6.3600728654100602E-2</v>
      </c>
      <c r="F17" s="59"/>
      <c r="G17" s="311">
        <v>2.34718516496406E-2</v>
      </c>
      <c r="H17" s="312">
        <f t="shared" si="2"/>
        <v>1.0234718516496406</v>
      </c>
      <c r="I17" s="313">
        <f>(H45*H46*H47)-1</f>
        <v>-5.3082536050985785E-2</v>
      </c>
      <c r="J17" s="281">
        <f t="shared" si="3"/>
        <v>-5.3082536050985785E-2</v>
      </c>
      <c r="K17" s="105"/>
      <c r="L17" s="105">
        <v>1.87880894498955E-2</v>
      </c>
      <c r="M17" s="58">
        <v>1.0187880894498955</v>
      </c>
      <c r="N17" s="332" t="s">
        <v>65</v>
      </c>
      <c r="O17" s="106">
        <f>(M45*M46*M47)-1</f>
        <v>-1.4371566095631727E-2</v>
      </c>
      <c r="P17" s="106">
        <f t="shared" si="4"/>
        <v>-1.4371566095631727E-2</v>
      </c>
      <c r="Q17" s="106"/>
      <c r="R17" s="332">
        <v>2012</v>
      </c>
      <c r="S17" s="106">
        <f>Q62</f>
        <v>0.14154910849938662</v>
      </c>
      <c r="T17" s="105"/>
      <c r="U17" s="320" t="s">
        <v>65</v>
      </c>
      <c r="AA17" s="51"/>
      <c r="AD17" s="107">
        <f t="shared" si="0"/>
        <v>-6.3600728654100602E-2</v>
      </c>
      <c r="AG17" s="321">
        <v>2012</v>
      </c>
      <c r="AH17" s="106">
        <f>AE62</f>
        <v>6.5776063859398937E-2</v>
      </c>
      <c r="AI17" s="106">
        <v>0.13420000000000001</v>
      </c>
      <c r="AJ17" s="106">
        <f>AF62</f>
        <v>6.5810140254845662E-2</v>
      </c>
      <c r="AK17" s="320" t="s">
        <v>65</v>
      </c>
      <c r="AL17" s="4">
        <f>(58.085+27.149+15.203+0.696)-(AL16+AL15)</f>
        <v>19.909999999999997</v>
      </c>
      <c r="AM17" s="40">
        <f>247.489-166.3-AL17</f>
        <v>61.278999999999996</v>
      </c>
      <c r="AN17" s="4">
        <f t="shared" si="5"/>
        <v>81.188999999999993</v>
      </c>
      <c r="AO17" s="72"/>
      <c r="AQ17" s="4">
        <f>(27.149+0.696)-SUM(AQ15:AQ16)</f>
        <v>-3.3240000000000016</v>
      </c>
      <c r="AR17" s="4">
        <f t="shared" ref="AR17:AR76" si="7">(AQ17/AQ16)-1</f>
        <v>-1.1817187841679424</v>
      </c>
      <c r="AS17" s="4">
        <f t="shared" si="6"/>
        <v>-0.16695128076343557</v>
      </c>
    </row>
    <row r="18" spans="1:48">
      <c r="A18" s="56">
        <v>36280</v>
      </c>
      <c r="B18" s="202">
        <v>1.0248368628722506</v>
      </c>
      <c r="C18" s="321" t="s">
        <v>66</v>
      </c>
      <c r="D18" s="60">
        <f>(B48*B49*B50)-1</f>
        <v>3.4556846008906961E-2</v>
      </c>
      <c r="E18" s="60">
        <f>D18</f>
        <v>3.4556846008906961E-2</v>
      </c>
      <c r="F18" s="59"/>
      <c r="G18" s="311">
        <v>2.5508438959011899E-2</v>
      </c>
      <c r="H18" s="312">
        <f t="shared" si="2"/>
        <v>1.0255084389590119</v>
      </c>
      <c r="I18" s="313">
        <f>(H48*H49*H50)-1</f>
        <v>4.8113202158617474E-2</v>
      </c>
      <c r="J18" s="281">
        <f t="shared" si="3"/>
        <v>4.8113202158617474E-2</v>
      </c>
      <c r="K18" s="105"/>
      <c r="L18" s="105">
        <v>1.7242553877486699E-2</v>
      </c>
      <c r="M18" s="58">
        <v>1.0172425538774867</v>
      </c>
      <c r="N18" s="332" t="s">
        <v>66</v>
      </c>
      <c r="O18" s="106">
        <f>(M48*M49*M50)-1</f>
        <v>2.3057028013401482E-2</v>
      </c>
      <c r="P18" s="106">
        <f t="shared" si="4"/>
        <v>2.3057028013401482E-2</v>
      </c>
      <c r="Q18" s="106">
        <f>P15+P16+P17+P18</f>
        <v>-6.8680816703550751E-2</v>
      </c>
      <c r="R18" s="332">
        <v>2013</v>
      </c>
      <c r="S18" s="106">
        <f>Q66</f>
        <v>0.14190508800135371</v>
      </c>
      <c r="T18" s="105"/>
      <c r="U18" s="320" t="s">
        <v>66</v>
      </c>
      <c r="AA18" s="51"/>
      <c r="AD18" s="107">
        <f t="shared" si="0"/>
        <v>3.4556846008906961E-2</v>
      </c>
      <c r="AE18" s="124">
        <f>AD18+AD17+AD16+AD15</f>
        <v>-5.1069613203912234E-2</v>
      </c>
      <c r="AG18" s="321">
        <v>2013</v>
      </c>
      <c r="AH18" s="106">
        <f>AE66</f>
        <v>0.23083694419062462</v>
      </c>
      <c r="AI18" s="106">
        <v>0.1595</v>
      </c>
      <c r="AJ18" s="106">
        <f>AF66</f>
        <v>0.24370654591496366</v>
      </c>
      <c r="AK18" s="320" t="s">
        <v>66</v>
      </c>
      <c r="AL18" s="4">
        <f>(83.745+37.342+20.237+0.856)-SUM(AL15:AL17)</f>
        <v>41.046999999999997</v>
      </c>
      <c r="AM18" s="40">
        <f>354.764-247.489-AL18</f>
        <v>66.228000000000009</v>
      </c>
      <c r="AN18" s="4">
        <f t="shared" si="5"/>
        <v>107.27500000000001</v>
      </c>
      <c r="AO18" s="72"/>
      <c r="AQ18" s="4">
        <f>(37.342+0.856)-SUM(AQ15:AQ17)</f>
        <v>10.352999999999998</v>
      </c>
      <c r="AR18" s="4">
        <f t="shared" si="7"/>
        <v>-4.1146209386281569</v>
      </c>
      <c r="AS18" s="4">
        <f t="shared" si="6"/>
        <v>0.25222306136867489</v>
      </c>
      <c r="AT18" s="4">
        <f>AQ18+AQ17+AQ16+AQ15</f>
        <v>38.198</v>
      </c>
      <c r="AU18" s="4">
        <f>AL18+AL17+AL16+AL15</f>
        <v>142.18</v>
      </c>
      <c r="AV18" s="4">
        <f>AT18/AU18</f>
        <v>0.26865944577296386</v>
      </c>
    </row>
    <row r="19" spans="1:48">
      <c r="A19" s="56">
        <v>36311</v>
      </c>
      <c r="B19" s="202">
        <v>0.98723366250370148</v>
      </c>
      <c r="C19" s="321" t="s">
        <v>67</v>
      </c>
      <c r="D19" s="60">
        <f>(B51*B52*B53)-1</f>
        <v>-2.0506024432779824E-2</v>
      </c>
      <c r="E19" s="60">
        <f t="shared" si="1"/>
        <v>-2.0506024432779824E-2</v>
      </c>
      <c r="F19" s="59"/>
      <c r="G19" s="311">
        <v>-1.7410792798116401E-2</v>
      </c>
      <c r="H19" s="312">
        <f t="shared" si="2"/>
        <v>0.98258920720188359</v>
      </c>
      <c r="I19" s="313">
        <f>(H51*H52*H53)-1</f>
        <v>5.9481219123374007E-3</v>
      </c>
      <c r="J19" s="281">
        <f t="shared" si="3"/>
        <v>5.9481219123374007E-3</v>
      </c>
      <c r="K19" s="105"/>
      <c r="L19" s="105">
        <v>-2.7134732255258899E-2</v>
      </c>
      <c r="M19" s="58">
        <v>0.97286526774474114</v>
      </c>
      <c r="N19" s="332" t="s">
        <v>67</v>
      </c>
      <c r="O19" s="106">
        <f>(M51*M52*M53)-1</f>
        <v>-5.245273836852693E-3</v>
      </c>
      <c r="P19" s="106">
        <f t="shared" si="4"/>
        <v>-5.245273836852693E-3</v>
      </c>
      <c r="Q19" s="106"/>
      <c r="R19" s="332">
        <v>2014</v>
      </c>
      <c r="S19" s="106">
        <f>Q70</f>
        <v>6.9996296689109894E-3</v>
      </c>
      <c r="T19" s="105"/>
      <c r="U19" s="320" t="s">
        <v>67</v>
      </c>
      <c r="AA19" s="51"/>
      <c r="AD19" s="107">
        <f t="shared" si="0"/>
        <v>-2.0506024432779824E-2</v>
      </c>
      <c r="AG19" s="321">
        <v>2014</v>
      </c>
      <c r="AH19" s="106">
        <f>AE70</f>
        <v>0.23010264028156913</v>
      </c>
      <c r="AI19" s="106">
        <v>7.5800000000000006E-2</v>
      </c>
      <c r="AJ19" s="106">
        <f>AF70</f>
        <v>0.22791254442772835</v>
      </c>
      <c r="AK19" s="320" t="s">
        <v>67</v>
      </c>
      <c r="AL19" s="4">
        <f>35.569+4.858+16.083+1.274</f>
        <v>57.783999999999999</v>
      </c>
      <c r="AM19" s="4">
        <f>128.722-AL19</f>
        <v>70.938000000000017</v>
      </c>
      <c r="AN19" s="4">
        <f t="shared" si="5"/>
        <v>128.72200000000001</v>
      </c>
      <c r="AO19" s="72"/>
      <c r="AQ19" s="4">
        <f>16.083+1.274</f>
        <v>17.356999999999999</v>
      </c>
      <c r="AR19" s="4">
        <f t="shared" si="7"/>
        <v>0.67651888341543542</v>
      </c>
      <c r="AS19" s="4">
        <f t="shared" si="6"/>
        <v>0.300377267063547</v>
      </c>
    </row>
    <row r="20" spans="1:48">
      <c r="A20" s="56">
        <v>36341</v>
      </c>
      <c r="B20" s="202">
        <v>1.0040739403962498</v>
      </c>
      <c r="C20" s="321" t="s">
        <v>68</v>
      </c>
      <c r="D20" s="60">
        <f>(B54*B55*B56)-1</f>
        <v>-0.11194300304766092</v>
      </c>
      <c r="E20" s="60">
        <f t="shared" si="1"/>
        <v>-0.11194300304766092</v>
      </c>
      <c r="F20" s="59"/>
      <c r="G20" s="311">
        <v>1.2323295373612301E-2</v>
      </c>
      <c r="H20" s="312">
        <f t="shared" si="2"/>
        <v>1.0123232953736123</v>
      </c>
      <c r="I20" s="313">
        <f>(H54*H55*H56)-1</f>
        <v>-2.9302542967799883E-2</v>
      </c>
      <c r="J20" s="281">
        <f t="shared" si="3"/>
        <v>-2.9302542967799883E-2</v>
      </c>
      <c r="K20" s="105"/>
      <c r="L20" s="105">
        <v>7.7726567216218597E-3</v>
      </c>
      <c r="M20" s="58">
        <v>1.0077726567216219</v>
      </c>
      <c r="N20" s="332" t="s">
        <v>68</v>
      </c>
      <c r="O20" s="106">
        <f>(M54*M55*M56)-1</f>
        <v>4.5141183052912703E-2</v>
      </c>
      <c r="P20" s="106">
        <f t="shared" si="4"/>
        <v>4.5141183052912703E-2</v>
      </c>
      <c r="Q20" s="106"/>
      <c r="R20" s="332">
        <v>2015</v>
      </c>
      <c r="S20" s="106">
        <f>Q74</f>
        <v>-1.9036128195570989E-2</v>
      </c>
      <c r="T20" s="105"/>
      <c r="U20" s="320" t="s">
        <v>68</v>
      </c>
      <c r="AA20" s="51"/>
      <c r="AD20" s="107">
        <f t="shared" si="0"/>
        <v>-0.11194300304766092</v>
      </c>
      <c r="AG20" s="321">
        <v>2015</v>
      </c>
      <c r="AH20" s="106">
        <f>AE74</f>
        <v>0.15046438775775584</v>
      </c>
      <c r="AI20" s="106">
        <v>2.7400000000000001E-2</v>
      </c>
      <c r="AJ20" s="106">
        <f>AF74</f>
        <v>0.14851835285927684</v>
      </c>
      <c r="AK20" s="320" t="s">
        <v>68</v>
      </c>
      <c r="AL20" s="4">
        <f>(66.467+29.365+9.981+3.367)-AL19</f>
        <v>51.395999999999994</v>
      </c>
      <c r="AM20" s="40">
        <f>260.94-128.722-AL20</f>
        <v>80.822000000000003</v>
      </c>
      <c r="AN20" s="4">
        <f t="shared" si="5"/>
        <v>132.21799999999999</v>
      </c>
      <c r="AO20" s="72"/>
      <c r="AQ20" s="4">
        <f>(3.367+29.365)-AQ19</f>
        <v>15.375</v>
      </c>
      <c r="AR20" s="4">
        <f t="shared" si="7"/>
        <v>-0.11419024024889091</v>
      </c>
      <c r="AS20" s="4">
        <f t="shared" si="6"/>
        <v>0.29914779360261501</v>
      </c>
    </row>
    <row r="21" spans="1:48">
      <c r="A21" s="56">
        <v>36372</v>
      </c>
      <c r="B21" s="202">
        <v>1.0101146171848245</v>
      </c>
      <c r="C21" s="321" t="s">
        <v>69</v>
      </c>
      <c r="D21" s="60">
        <f>(B57*B58*B59)-1</f>
        <v>-6.293338748236188E-2</v>
      </c>
      <c r="E21" s="60">
        <f t="shared" si="1"/>
        <v>-6.293338748236188E-2</v>
      </c>
      <c r="F21" s="59"/>
      <c r="G21" s="311">
        <v>-5.6405383537999603E-3</v>
      </c>
      <c r="H21" s="312">
        <f t="shared" si="2"/>
        <v>0.99435946164620004</v>
      </c>
      <c r="I21" s="313">
        <f>(H57*H58*H59)-1</f>
        <v>-5.1320833961584378E-2</v>
      </c>
      <c r="J21" s="281">
        <f t="shared" si="3"/>
        <v>-5.1320833961584378E-2</v>
      </c>
      <c r="K21" s="105"/>
      <c r="L21" s="105">
        <v>2.1139945269667001E-2</v>
      </c>
      <c r="M21" s="58">
        <v>1.021139945269667</v>
      </c>
      <c r="N21" s="332" t="s">
        <v>69</v>
      </c>
      <c r="O21" s="106">
        <f>(M57*M58*M59)-1</f>
        <v>-5.1110678966358347E-2</v>
      </c>
      <c r="P21" s="106">
        <f t="shared" si="4"/>
        <v>-5.1110678966358347E-2</v>
      </c>
      <c r="Q21" s="106"/>
      <c r="R21" s="332">
        <v>2016</v>
      </c>
      <c r="S21" s="106">
        <f>Q78</f>
        <v>4.8399118492338356E-2</v>
      </c>
      <c r="T21" s="105"/>
      <c r="U21" s="320" t="s">
        <v>69</v>
      </c>
      <c r="AA21" s="51"/>
      <c r="AD21" s="107">
        <f t="shared" si="0"/>
        <v>-6.293338748236188E-2</v>
      </c>
      <c r="AG21" s="321">
        <v>2016</v>
      </c>
      <c r="AH21" s="106">
        <f>AE78</f>
        <v>2.2406058611197488E-2</v>
      </c>
      <c r="AI21" s="106">
        <v>6.9199999999999998E-2</v>
      </c>
      <c r="AJ21" s="106">
        <f>AF78</f>
        <v>1.579744193279109E-2</v>
      </c>
      <c r="AK21" s="320" t="s">
        <v>69</v>
      </c>
      <c r="AL21" s="4">
        <f>(95.58+39.822+15.594+9.177)-(AL19+AL20)</f>
        <v>50.992999999999981</v>
      </c>
      <c r="AM21" s="40">
        <f>402.379-260.94-AL21</f>
        <v>90.446000000000041</v>
      </c>
      <c r="AN21" s="4">
        <f t="shared" si="5"/>
        <v>141.43900000000002</v>
      </c>
      <c r="AO21" s="72"/>
      <c r="AQ21" s="4">
        <f>(39.822+9.177)-SUM(AQ19:AQ20)</f>
        <v>16.267000000000003</v>
      </c>
      <c r="AR21" s="4">
        <f t="shared" si="7"/>
        <v>5.8016260162601752E-2</v>
      </c>
      <c r="AS21" s="4">
        <f t="shared" si="6"/>
        <v>0.31900456925460374</v>
      </c>
    </row>
    <row r="22" spans="1:48">
      <c r="A22" s="56">
        <v>36403</v>
      </c>
      <c r="B22" s="202">
        <v>1.0118940779670784</v>
      </c>
      <c r="C22" s="321" t="s">
        <v>58</v>
      </c>
      <c r="D22" s="60">
        <f>(B60*B61*B62)-1</f>
        <v>-7.3314698935088574E-3</v>
      </c>
      <c r="E22" s="60">
        <f t="shared" si="1"/>
        <v>-7.3314698935088574E-3</v>
      </c>
      <c r="F22" s="59"/>
      <c r="G22" s="311">
        <v>1.86162137984791E-3</v>
      </c>
      <c r="H22" s="312">
        <f t="shared" si="2"/>
        <v>1.0018616213798479</v>
      </c>
      <c r="I22" s="313">
        <f>(H60*H61*H62)-1</f>
        <v>2.8304626431623126E-2</v>
      </c>
      <c r="J22" s="281">
        <f t="shared" si="3"/>
        <v>2.8304626431623126E-2</v>
      </c>
      <c r="K22" s="105"/>
      <c r="L22" s="105">
        <v>4.1573918023092302E-3</v>
      </c>
      <c r="M22" s="58">
        <v>1.0041573918023092</v>
      </c>
      <c r="N22" s="332" t="s">
        <v>58</v>
      </c>
      <c r="O22" s="106">
        <f>(M60*M61*M62)-1</f>
        <v>6.1876489349170782E-2</v>
      </c>
      <c r="P22" s="106">
        <f t="shared" si="4"/>
        <v>6.1876489349170782E-2</v>
      </c>
      <c r="Q22" s="106">
        <f>P19+P20+P21+P22</f>
        <v>5.0661719598872446E-2</v>
      </c>
      <c r="R22" s="105"/>
      <c r="S22" s="105"/>
      <c r="T22" s="105"/>
      <c r="U22" s="320" t="s">
        <v>58</v>
      </c>
      <c r="AA22" s="51"/>
      <c r="AD22" s="107">
        <f t="shared" si="0"/>
        <v>-7.3314698935088574E-3</v>
      </c>
      <c r="AE22" s="124">
        <f>AD22+AD21+AD20+AD19</f>
        <v>-0.20271388485631148</v>
      </c>
      <c r="AK22" s="320" t="s">
        <v>58</v>
      </c>
      <c r="AL22" s="4">
        <f>(141.491+66.647)-SUM(AL19:AL21)</f>
        <v>47.96500000000006</v>
      </c>
      <c r="AM22" s="4">
        <f>559.835-402.379-AL22</f>
        <v>109.49099999999996</v>
      </c>
      <c r="AN22" s="4">
        <f t="shared" si="5"/>
        <v>157.45600000000002</v>
      </c>
      <c r="AO22" s="72"/>
      <c r="AQ22" s="4">
        <f>(52.993+13.654)-SUM(AQ19:AQ21)</f>
        <v>17.648000000000003</v>
      </c>
      <c r="AR22" s="4">
        <f t="shared" si="7"/>
        <v>8.4895801315546748E-2</v>
      </c>
      <c r="AS22" s="4">
        <f t="shared" si="6"/>
        <v>0.36793495256958159</v>
      </c>
      <c r="AT22" s="4">
        <f>AQ22+AQ21+AQ20+AQ19</f>
        <v>66.647000000000006</v>
      </c>
      <c r="AU22" s="4">
        <f>AL22+AL21+AL20+AL19</f>
        <v>208.13800000000003</v>
      </c>
      <c r="AV22" s="4">
        <f>AT22/AU22</f>
        <v>0.32020582498150263</v>
      </c>
    </row>
    <row r="23" spans="1:48">
      <c r="A23" s="56">
        <v>36433</v>
      </c>
      <c r="B23" s="202">
        <v>0.99594415922816415</v>
      </c>
      <c r="C23" s="321" t="s">
        <v>57</v>
      </c>
      <c r="D23" s="121">
        <f>(B63*B64*B65)-1</f>
        <v>4.6920582615721074E-2</v>
      </c>
      <c r="E23" s="60">
        <f t="shared" si="1"/>
        <v>4.6920582615721074E-2</v>
      </c>
      <c r="F23" s="59"/>
      <c r="G23" s="311">
        <v>-4.1443460925849598E-3</v>
      </c>
      <c r="H23" s="312">
        <f t="shared" si="2"/>
        <v>0.99585565390741504</v>
      </c>
      <c r="I23" s="313">
        <f>(H63*H64*H65)-1</f>
        <v>-1.7061797494580366E-2</v>
      </c>
      <c r="J23" s="281">
        <f t="shared" si="3"/>
        <v>-1.7061797494580366E-2</v>
      </c>
      <c r="K23" s="105"/>
      <c r="L23" s="105">
        <v>8.1485700797185902E-3</v>
      </c>
      <c r="M23" s="58">
        <v>1.0081485700797186</v>
      </c>
      <c r="N23" s="332" t="s">
        <v>57</v>
      </c>
      <c r="O23" s="106">
        <f>(M63*M64*M65)-1</f>
        <v>-5.2966055573544502E-4</v>
      </c>
      <c r="P23" s="106">
        <f t="shared" si="4"/>
        <v>-5.2966055573544502E-4</v>
      </c>
      <c r="Q23" s="106"/>
      <c r="R23" s="105"/>
      <c r="S23" s="105"/>
      <c r="T23" s="105"/>
      <c r="U23" s="320" t="s">
        <v>57</v>
      </c>
      <c r="AA23" s="51"/>
      <c r="AD23" s="107">
        <f t="shared" si="0"/>
        <v>4.6920582615721074E-2</v>
      </c>
      <c r="AK23" s="320" t="s">
        <v>57</v>
      </c>
      <c r="AL23" s="4">
        <v>72.867000000000004</v>
      </c>
      <c r="AM23" s="4">
        <f>172.81-AL23</f>
        <v>99.942999999999998</v>
      </c>
      <c r="AN23" s="4">
        <f t="shared" si="5"/>
        <v>172.81</v>
      </c>
      <c r="AO23" s="72"/>
      <c r="AQ23" s="4">
        <v>14.324999999999999</v>
      </c>
      <c r="AR23" s="4">
        <f t="shared" si="7"/>
        <v>-0.18829329102447889</v>
      </c>
      <c r="AS23" s="4">
        <f t="shared" si="6"/>
        <v>0.19659104944625136</v>
      </c>
    </row>
    <row r="24" spans="1:48">
      <c r="A24" s="56">
        <v>36464</v>
      </c>
      <c r="B24" s="202">
        <v>1.0296806663171736</v>
      </c>
      <c r="C24" s="321" t="s">
        <v>56</v>
      </c>
      <c r="D24" s="60">
        <f>(B66*B67*B68)-1</f>
        <v>0.10121502959068573</v>
      </c>
      <c r="E24" s="60">
        <f t="shared" si="1"/>
        <v>0.10121502959068573</v>
      </c>
      <c r="F24" s="59"/>
      <c r="G24" s="311">
        <v>1.9785437963179699E-2</v>
      </c>
      <c r="H24" s="312">
        <f t="shared" si="2"/>
        <v>1.0197854379631797</v>
      </c>
      <c r="I24" s="5">
        <f>(H66*H67*H68)-1</f>
        <v>7.7382309036904351E-2</v>
      </c>
      <c r="J24" s="281">
        <f t="shared" si="3"/>
        <v>7.7382309036904351E-2</v>
      </c>
      <c r="K24" s="105"/>
      <c r="L24" s="105">
        <v>1.7591638276507102E-2</v>
      </c>
      <c r="M24" s="58">
        <v>1.0175916382765071</v>
      </c>
      <c r="N24" s="332" t="s">
        <v>56</v>
      </c>
      <c r="O24" s="106">
        <f>(M66*M67*M68)-1</f>
        <v>0.10705794985463957</v>
      </c>
      <c r="P24" s="106">
        <f t="shared" si="4"/>
        <v>0.10705794985463957</v>
      </c>
      <c r="Q24" s="106"/>
      <c r="R24" s="105"/>
      <c r="S24" s="105"/>
      <c r="T24" s="105"/>
      <c r="U24" s="320" t="s">
        <v>56</v>
      </c>
      <c r="AA24" s="51"/>
      <c r="AD24" s="107">
        <f t="shared" si="0"/>
        <v>0.10121502959068573</v>
      </c>
      <c r="AK24" s="320" t="s">
        <v>56</v>
      </c>
      <c r="AL24" s="4">
        <f>146.421-AL23</f>
        <v>73.553999999999988</v>
      </c>
      <c r="AM24" s="4">
        <f>330.537-172.81-AL24</f>
        <v>84.172999999999988</v>
      </c>
      <c r="AN24" s="4">
        <f t="shared" si="5"/>
        <v>157.72699999999998</v>
      </c>
      <c r="AO24" s="72"/>
      <c r="AQ24" s="4">
        <f>34.97-AQ23</f>
        <v>20.645</v>
      </c>
      <c r="AR24" s="4">
        <f t="shared" si="7"/>
        <v>0.44118673647469464</v>
      </c>
      <c r="AS24" s="4">
        <f t="shared" si="6"/>
        <v>0.28067814122957285</v>
      </c>
    </row>
    <row r="25" spans="1:48">
      <c r="A25" s="56">
        <v>36494</v>
      </c>
      <c r="B25" s="202">
        <v>1.036880590604939</v>
      </c>
      <c r="C25" s="321" t="s">
        <v>55</v>
      </c>
      <c r="D25" s="60">
        <f>(B69*B70*B71)-1</f>
        <v>7.6947280739130264E-3</v>
      </c>
      <c r="E25" s="60">
        <f t="shared" si="1"/>
        <v>7.6947280739130264E-3</v>
      </c>
      <c r="F25" s="59"/>
      <c r="G25" s="311">
        <v>2.49844977889324E-2</v>
      </c>
      <c r="H25" s="312">
        <f t="shared" si="2"/>
        <v>1.0249844977889324</v>
      </c>
      <c r="I25" s="5">
        <f>(H69*H70*H71)-1</f>
        <v>1.6845914755570623E-2</v>
      </c>
      <c r="J25" s="281">
        <f t="shared" si="3"/>
        <v>1.6845914755570623E-2</v>
      </c>
      <c r="K25" s="105"/>
      <c r="L25" s="105">
        <v>8.9826311554306298E-3</v>
      </c>
      <c r="M25" s="58">
        <v>1.0089826311554306</v>
      </c>
      <c r="N25" s="332" t="s">
        <v>55</v>
      </c>
      <c r="O25" s="106">
        <f>(M69*M70*M71)-1</f>
        <v>3.0902312267568233E-2</v>
      </c>
      <c r="P25" s="106">
        <f t="shared" si="4"/>
        <v>3.0902312267568233E-2</v>
      </c>
      <c r="Q25" s="106"/>
      <c r="R25" s="105"/>
      <c r="S25" s="105"/>
      <c r="T25" s="105"/>
      <c r="U25" s="320" t="s">
        <v>55</v>
      </c>
      <c r="AA25" s="51"/>
      <c r="AD25" s="107">
        <f t="shared" si="0"/>
        <v>7.6947280739130264E-3</v>
      </c>
      <c r="AK25" s="320" t="s">
        <v>55</v>
      </c>
      <c r="AL25" s="4">
        <f>224.978-(AL24+AL23)</f>
        <v>78.557000000000016</v>
      </c>
      <c r="AM25" s="4">
        <f>516.591-330.537-AL25</f>
        <v>107.49700000000001</v>
      </c>
      <c r="AN25" s="4">
        <f t="shared" si="5"/>
        <v>186.05400000000003</v>
      </c>
      <c r="AO25" s="72"/>
      <c r="AQ25" s="4">
        <f>60.268-SUM(AQ23:AQ24)</f>
        <v>25.298000000000002</v>
      </c>
      <c r="AR25" s="4">
        <f t="shared" si="7"/>
        <v>0.2253814482925649</v>
      </c>
      <c r="AS25" s="4">
        <f t="shared" si="6"/>
        <v>0.32203368254897713</v>
      </c>
    </row>
    <row r="26" spans="1:48">
      <c r="A26" s="56">
        <v>36525</v>
      </c>
      <c r="B26" s="202">
        <v>1.029604345848643</v>
      </c>
      <c r="C26" s="321" t="s">
        <v>54</v>
      </c>
      <c r="D26" s="60">
        <f>(B72*B73*B74)-1</f>
        <v>3.254802674414714E-2</v>
      </c>
      <c r="E26" s="60">
        <f t="shared" si="1"/>
        <v>3.254802674414714E-2</v>
      </c>
      <c r="F26" s="59"/>
      <c r="G26" s="311">
        <v>3.2713419638062097E-2</v>
      </c>
      <c r="H26" s="312">
        <f t="shared" si="2"/>
        <v>1.0327134196380621</v>
      </c>
      <c r="I26" s="5">
        <f>(H72*H73*H74)-1</f>
        <v>4.5584003156084796E-2</v>
      </c>
      <c r="J26" s="281">
        <f t="shared" si="3"/>
        <v>4.5584003156084796E-2</v>
      </c>
      <c r="K26" s="105"/>
      <c r="L26" s="105">
        <v>3.2723718489618296E-2</v>
      </c>
      <c r="M26" s="58">
        <v>1.0327237184896183</v>
      </c>
      <c r="N26" s="332" t="s">
        <v>54</v>
      </c>
      <c r="O26" s="106">
        <f>(M72*M73*M74)-1</f>
        <v>9.5111174528623721E-2</v>
      </c>
      <c r="P26" s="106">
        <f t="shared" si="4"/>
        <v>9.5111174528623721E-2</v>
      </c>
      <c r="Q26" s="106">
        <f>P23+P24+P25+P26</f>
        <v>0.23254177609509608</v>
      </c>
      <c r="R26" s="105"/>
      <c r="S26" s="105"/>
      <c r="T26" s="105"/>
      <c r="U26" s="320" t="s">
        <v>54</v>
      </c>
      <c r="AA26" s="51"/>
      <c r="AD26" s="107">
        <f t="shared" si="0"/>
        <v>3.254802674414714E-2</v>
      </c>
      <c r="AE26" s="124">
        <f>AD26+AD25+AD24+AD23</f>
        <v>0.18837836702446698</v>
      </c>
      <c r="AK26" s="320" t="s">
        <v>54</v>
      </c>
      <c r="AL26" s="4">
        <f>411.486-SUM(AL23:AL25)</f>
        <v>186.50799999999998</v>
      </c>
      <c r="AM26" s="40">
        <f>760.9-516.591-AL26</f>
        <v>57.800999999999988</v>
      </c>
      <c r="AN26" s="4">
        <f t="shared" si="5"/>
        <v>244.30899999999997</v>
      </c>
      <c r="AO26" s="72"/>
      <c r="AQ26" s="4">
        <f>246.661-SUM(AQ23:AQ25)</f>
        <v>186.393</v>
      </c>
      <c r="AR26" s="4">
        <f t="shared" si="7"/>
        <v>6.3678946952328239</v>
      </c>
      <c r="AS26" s="4">
        <f t="shared" si="6"/>
        <v>0.99938340446522411</v>
      </c>
      <c r="AT26" s="4">
        <f>AQ26+AQ25+AQ24+AQ23</f>
        <v>246.661</v>
      </c>
      <c r="AU26" s="4">
        <f>AL26+AL25+AL24+AL23</f>
        <v>411.48599999999999</v>
      </c>
      <c r="AV26" s="4">
        <f>AT26/AU26</f>
        <v>0.59943959211248987</v>
      </c>
    </row>
    <row r="27" spans="1:48">
      <c r="A27" s="56">
        <v>36556</v>
      </c>
      <c r="B27" s="202">
        <v>0.99270539500537303</v>
      </c>
      <c r="C27" s="321" t="s">
        <v>53</v>
      </c>
      <c r="D27" s="60">
        <f>(B75*B76*B77)-1</f>
        <v>5.6980799600252041E-2</v>
      </c>
      <c r="E27" s="60">
        <f t="shared" si="1"/>
        <v>5.6980799600252041E-2</v>
      </c>
      <c r="F27" s="59"/>
      <c r="G27" s="311">
        <v>-1.8533974057542101E-2</v>
      </c>
      <c r="H27" s="312">
        <f t="shared" si="2"/>
        <v>0.98146602594245791</v>
      </c>
      <c r="I27" s="5">
        <f>(H75*H76*H77)-1</f>
        <v>2.9317287442884643E-2</v>
      </c>
      <c r="J27" s="281">
        <f t="shared" si="3"/>
        <v>2.9317287442884643E-2</v>
      </c>
      <c r="K27" s="105"/>
      <c r="L27" s="105">
        <v>-3.51868715802124E-2</v>
      </c>
      <c r="M27" s="58">
        <v>0.96481312841978761</v>
      </c>
      <c r="N27" s="332" t="s">
        <v>53</v>
      </c>
      <c r="O27" s="106">
        <f>(M75*M76*M77)-1</f>
        <v>2.4189732235217587E-2</v>
      </c>
      <c r="P27" s="106">
        <f t="shared" si="4"/>
        <v>2.4189732235217587E-2</v>
      </c>
      <c r="Q27" s="106"/>
      <c r="R27" s="105"/>
      <c r="S27" s="105"/>
      <c r="T27" s="105"/>
      <c r="U27" s="320" t="s">
        <v>53</v>
      </c>
      <c r="AA27" s="51"/>
      <c r="AD27" s="107">
        <f t="shared" si="0"/>
        <v>5.6980799600252041E-2</v>
      </c>
      <c r="AK27" s="320" t="s">
        <v>53</v>
      </c>
      <c r="AL27" s="40">
        <v>117.9</v>
      </c>
      <c r="AM27" s="4">
        <f>190.273-AL27</f>
        <v>72.37299999999999</v>
      </c>
      <c r="AN27" s="4">
        <f t="shared" si="5"/>
        <v>190.273</v>
      </c>
      <c r="AO27" s="72"/>
      <c r="AQ27" s="4">
        <v>27.236000000000001</v>
      </c>
      <c r="AR27" s="4">
        <f t="shared" si="7"/>
        <v>-0.85387863278127396</v>
      </c>
      <c r="AS27" s="4">
        <f t="shared" si="6"/>
        <v>0.23100932994062764</v>
      </c>
    </row>
    <row r="28" spans="1:48">
      <c r="A28" s="56">
        <v>36585</v>
      </c>
      <c r="B28" s="202">
        <v>1.0191077718937247</v>
      </c>
      <c r="C28" s="321" t="s">
        <v>52</v>
      </c>
      <c r="D28" s="60">
        <f>(B78*B79*B80)-1</f>
        <v>-2.6026982570416246E-3</v>
      </c>
      <c r="E28" s="60">
        <f t="shared" si="1"/>
        <v>-2.6026982570416246E-3</v>
      </c>
      <c r="F28" s="59"/>
      <c r="G28" s="311">
        <v>1.87007083668294E-2</v>
      </c>
      <c r="H28" s="312">
        <f t="shared" si="2"/>
        <v>1.0187007083668294</v>
      </c>
      <c r="I28" s="5">
        <f>(H78*H79*H80)-1</f>
        <v>-1.5468782939360715E-3</v>
      </c>
      <c r="J28" s="281">
        <f t="shared" si="3"/>
        <v>-1.5468782939360715E-3</v>
      </c>
      <c r="K28" s="105"/>
      <c r="L28" s="105">
        <v>4.6506192615074502E-3</v>
      </c>
      <c r="M28" s="58">
        <v>1.0046506192615074</v>
      </c>
      <c r="N28" s="332" t="s">
        <v>52</v>
      </c>
      <c r="O28" s="106">
        <f>(M78*M79*M80)-1</f>
        <v>-1.2056496529350924E-2</v>
      </c>
      <c r="P28" s="106">
        <f t="shared" si="4"/>
        <v>-1.2056496529350924E-2</v>
      </c>
      <c r="Q28" s="106"/>
      <c r="R28" s="105"/>
      <c r="S28" s="105"/>
      <c r="T28" s="105"/>
      <c r="U28" s="320" t="s">
        <v>52</v>
      </c>
      <c r="AA28" s="51"/>
      <c r="AD28" s="107">
        <f t="shared" si="0"/>
        <v>-2.6026982570416246E-3</v>
      </c>
      <c r="AK28" s="320" t="s">
        <v>52</v>
      </c>
      <c r="AL28" s="40">
        <f>277.74-AL27</f>
        <v>159.84</v>
      </c>
      <c r="AM28" s="4">
        <f>448.123-190.273-AL28</f>
        <v>98.010000000000019</v>
      </c>
      <c r="AN28" s="4">
        <f t="shared" si="5"/>
        <v>257.85000000000002</v>
      </c>
      <c r="AO28" s="72"/>
      <c r="AQ28" s="4">
        <f>82.916-AQ27</f>
        <v>55.679999999999993</v>
      </c>
      <c r="AR28" s="4">
        <f t="shared" si="7"/>
        <v>1.0443530621236596</v>
      </c>
      <c r="AS28" s="4">
        <f t="shared" si="6"/>
        <v>0.34834834834834827</v>
      </c>
    </row>
    <row r="29" spans="1:48">
      <c r="A29" s="56">
        <v>36616</v>
      </c>
      <c r="B29" s="202">
        <v>1.0413768548517066</v>
      </c>
      <c r="C29" s="321" t="s">
        <v>51</v>
      </c>
      <c r="D29" s="60">
        <f>(B81*B82*B83)-1</f>
        <v>-6.5341521201640607E-3</v>
      </c>
      <c r="E29" s="60">
        <f>D29</f>
        <v>-6.5341521201640607E-3</v>
      </c>
      <c r="F29" s="59"/>
      <c r="G29" s="311">
        <v>2.3836687583744999E-2</v>
      </c>
      <c r="H29" s="312">
        <f t="shared" si="2"/>
        <v>1.023836687583745</v>
      </c>
      <c r="I29" s="5">
        <f>(H81*H82*H83)-1</f>
        <v>1.4167500451010007E-2</v>
      </c>
      <c r="J29" s="281">
        <f t="shared" si="3"/>
        <v>1.4167500451010007E-2</v>
      </c>
      <c r="K29" s="105"/>
      <c r="L29" s="105">
        <v>3.5120597559429999E-2</v>
      </c>
      <c r="M29" s="58">
        <v>1.03512059755943</v>
      </c>
      <c r="N29" s="332" t="s">
        <v>51</v>
      </c>
      <c r="O29" s="106">
        <f>(M81*M82*M83)-1</f>
        <v>2.298277123658643E-2</v>
      </c>
      <c r="P29" s="106">
        <f t="shared" si="4"/>
        <v>2.298277123658643E-2</v>
      </c>
      <c r="Q29" s="106"/>
      <c r="R29" s="105"/>
      <c r="S29" s="105"/>
      <c r="T29" s="105"/>
      <c r="U29" s="320" t="s">
        <v>51</v>
      </c>
      <c r="AA29" s="51"/>
      <c r="AD29" s="107">
        <f t="shared" si="0"/>
        <v>-6.5341521201640607E-3</v>
      </c>
      <c r="AK29" s="320" t="s">
        <v>51</v>
      </c>
      <c r="AL29" s="40">
        <f>396.443-(AL28+AL27)</f>
        <v>118.70299999999997</v>
      </c>
      <c r="AM29" s="4">
        <f>667.366-448.123-AL29</f>
        <v>100.54000000000002</v>
      </c>
      <c r="AN29" s="4">
        <f t="shared" si="5"/>
        <v>219.24299999999999</v>
      </c>
      <c r="AO29" s="72"/>
      <c r="AQ29" s="4">
        <f>148.373-SUM(AQ27:AQ28)</f>
        <v>65.456999999999994</v>
      </c>
      <c r="AR29" s="4">
        <f t="shared" si="7"/>
        <v>0.17559267241379306</v>
      </c>
      <c r="AS29" s="4">
        <f t="shared" si="6"/>
        <v>0.55143509431101156</v>
      </c>
    </row>
    <row r="30" spans="1:48">
      <c r="A30" s="56">
        <v>36646</v>
      </c>
      <c r="B30" s="202">
        <v>1.0219243604154498</v>
      </c>
      <c r="C30" s="321" t="s">
        <v>50</v>
      </c>
      <c r="D30" s="60">
        <f>(B84*B85*B86)-1</f>
        <v>-7.6551078847511E-3</v>
      </c>
      <c r="E30" s="60">
        <f t="shared" si="1"/>
        <v>-7.6551078847511E-3</v>
      </c>
      <c r="F30" s="59"/>
      <c r="G30" s="311">
        <v>-6.2158460395802502E-3</v>
      </c>
      <c r="H30" s="312">
        <f t="shared" si="2"/>
        <v>0.99378415396041975</v>
      </c>
      <c r="I30" s="5">
        <f>(H84*H85*H86)-1</f>
        <v>4.5159956028276715E-2</v>
      </c>
      <c r="J30" s="281">
        <f t="shared" si="3"/>
        <v>4.5159956028276715E-2</v>
      </c>
      <c r="K30" s="105"/>
      <c r="L30" s="105">
        <v>-3.6076443230349399E-2</v>
      </c>
      <c r="M30" s="58">
        <v>0.96392355676965058</v>
      </c>
      <c r="N30" s="332" t="s">
        <v>50</v>
      </c>
      <c r="O30" s="106">
        <f>(M84*M85*M86)-1</f>
        <v>0.1029058136070462</v>
      </c>
      <c r="P30" s="106">
        <f t="shared" si="4"/>
        <v>0.1029058136070462</v>
      </c>
      <c r="Q30" s="106">
        <f>P27+P28+P29+P30</f>
        <v>0.1380218205494993</v>
      </c>
      <c r="R30" s="105"/>
      <c r="S30" s="105"/>
      <c r="T30" s="105"/>
      <c r="U30" s="320" t="s">
        <v>50</v>
      </c>
      <c r="AA30" s="51"/>
      <c r="AD30" s="107">
        <f t="shared" si="0"/>
        <v>-7.6551078847511E-3</v>
      </c>
      <c r="AE30" s="124">
        <f>AD30+AD29+AD28+AD27</f>
        <v>4.0188841338295256E-2</v>
      </c>
      <c r="AK30" s="320" t="s">
        <v>50</v>
      </c>
      <c r="AL30" s="4">
        <f>611.236-SUM(AL27:AL29)</f>
        <v>214.79300000000001</v>
      </c>
      <c r="AM30" s="40">
        <f>984.136-667.366-AL30</f>
        <v>101.97699999999998</v>
      </c>
      <c r="AN30" s="4">
        <f t="shared" si="5"/>
        <v>316.77</v>
      </c>
      <c r="AO30" s="72"/>
      <c r="AQ30" s="4">
        <f>89.452-SUM(AQ27:AQ29)</f>
        <v>-58.920999999999992</v>
      </c>
      <c r="AR30" s="4">
        <f t="shared" si="7"/>
        <v>-1.900148188887361</v>
      </c>
      <c r="AS30" s="4">
        <f t="shared" si="6"/>
        <v>-0.27431527098182895</v>
      </c>
      <c r="AT30" s="4">
        <f>AQ30+AQ29+AQ28+AQ27</f>
        <v>89.451999999999998</v>
      </c>
      <c r="AU30" s="4">
        <f>AL30+AL29+AL28+AL27</f>
        <v>611.23599999999999</v>
      </c>
      <c r="AV30" s="4">
        <f>AT30/AU30</f>
        <v>0.1463460921804344</v>
      </c>
    </row>
    <row r="31" spans="1:48">
      <c r="A31" s="56">
        <v>36677</v>
      </c>
      <c r="B31" s="202">
        <v>0.99642891933890698</v>
      </c>
      <c r="C31" s="321" t="s">
        <v>6</v>
      </c>
      <c r="D31" s="60">
        <f>(B87*B88*B89)-1</f>
        <v>2.7603540376466063E-2</v>
      </c>
      <c r="E31" s="60">
        <f t="shared" si="1"/>
        <v>2.7603540376466063E-2</v>
      </c>
      <c r="F31" s="59"/>
      <c r="G31" s="311">
        <v>-6.15653965999108E-3</v>
      </c>
      <c r="H31" s="312">
        <f t="shared" si="2"/>
        <v>0.99384346034000892</v>
      </c>
      <c r="I31" s="5">
        <f>(H87*H88*H89)-1</f>
        <v>1.0345934954962166E-2</v>
      </c>
      <c r="J31" s="281">
        <f t="shared" si="3"/>
        <v>1.0345934954962166E-2</v>
      </c>
      <c r="K31" s="105"/>
      <c r="L31" s="105">
        <v>-5.2166371348165699E-3</v>
      </c>
      <c r="M31" s="58">
        <v>0.99478336286518343</v>
      </c>
      <c r="N31" s="332" t="s">
        <v>6</v>
      </c>
      <c r="O31" s="106">
        <f>(M87*M88*M89)-1</f>
        <v>-1.4334479444104931E-2</v>
      </c>
      <c r="P31" s="106">
        <f t="shared" si="4"/>
        <v>-1.4334479444104931E-2</v>
      </c>
      <c r="Q31" s="106"/>
      <c r="R31" s="105"/>
      <c r="S31" s="105"/>
      <c r="T31" s="105"/>
      <c r="U31" s="320" t="s">
        <v>6</v>
      </c>
      <c r="AA31" s="51"/>
      <c r="AD31" s="107">
        <f t="shared" si="0"/>
        <v>2.7603540376466063E-2</v>
      </c>
      <c r="AK31" s="320" t="s">
        <v>6</v>
      </c>
      <c r="AL31" s="4">
        <v>171.69900000000001</v>
      </c>
      <c r="AM31" s="4">
        <f>278.363-AL31</f>
        <v>106.66399999999999</v>
      </c>
      <c r="AN31" s="4">
        <f t="shared" si="5"/>
        <v>278.363</v>
      </c>
      <c r="AO31" s="72"/>
      <c r="AQ31" s="4">
        <v>63.677999999999997</v>
      </c>
      <c r="AR31" s="4">
        <f t="shared" si="7"/>
        <v>-2.080735221737581</v>
      </c>
      <c r="AS31" s="4">
        <f t="shared" si="6"/>
        <v>0.37086995264969508</v>
      </c>
    </row>
    <row r="32" spans="1:48">
      <c r="A32" s="56">
        <v>36707</v>
      </c>
      <c r="B32" s="202">
        <v>0.9835822189986454</v>
      </c>
      <c r="C32" s="321" t="s">
        <v>7</v>
      </c>
      <c r="D32" s="60">
        <f>(B90*B91*B92)-1</f>
        <v>3.4428937423143458E-2</v>
      </c>
      <c r="E32" s="60">
        <f t="shared" si="1"/>
        <v>3.4428937423143458E-2</v>
      </c>
      <c r="F32" s="59"/>
      <c r="G32" s="311">
        <v>1.24590944614946E-2</v>
      </c>
      <c r="H32" s="312">
        <f t="shared" si="2"/>
        <v>1.0124590944614946</v>
      </c>
      <c r="I32" s="5">
        <f>(H90*H91*H92)-1</f>
        <v>3.834751518592161E-2</v>
      </c>
      <c r="J32" s="281">
        <f t="shared" si="3"/>
        <v>3.834751518592161E-2</v>
      </c>
      <c r="K32" s="105"/>
      <c r="L32" s="105">
        <v>3.1232627516415E-2</v>
      </c>
      <c r="M32" s="58">
        <v>1.031232627516415</v>
      </c>
      <c r="N32" s="332" t="s">
        <v>7</v>
      </c>
      <c r="O32" s="106">
        <f>(M90*M91*M92)-1</f>
        <v>-9.180332122891155E-4</v>
      </c>
      <c r="P32" s="106">
        <f t="shared" si="4"/>
        <v>-9.180332122891155E-4</v>
      </c>
      <c r="Q32" s="106"/>
      <c r="R32" s="105"/>
      <c r="S32" s="105"/>
      <c r="T32" s="105"/>
      <c r="U32" s="320" t="s">
        <v>7</v>
      </c>
      <c r="AA32" s="51"/>
      <c r="AD32" s="107">
        <f t="shared" si="0"/>
        <v>3.4428937423143458E-2</v>
      </c>
      <c r="AK32" s="320" t="s">
        <v>7</v>
      </c>
      <c r="AL32" s="4">
        <f>337.775-AL31</f>
        <v>166.07599999999996</v>
      </c>
      <c r="AM32" s="4">
        <f>537.844-278.363-AL32</f>
        <v>93.405000000000086</v>
      </c>
      <c r="AN32" s="4">
        <f t="shared" si="5"/>
        <v>259.48100000000005</v>
      </c>
      <c r="AO32" s="72"/>
      <c r="AQ32" s="4">
        <f>116.046-AQ31</f>
        <v>52.368000000000009</v>
      </c>
      <c r="AR32" s="4">
        <f t="shared" si="7"/>
        <v>-0.17761236219730503</v>
      </c>
      <c r="AS32" s="4">
        <f t="shared" si="6"/>
        <v>0.31532551362027034</v>
      </c>
    </row>
    <row r="33" spans="1:48">
      <c r="A33" s="56">
        <v>36738</v>
      </c>
      <c r="B33" s="202">
        <v>1.0146299385835691</v>
      </c>
      <c r="C33" s="321" t="s">
        <v>8</v>
      </c>
      <c r="D33" s="60">
        <f>(B93*B94*B95)-1</f>
        <v>2.6189179344246583E-2</v>
      </c>
      <c r="E33" s="60">
        <f t="shared" si="1"/>
        <v>2.6189179344246583E-2</v>
      </c>
      <c r="F33" s="59"/>
      <c r="G33" s="311">
        <v>-1.7055449788860901E-4</v>
      </c>
      <c r="H33" s="312">
        <f t="shared" si="2"/>
        <v>0.99982944550211139</v>
      </c>
      <c r="I33" s="5">
        <f>(H93*H94*H95)-1</f>
        <v>3.2076631310659742E-2</v>
      </c>
      <c r="J33" s="281">
        <f t="shared" si="3"/>
        <v>3.2076631310659742E-2</v>
      </c>
      <c r="K33" s="105"/>
      <c r="L33" s="105">
        <v>-2.08577673123597E-2</v>
      </c>
      <c r="M33" s="58">
        <v>0.97914223268764033</v>
      </c>
      <c r="N33" s="332" t="s">
        <v>8</v>
      </c>
      <c r="O33" s="106">
        <f>(M93*M94*M95)-1</f>
        <v>2.8312557165798058E-2</v>
      </c>
      <c r="P33" s="106">
        <f t="shared" si="4"/>
        <v>2.8312557165798058E-2</v>
      </c>
      <c r="Q33" s="106"/>
      <c r="R33" s="105"/>
      <c r="S33" s="105"/>
      <c r="T33" s="105"/>
      <c r="U33" s="320" t="s">
        <v>8</v>
      </c>
      <c r="AA33" s="51"/>
      <c r="AD33" s="107">
        <f t="shared" si="0"/>
        <v>2.6189179344246583E-2</v>
      </c>
      <c r="AK33" s="320" t="s">
        <v>8</v>
      </c>
      <c r="AL33" s="4">
        <f>536.019-(AL32+AL31)</f>
        <v>198.24400000000003</v>
      </c>
      <c r="AM33" s="4">
        <f>832.712-537.844-AL33</f>
        <v>96.62399999999991</v>
      </c>
      <c r="AN33" s="4">
        <f t="shared" si="5"/>
        <v>294.86799999999994</v>
      </c>
      <c r="AO33" s="72"/>
      <c r="AQ33" s="4">
        <f>197.419-SUM(AQ31:AQ32)</f>
        <v>81.373000000000005</v>
      </c>
      <c r="AR33" s="4">
        <f t="shared" si="7"/>
        <v>0.55386877482432006</v>
      </c>
      <c r="AS33" s="4">
        <f t="shared" si="6"/>
        <v>0.41046891709206834</v>
      </c>
    </row>
    <row r="34" spans="1:48">
      <c r="A34" s="56">
        <v>36769</v>
      </c>
      <c r="B34" s="202">
        <v>1.0296964019099795</v>
      </c>
      <c r="C34" s="321" t="s">
        <v>9</v>
      </c>
      <c r="D34" s="60">
        <f>(B96*B97*B98)-1</f>
        <v>4.7691629431807936E-2</v>
      </c>
      <c r="E34" s="60">
        <f t="shared" si="1"/>
        <v>4.7691629431807936E-2</v>
      </c>
      <c r="F34" s="59"/>
      <c r="G34" s="311">
        <v>1.9275282335823998E-2</v>
      </c>
      <c r="H34" s="312">
        <f t="shared" si="2"/>
        <v>1.019275282335824</v>
      </c>
      <c r="I34" s="5">
        <f>(H96*H97*H98)-1</f>
        <v>2.6046308665577778E-2</v>
      </c>
      <c r="J34" s="281">
        <f t="shared" si="3"/>
        <v>2.6046308665577778E-2</v>
      </c>
      <c r="K34" s="105"/>
      <c r="L34" s="105">
        <v>5.0841796612053304E-3</v>
      </c>
      <c r="M34" s="58">
        <v>1.0050841796612053</v>
      </c>
      <c r="N34" s="332" t="s">
        <v>9</v>
      </c>
      <c r="O34" s="106">
        <f>(M96*M97*M98)-1</f>
        <v>9.4819269561665642E-3</v>
      </c>
      <c r="P34" s="106">
        <f t="shared" si="4"/>
        <v>9.4819269561665642E-3</v>
      </c>
      <c r="Q34" s="106">
        <f>P31+P32+P33+P34</f>
        <v>2.2541971465570576E-2</v>
      </c>
      <c r="R34" s="105"/>
      <c r="S34" s="105"/>
      <c r="T34" s="105"/>
      <c r="U34" s="320" t="s">
        <v>9</v>
      </c>
      <c r="AA34" s="51"/>
      <c r="AD34" s="107">
        <f t="shared" si="0"/>
        <v>4.7691629431807936E-2</v>
      </c>
      <c r="AE34" s="124">
        <f>AD34+AD33+AD32+AD31</f>
        <v>0.13591328657566404</v>
      </c>
      <c r="AK34" s="320" t="s">
        <v>9</v>
      </c>
      <c r="AL34" s="4">
        <f>791.642-SUM(AL31:AL33)</f>
        <v>255.62300000000005</v>
      </c>
      <c r="AM34" s="4">
        <f>1238.681-832.712-AL34</f>
        <v>150.346</v>
      </c>
      <c r="AN34" s="4">
        <f t="shared" si="5"/>
        <v>405.96900000000005</v>
      </c>
      <c r="AO34" s="72"/>
      <c r="AQ34" s="4">
        <f>320.182-SUM(AQ31:AQ33)</f>
        <v>122.76300000000001</v>
      </c>
      <c r="AR34" s="4">
        <f t="shared" si="7"/>
        <v>0.50864537377262731</v>
      </c>
      <c r="AS34" s="4">
        <f t="shared" si="6"/>
        <v>0.48025021222659925</v>
      </c>
      <c r="AT34" s="4">
        <f>AQ34+AQ33+AQ32+AQ31</f>
        <v>320.18200000000002</v>
      </c>
      <c r="AU34" s="4">
        <f>AL34+AL33+AL32+AL31</f>
        <v>791.64200000000005</v>
      </c>
      <c r="AV34" s="4">
        <f>AT34/AU34</f>
        <v>0.40445302295734686</v>
      </c>
    </row>
    <row r="35" spans="1:48">
      <c r="A35" s="56">
        <v>36799</v>
      </c>
      <c r="B35" s="202">
        <v>0.98023270728812062</v>
      </c>
      <c r="C35" s="321" t="s">
        <v>10</v>
      </c>
      <c r="D35" s="60">
        <f>(B99*B100*B101)-1</f>
        <v>2.5327935268155688E-3</v>
      </c>
      <c r="E35" s="60">
        <f t="shared" si="1"/>
        <v>2.5327935268155688E-3</v>
      </c>
      <c r="F35" s="59"/>
      <c r="G35" s="311">
        <v>-1.5818810167482301E-2</v>
      </c>
      <c r="H35" s="312">
        <f t="shared" si="2"/>
        <v>0.98418118983251768</v>
      </c>
      <c r="I35" s="5">
        <f>(H99*H100*H101)-1</f>
        <v>2.2384715745764838E-2</v>
      </c>
      <c r="J35" s="281">
        <f t="shared" si="3"/>
        <v>2.2384715745764838E-2</v>
      </c>
      <c r="K35" s="105"/>
      <c r="L35" s="105">
        <v>-2.01991893929192E-2</v>
      </c>
      <c r="M35" s="58">
        <v>0.9798008106070808</v>
      </c>
      <c r="N35" s="332" t="s">
        <v>10</v>
      </c>
      <c r="O35" s="106">
        <f>(M99*M100*M101)-1</f>
        <v>3.4367718014040927E-2</v>
      </c>
      <c r="P35" s="106">
        <f t="shared" si="4"/>
        <v>3.4367718014040927E-2</v>
      </c>
      <c r="Q35" s="106"/>
      <c r="R35" s="105"/>
      <c r="S35" s="105"/>
      <c r="T35" s="105"/>
      <c r="U35" s="320" t="s">
        <v>10</v>
      </c>
      <c r="AA35" s="51"/>
      <c r="AD35" s="107">
        <f t="shared" ref="AD35:AD66" si="8">D35</f>
        <v>2.5327935268155688E-3</v>
      </c>
      <c r="AK35" s="320" t="s">
        <v>10</v>
      </c>
      <c r="AL35" s="4">
        <v>247.619</v>
      </c>
      <c r="AM35" s="4">
        <f>385.585-AL35</f>
        <v>137.96599999999998</v>
      </c>
      <c r="AN35" s="4">
        <f t="shared" si="5"/>
        <v>385.58499999999998</v>
      </c>
      <c r="AO35" s="72"/>
      <c r="AQ35" s="4">
        <v>131.40600000000001</v>
      </c>
      <c r="AR35" s="4">
        <f t="shared" si="7"/>
        <v>7.0403949072603389E-2</v>
      </c>
      <c r="AS35" s="4">
        <f t="shared" si="6"/>
        <v>0.53067817897657288</v>
      </c>
    </row>
    <row r="36" spans="1:48">
      <c r="A36" s="56">
        <v>36830</v>
      </c>
      <c r="B36" s="202">
        <v>1.0063392330233927</v>
      </c>
      <c r="C36" s="321" t="s">
        <v>11</v>
      </c>
      <c r="D36" s="60">
        <f>(B102*B103*B104)-1</f>
        <v>-3.2969880214289371E-2</v>
      </c>
      <c r="E36" s="60">
        <f t="shared" si="1"/>
        <v>-3.2969880214289371E-2</v>
      </c>
      <c r="F36" s="59"/>
      <c r="G36" s="311">
        <v>2.3779303629201101E-3</v>
      </c>
      <c r="H36" s="312">
        <f t="shared" si="2"/>
        <v>1.0023779303629201</v>
      </c>
      <c r="I36" s="5">
        <f>(H102*H103*H104)-1</f>
        <v>-1.5469671155549536E-2</v>
      </c>
      <c r="J36" s="281">
        <f t="shared" si="3"/>
        <v>-1.5469671155549536E-2</v>
      </c>
      <c r="K36" s="105"/>
      <c r="L36" s="105">
        <v>-1.7692587164177299E-2</v>
      </c>
      <c r="M36" s="58">
        <v>0.98230741283582268</v>
      </c>
      <c r="N36" s="332" t="s">
        <v>11</v>
      </c>
      <c r="O36" s="106">
        <f>(M102*M103*M104)-1</f>
        <v>1.9907051977573698E-2</v>
      </c>
      <c r="P36" s="106">
        <f>O36</f>
        <v>1.9907051977573698E-2</v>
      </c>
      <c r="Q36" s="106"/>
      <c r="R36" s="105"/>
      <c r="S36" s="105"/>
      <c r="T36" s="105"/>
      <c r="U36" s="320" t="s">
        <v>11</v>
      </c>
      <c r="AA36" s="51"/>
      <c r="AD36" s="107">
        <f t="shared" si="8"/>
        <v>-3.2969880214289371E-2</v>
      </c>
      <c r="AK36" s="320" t="s">
        <v>11</v>
      </c>
      <c r="AL36" s="4">
        <f>475.478-AL35</f>
        <v>227.85900000000001</v>
      </c>
      <c r="AM36" s="4">
        <f>726.291-385.585-AL36</f>
        <v>112.84700000000007</v>
      </c>
      <c r="AN36" s="4">
        <f t="shared" si="5"/>
        <v>340.70600000000007</v>
      </c>
      <c r="AO36" s="72"/>
      <c r="AQ36" s="4">
        <f>225.32-AQ35</f>
        <v>93.913999999999987</v>
      </c>
      <c r="AR36" s="4">
        <f t="shared" si="7"/>
        <v>-0.2853142170068339</v>
      </c>
      <c r="AS36" s="4">
        <f t="shared" si="6"/>
        <v>0.4121583962011594</v>
      </c>
    </row>
    <row r="37" spans="1:48">
      <c r="A37" s="56">
        <v>36860</v>
      </c>
      <c r="B37" s="202">
        <v>0.99164156493788913</v>
      </c>
      <c r="C37" s="321" t="s">
        <v>12</v>
      </c>
      <c r="D37" s="60">
        <f>(B105*B106*B107)-1</f>
        <v>8.2972495563846671E-2</v>
      </c>
      <c r="E37" s="60">
        <f t="shared" si="1"/>
        <v>8.2972495563846671E-2</v>
      </c>
      <c r="F37" s="59"/>
      <c r="G37" s="311">
        <v>-1.01823947748566E-2</v>
      </c>
      <c r="H37" s="312">
        <f t="shared" si="2"/>
        <v>0.98981760522514339</v>
      </c>
      <c r="I37" s="5">
        <f>(H105*H106*H107)-1</f>
        <v>3.9427452966281029E-2</v>
      </c>
      <c r="J37" s="281">
        <f t="shared" si="3"/>
        <v>3.9427452966281029E-2</v>
      </c>
      <c r="K37" s="105"/>
      <c r="L37" s="105">
        <v>-5.3425390998093104E-3</v>
      </c>
      <c r="M37" s="58">
        <v>0.99465746090019069</v>
      </c>
      <c r="N37" s="332" t="s">
        <v>12</v>
      </c>
      <c r="O37" s="106">
        <f>(M105*M106*M107)-1</f>
        <v>3.3788384235323488E-2</v>
      </c>
      <c r="P37" s="106">
        <f t="shared" si="4"/>
        <v>3.3788384235323488E-2</v>
      </c>
      <c r="Q37" s="106"/>
      <c r="R37" s="105"/>
      <c r="S37" s="105"/>
      <c r="T37" s="105"/>
      <c r="U37" s="320" t="s">
        <v>12</v>
      </c>
      <c r="AA37" s="51"/>
      <c r="AD37" s="107">
        <f t="shared" si="8"/>
        <v>8.2972495563846671E-2</v>
      </c>
      <c r="AK37" s="320" t="s">
        <v>12</v>
      </c>
      <c r="AL37" s="4">
        <f>703.926-(AL36+AL35)</f>
        <v>228.44800000000004</v>
      </c>
      <c r="AM37" s="4">
        <f>1107.639-726.291-AL37</f>
        <v>152.89999999999981</v>
      </c>
      <c r="AN37" s="4">
        <f t="shared" si="5"/>
        <v>381.34799999999984</v>
      </c>
      <c r="AO37" s="71"/>
      <c r="AQ37" s="4">
        <f>315.857-SUM(AQ35:AQ36)</f>
        <v>90.537000000000035</v>
      </c>
      <c r="AR37" s="4">
        <f t="shared" si="7"/>
        <v>-3.5958430053026791E-2</v>
      </c>
      <c r="AS37" s="4">
        <f t="shared" si="6"/>
        <v>0.39631338422748291</v>
      </c>
    </row>
    <row r="38" spans="1:48">
      <c r="A38" s="56">
        <v>36891</v>
      </c>
      <c r="B38" s="202">
        <v>0.98785085941137729</v>
      </c>
      <c r="C38" s="321" t="s">
        <v>13</v>
      </c>
      <c r="D38" s="60">
        <f>(B108*B109*B110)-1</f>
        <v>8.5634211401959259E-3</v>
      </c>
      <c r="E38" s="60">
        <f t="shared" si="1"/>
        <v>8.5634211401959259E-3</v>
      </c>
      <c r="F38" s="59"/>
      <c r="G38" s="311">
        <v>6.1529752922981898E-3</v>
      </c>
      <c r="H38" s="312">
        <f t="shared" si="2"/>
        <v>1.0061529752922982</v>
      </c>
      <c r="I38" s="5">
        <f>(H108*H109*H110)-1</f>
        <v>3.1513241244097712E-2</v>
      </c>
      <c r="J38" s="281">
        <f t="shared" si="3"/>
        <v>3.1513241244097712E-2</v>
      </c>
      <c r="K38" s="105"/>
      <c r="L38" s="105">
        <v>3.8685663516483601E-2</v>
      </c>
      <c r="M38" s="58">
        <v>1.0386856635164836</v>
      </c>
      <c r="N38" s="332" t="s">
        <v>13</v>
      </c>
      <c r="O38" s="106">
        <f>(M108*M109*M110)-1</f>
        <v>5.5911078756500698E-2</v>
      </c>
      <c r="P38" s="106">
        <f t="shared" si="4"/>
        <v>5.5911078756500698E-2</v>
      </c>
      <c r="Q38" s="106">
        <f>P35+P36+P37+P38</f>
        <v>0.14397423298343881</v>
      </c>
      <c r="R38" s="105"/>
      <c r="S38" s="105"/>
      <c r="T38" s="105"/>
      <c r="U38" s="320" t="s">
        <v>13</v>
      </c>
      <c r="V38" s="63"/>
      <c r="W38" s="63"/>
      <c r="X38" s="63">
        <v>1782139</v>
      </c>
      <c r="Y38" s="63">
        <f t="shared" ref="Y38:Y67" si="9">W38/X38</f>
        <v>0</v>
      </c>
      <c r="Z38" s="63">
        <v>1447179</v>
      </c>
      <c r="AA38" s="69"/>
      <c r="AB38" s="63"/>
      <c r="AC38" s="63"/>
      <c r="AD38" s="191">
        <f t="shared" si="8"/>
        <v>8.5634211401959259E-3</v>
      </c>
      <c r="AE38" s="101">
        <f>AD38+AD37+AD36+AD35</f>
        <v>6.1098830016568795E-2</v>
      </c>
      <c r="AF38" s="63"/>
      <c r="AG38" s="63"/>
      <c r="AH38" s="63"/>
      <c r="AI38" s="63"/>
      <c r="AJ38" s="63"/>
      <c r="AK38" s="320" t="s">
        <v>13</v>
      </c>
      <c r="AL38" s="4">
        <f>941.985-SUM(AL35:AL37)</f>
        <v>238.05899999999997</v>
      </c>
      <c r="AM38" s="4">
        <f>1525.599-1107.639-AL38</f>
        <v>179.90100000000007</v>
      </c>
      <c r="AN38" s="4">
        <f t="shared" si="5"/>
        <v>417.96000000000004</v>
      </c>
      <c r="AO38" s="72">
        <f t="shared" ref="AO38:AO78" si="10">AN38/X38</f>
        <v>2.3452716090046851E-4</v>
      </c>
      <c r="AQ38" s="4">
        <f>387.816-SUM(AQ35:AQ37)</f>
        <v>71.958999999999946</v>
      </c>
      <c r="AR38" s="4">
        <f t="shared" si="7"/>
        <v>-0.20519787490197472</v>
      </c>
      <c r="AS38" s="4">
        <f t="shared" si="6"/>
        <v>0.30227380607328419</v>
      </c>
      <c r="AT38" s="4">
        <f>AQ38+AQ37+AQ36+AQ35</f>
        <v>387.81599999999997</v>
      </c>
      <c r="AU38" s="4">
        <f>AL38+AL37+AL36+AL35</f>
        <v>941.98500000000001</v>
      </c>
      <c r="AV38" s="4">
        <f>AT38/AU38</f>
        <v>0.41170082326151686</v>
      </c>
    </row>
    <row r="39" spans="1:48">
      <c r="A39" s="56">
        <v>36922</v>
      </c>
      <c r="B39" s="202">
        <v>1.0055928513608237</v>
      </c>
      <c r="C39" s="321" t="s">
        <v>14</v>
      </c>
      <c r="D39" s="60">
        <f>(B111*B112*B113)-1</f>
        <v>-5.1688197253707546E-4</v>
      </c>
      <c r="E39" s="60">
        <f t="shared" si="1"/>
        <v>-5.1688197253707546E-4</v>
      </c>
      <c r="F39" s="59"/>
      <c r="G39" s="311">
        <v>1.19325860737698E-2</v>
      </c>
      <c r="H39" s="312">
        <f t="shared" si="2"/>
        <v>1.0119325860737698</v>
      </c>
      <c r="I39" s="5">
        <f>(H111*H112*H113)-1</f>
        <v>1.4809451727862522E-2</v>
      </c>
      <c r="J39" s="281">
        <f t="shared" si="3"/>
        <v>1.4809451727862522E-2</v>
      </c>
      <c r="K39" s="105"/>
      <c r="L39" s="105">
        <v>3.3173683006646497E-3</v>
      </c>
      <c r="M39" s="58">
        <v>1.0033173683006646</v>
      </c>
      <c r="N39" s="332" t="s">
        <v>14</v>
      </c>
      <c r="O39" s="106">
        <f>(M111*M112*M113)-1</f>
        <v>1.9500288647023245E-2</v>
      </c>
      <c r="P39" s="106">
        <f t="shared" si="4"/>
        <v>1.9500288647023245E-2</v>
      </c>
      <c r="Q39" s="106"/>
      <c r="R39" s="105"/>
      <c r="S39" s="105"/>
      <c r="T39" s="105"/>
      <c r="U39" s="320" t="s">
        <v>14</v>
      </c>
      <c r="V39" s="4">
        <v>2636586</v>
      </c>
      <c r="W39" s="4">
        <v>760783</v>
      </c>
      <c r="X39" s="40">
        <f t="shared" ref="X39:X66" si="11">V39-W39</f>
        <v>1875803</v>
      </c>
      <c r="Y39" s="4">
        <f t="shared" si="9"/>
        <v>0.40557723812148716</v>
      </c>
      <c r="Z39" s="4">
        <f>Z40-AA40</f>
        <v>1542129</v>
      </c>
      <c r="AA39" s="40">
        <v>94949</v>
      </c>
      <c r="AB39" s="4">
        <f>((X39-(Z39-Z38))/X38)-1</f>
        <v>-7.2160476820271047E-4</v>
      </c>
      <c r="AC39" s="4">
        <f>LN(AB39+1)</f>
        <v>-7.2186525024104916E-4</v>
      </c>
      <c r="AD39" s="107">
        <f t="shared" si="8"/>
        <v>-5.1688197253707546E-4</v>
      </c>
      <c r="AK39" s="320" t="s">
        <v>14</v>
      </c>
      <c r="AL39" s="4">
        <v>206.68299999999999</v>
      </c>
      <c r="AM39" s="4">
        <f>386.171-AL39</f>
        <v>179.488</v>
      </c>
      <c r="AN39" s="4">
        <f t="shared" si="5"/>
        <v>386.17099999999999</v>
      </c>
      <c r="AO39" s="72">
        <f t="shared" si="10"/>
        <v>2.0586969953667841E-4</v>
      </c>
      <c r="AQ39" s="40">
        <v>42.905000000000001</v>
      </c>
      <c r="AR39" s="4">
        <f t="shared" si="7"/>
        <v>-0.40375769535429851</v>
      </c>
      <c r="AS39" s="4">
        <f t="shared" si="6"/>
        <v>0.20758843252710674</v>
      </c>
    </row>
    <row r="40" spans="1:48">
      <c r="A40" s="56">
        <v>36950</v>
      </c>
      <c r="B40" s="202">
        <v>0.97676987434510942</v>
      </c>
      <c r="C40" s="321" t="s">
        <v>15</v>
      </c>
      <c r="D40" s="60">
        <f>(B114*B115*B116)-1</f>
        <v>-1.8952215084916402E-3</v>
      </c>
      <c r="E40" s="60">
        <f t="shared" si="1"/>
        <v>-1.8952215084916402E-3</v>
      </c>
      <c r="F40" s="59"/>
      <c r="G40" s="311">
        <v>-2.6130092654645401E-2</v>
      </c>
      <c r="H40" s="312">
        <f t="shared" si="2"/>
        <v>0.97386990734535461</v>
      </c>
      <c r="I40" s="5">
        <f>(H114*H115*H116)-1</f>
        <v>2.2328816925841988E-2</v>
      </c>
      <c r="J40" s="281">
        <f t="shared" si="3"/>
        <v>2.2328816925841988E-2</v>
      </c>
      <c r="K40" s="105"/>
      <c r="L40" s="105">
        <v>-3.4859638412604997E-2</v>
      </c>
      <c r="M40" s="58">
        <v>0.96514036158739502</v>
      </c>
      <c r="N40" s="332" t="s">
        <v>15</v>
      </c>
      <c r="O40" s="106">
        <f>(M114*M115*M116)-1</f>
        <v>3.1522239350871173E-2</v>
      </c>
      <c r="P40" s="106">
        <f t="shared" si="4"/>
        <v>3.1522239350871173E-2</v>
      </c>
      <c r="Q40" s="106"/>
      <c r="R40" s="105"/>
      <c r="S40" s="316"/>
      <c r="T40" s="105"/>
      <c r="U40" s="320" t="s">
        <v>15</v>
      </c>
      <c r="V40" s="4">
        <v>2673453</v>
      </c>
      <c r="W40" s="4">
        <v>734764</v>
      </c>
      <c r="X40" s="4">
        <f t="shared" si="11"/>
        <v>1938689</v>
      </c>
      <c r="Y40" s="4">
        <f t="shared" si="9"/>
        <v>0.37900044824105361</v>
      </c>
      <c r="Z40" s="4">
        <f>Z41-AA41</f>
        <v>1609671</v>
      </c>
      <c r="AA40" s="40">
        <f>162491-AA39</f>
        <v>67542</v>
      </c>
      <c r="AB40" s="4">
        <f t="shared" ref="AB40:AB67" si="12">((X40-(Z40-Z39))/X39)-1</f>
        <v>-2.4821369834678864E-3</v>
      </c>
      <c r="AC40" s="72">
        <f>LN(AB40+1)</f>
        <v>-2.4852225924639096E-3</v>
      </c>
      <c r="AD40" s="107">
        <f t="shared" si="8"/>
        <v>-1.8952215084916402E-3</v>
      </c>
      <c r="AK40" s="320" t="s">
        <v>15</v>
      </c>
      <c r="AL40" s="40">
        <f>(260.8+134.266+76.271)-AL39</f>
        <v>264.65400000000005</v>
      </c>
      <c r="AM40" s="40">
        <f>838.425-386.171-AL40</f>
        <v>187.59999999999991</v>
      </c>
      <c r="AN40" s="4">
        <f t="shared" si="5"/>
        <v>452.25399999999996</v>
      </c>
      <c r="AO40" s="72">
        <f t="shared" si="10"/>
        <v>2.3327826175317443E-4</v>
      </c>
      <c r="AQ40" s="40">
        <f>134.266-AQ39</f>
        <v>91.36099999999999</v>
      </c>
      <c r="AR40" s="4">
        <f t="shared" si="7"/>
        <v>1.1293788602726953</v>
      </c>
      <c r="AS40" s="4">
        <f t="shared" si="6"/>
        <v>0.3452092165620016</v>
      </c>
    </row>
    <row r="41" spans="1:48">
      <c r="A41" s="56">
        <v>36981</v>
      </c>
      <c r="B41" s="202">
        <v>0.97529066275220988</v>
      </c>
      <c r="C41" s="321" t="s">
        <v>16</v>
      </c>
      <c r="D41" s="60">
        <f>(B117*B118*B119)-1</f>
        <v>-4.2017771645181723E-2</v>
      </c>
      <c r="E41" s="60">
        <f t="shared" si="1"/>
        <v>-4.2017771645181723E-2</v>
      </c>
      <c r="F41" s="59"/>
      <c r="G41" s="311">
        <v>-1.3600310336822E-2</v>
      </c>
      <c r="H41" s="312">
        <f t="shared" si="2"/>
        <v>0.98639968966317804</v>
      </c>
      <c r="I41" s="5">
        <f>(H117*H118*H119)-1</f>
        <v>1.1456041229349623E-2</v>
      </c>
      <c r="J41" s="281">
        <f t="shared" si="3"/>
        <v>1.1456041229349623E-2</v>
      </c>
      <c r="K41" s="105"/>
      <c r="L41" s="105">
        <v>-4.2279151802206899E-2</v>
      </c>
      <c r="M41" s="58">
        <v>0.95772084819779313</v>
      </c>
      <c r="N41" s="332" t="s">
        <v>16</v>
      </c>
      <c r="O41" s="106">
        <f>(M117*M118*M119)-1</f>
        <v>4.3511150250077346E-2</v>
      </c>
      <c r="P41" s="106">
        <f t="shared" si="4"/>
        <v>4.3511150250077346E-2</v>
      </c>
      <c r="Q41" s="106"/>
      <c r="R41" s="105"/>
      <c r="S41" s="316"/>
      <c r="T41" s="105"/>
      <c r="U41" s="320" t="s">
        <v>16</v>
      </c>
      <c r="V41" s="4">
        <v>2712955</v>
      </c>
      <c r="W41" s="4">
        <v>781970</v>
      </c>
      <c r="X41" s="4">
        <f t="shared" si="11"/>
        <v>1930985</v>
      </c>
      <c r="Y41" s="4">
        <f t="shared" si="9"/>
        <v>0.40495912707763138</v>
      </c>
      <c r="Z41" s="4">
        <f t="shared" ref="Z41:Z46" si="13">Z42-AA42</f>
        <v>1685549</v>
      </c>
      <c r="AA41" s="40">
        <f>238369-(AA40+AA39)</f>
        <v>75878</v>
      </c>
      <c r="AB41" s="4">
        <f>((X41-(Z41-Z40))/X40)-1</f>
        <v>-4.3112639520830776E-2</v>
      </c>
      <c r="AC41" s="72">
        <f t="shared" ref="AC41:AC68" si="14">LN(AB41+1)</f>
        <v>-4.4069595105173706E-2</v>
      </c>
      <c r="AD41" s="107">
        <f t="shared" si="8"/>
        <v>-4.2017771645181723E-2</v>
      </c>
      <c r="AE41" s="124"/>
      <c r="AK41" s="320" t="s">
        <v>16</v>
      </c>
      <c r="AL41" s="40">
        <f>(396.237+198.394+123.964)-(AL40+AL39)</f>
        <v>247.25799999999998</v>
      </c>
      <c r="AM41" s="40">
        <f>1319.569-838.425-AL41</f>
        <v>233.88600000000002</v>
      </c>
      <c r="AN41" s="4">
        <f t="shared" si="5"/>
        <v>481.14400000000001</v>
      </c>
      <c r="AO41" s="72">
        <f t="shared" si="10"/>
        <v>2.4917024213031173E-4</v>
      </c>
      <c r="AQ41" s="40">
        <f>198.394-SUM(AQ39:AQ40)</f>
        <v>64.128000000000014</v>
      </c>
      <c r="AR41" s="4">
        <f t="shared" si="7"/>
        <v>-0.29808123816508114</v>
      </c>
      <c r="AS41" s="4">
        <f t="shared" si="6"/>
        <v>0.25935662344595534</v>
      </c>
    </row>
    <row r="42" spans="1:48">
      <c r="A42" s="56">
        <v>37011</v>
      </c>
      <c r="B42" s="202">
        <v>1.0281431824462257</v>
      </c>
      <c r="C42" s="321" t="s">
        <v>17</v>
      </c>
      <c r="D42" s="60">
        <f>(B120*B121*B122)-1</f>
        <v>5.626439235592251E-3</v>
      </c>
      <c r="E42" s="60">
        <f t="shared" si="1"/>
        <v>5.626439235592251E-3</v>
      </c>
      <c r="F42" s="59"/>
      <c r="G42" s="311">
        <v>2.2362219305009701E-2</v>
      </c>
      <c r="H42" s="312">
        <f t="shared" si="2"/>
        <v>1.0223622193050097</v>
      </c>
      <c r="I42" s="5">
        <f>(H120*H121*H122)-1</f>
        <v>-6.4269082097686558E-3</v>
      </c>
      <c r="J42" s="281">
        <f t="shared" si="3"/>
        <v>-6.4269082097686558E-3</v>
      </c>
      <c r="K42" s="105"/>
      <c r="L42" s="105">
        <v>2.7646794669546702E-2</v>
      </c>
      <c r="M42" s="58">
        <v>1.0276467946695467</v>
      </c>
      <c r="N42" s="332" t="s">
        <v>17</v>
      </c>
      <c r="O42" s="106">
        <f>(M120*M121*M122)-1</f>
        <v>4.2188937346687716E-3</v>
      </c>
      <c r="P42" s="106">
        <f t="shared" si="4"/>
        <v>4.2188937346687716E-3</v>
      </c>
      <c r="Q42" s="106">
        <f>P39+P40+P41+P42</f>
        <v>9.8752571982640536E-2</v>
      </c>
      <c r="R42" s="105"/>
      <c r="S42" s="316"/>
      <c r="T42" s="105"/>
      <c r="U42" s="320" t="s">
        <v>17</v>
      </c>
      <c r="V42" s="4">
        <v>2766488</v>
      </c>
      <c r="W42" s="4">
        <v>749533</v>
      </c>
      <c r="X42" s="4">
        <f t="shared" si="11"/>
        <v>2016955</v>
      </c>
      <c r="Y42" s="4">
        <f t="shared" si="9"/>
        <v>0.37161612430619423</v>
      </c>
      <c r="Z42" s="4">
        <f t="shared" si="13"/>
        <v>1762359</v>
      </c>
      <c r="AA42" s="40">
        <f>315179-(AA41+AA40+AA39)</f>
        <v>76810</v>
      </c>
      <c r="AB42" s="4">
        <f t="shared" si="12"/>
        <v>4.7436929857040955E-3</v>
      </c>
      <c r="AC42" s="72">
        <f t="shared" si="14"/>
        <v>4.7324771298644808E-3</v>
      </c>
      <c r="AD42" s="107">
        <f t="shared" si="8"/>
        <v>5.626439235592251E-3</v>
      </c>
      <c r="AE42" s="124">
        <f>AD42+AD41+AD40+AD39</f>
        <v>-3.8803435890618188E-2</v>
      </c>
      <c r="AF42" s="4">
        <f>((1+AC39)*(AC40+1)*(AC41+1)*(AC42+1))-1</f>
        <v>-4.26242146601441E-2</v>
      </c>
      <c r="AK42" s="320" t="s">
        <v>17</v>
      </c>
      <c r="AL42" s="40">
        <f>(951.421)-SUM(AL39:AL41)</f>
        <v>232.82600000000002</v>
      </c>
      <c r="AM42" s="40">
        <f>1783.275-1319.569-AL42</f>
        <v>230.88000000000011</v>
      </c>
      <c r="AN42" s="4">
        <f t="shared" si="5"/>
        <v>463.70600000000013</v>
      </c>
      <c r="AO42" s="72">
        <f t="shared" si="10"/>
        <v>2.2990398893381366E-4</v>
      </c>
      <c r="AQ42" s="40">
        <f>268.54-SUM(AQ39:AQ41)</f>
        <v>70.146000000000015</v>
      </c>
      <c r="AR42" s="4">
        <f t="shared" si="7"/>
        <v>9.3843562874251552E-2</v>
      </c>
      <c r="AS42" s="4">
        <f t="shared" si="6"/>
        <v>0.30128078479207654</v>
      </c>
      <c r="AT42" s="4">
        <f>AQ42+AQ41+AQ40+AQ39</f>
        <v>268.54000000000002</v>
      </c>
      <c r="AU42" s="4">
        <f>AL42+AL41+AL40+AL39</f>
        <v>951.42100000000005</v>
      </c>
      <c r="AV42" s="4">
        <f>AT42/AU42</f>
        <v>0.28225149539478317</v>
      </c>
    </row>
    <row r="43" spans="1:48">
      <c r="A43" s="56">
        <v>37042</v>
      </c>
      <c r="B43" s="202">
        <v>1.0135839287974457</v>
      </c>
      <c r="C43" s="321" t="s">
        <v>18</v>
      </c>
      <c r="D43" s="60">
        <f>(B123*B124*B125)-1</f>
        <v>-7.8276509556557183E-2</v>
      </c>
      <c r="E43" s="60">
        <f t="shared" si="1"/>
        <v>-7.8276509556557183E-2</v>
      </c>
      <c r="F43" s="59"/>
      <c r="G43" s="311">
        <v>-3.1829503309006601E-3</v>
      </c>
      <c r="H43" s="312">
        <f t="shared" si="2"/>
        <v>0.99681704966909934</v>
      </c>
      <c r="I43" s="5">
        <f>(H123*H124*H125)-1</f>
        <v>-5.6211869164365158E-2</v>
      </c>
      <c r="J43" s="281">
        <f t="shared" si="3"/>
        <v>-5.6211869164365158E-2</v>
      </c>
      <c r="K43" s="105"/>
      <c r="L43" s="105">
        <v>-1.37941456151688E-2</v>
      </c>
      <c r="M43" s="58">
        <v>0.98620585438483122</v>
      </c>
      <c r="N43" s="332" t="s">
        <v>18</v>
      </c>
      <c r="O43" s="106">
        <f>(M123*M124*M125)-1</f>
        <v>-1.5138427788787601E-2</v>
      </c>
      <c r="P43" s="106">
        <f t="shared" si="4"/>
        <v>-1.5138427788787601E-2</v>
      </c>
      <c r="Q43" s="106"/>
      <c r="R43" s="105"/>
      <c r="S43" s="316"/>
      <c r="T43" s="105"/>
      <c r="U43" s="320" t="s">
        <v>18</v>
      </c>
      <c r="V43" s="4">
        <v>2913436</v>
      </c>
      <c r="W43" s="40">
        <v>968046</v>
      </c>
      <c r="X43" s="4">
        <f t="shared" si="11"/>
        <v>1945390</v>
      </c>
      <c r="Y43" s="4">
        <f t="shared" si="9"/>
        <v>0.49761024781663316</v>
      </c>
      <c r="Z43" s="4">
        <f t="shared" si="13"/>
        <v>1852207</v>
      </c>
      <c r="AA43" s="40">
        <v>89848</v>
      </c>
      <c r="AB43" s="4">
        <f t="shared" si="12"/>
        <v>-8.0028062103517428E-2</v>
      </c>
      <c r="AC43" s="72">
        <f t="shared" si="14"/>
        <v>-8.3412111690687241E-2</v>
      </c>
      <c r="AD43" s="107">
        <f t="shared" si="8"/>
        <v>-7.8276509556557183E-2</v>
      </c>
      <c r="AE43" s="105"/>
      <c r="AF43" s="105"/>
      <c r="AG43" s="105"/>
      <c r="AK43" s="320" t="s">
        <v>18</v>
      </c>
      <c r="AL43" s="4">
        <v>237.91</v>
      </c>
      <c r="AM43" s="4">
        <f>478.636-AL43</f>
        <v>240.72600000000003</v>
      </c>
      <c r="AN43" s="4">
        <f t="shared" si="5"/>
        <v>478.63600000000002</v>
      </c>
      <c r="AO43" s="72">
        <f t="shared" si="10"/>
        <v>2.4603601334436797E-4</v>
      </c>
      <c r="AQ43" s="40">
        <v>74.909000000000006</v>
      </c>
      <c r="AR43" s="4">
        <f t="shared" si="7"/>
        <v>6.7901234567901092E-2</v>
      </c>
      <c r="AS43" s="4">
        <f t="shared" si="6"/>
        <v>0.31486276322979279</v>
      </c>
    </row>
    <row r="44" spans="1:48">
      <c r="A44" s="56">
        <v>37072</v>
      </c>
      <c r="B44" s="202">
        <v>0.97879529909622232</v>
      </c>
      <c r="C44" s="321" t="s">
        <v>19</v>
      </c>
      <c r="D44" s="60">
        <f>(B126*B127*B128)-1</f>
        <v>-2.1702255277833982E-2</v>
      </c>
      <c r="E44" s="60">
        <f t="shared" si="1"/>
        <v>-2.1702255277833982E-2</v>
      </c>
      <c r="F44" s="59"/>
      <c r="G44" s="311">
        <v>-8.0161349578737901E-3</v>
      </c>
      <c r="H44" s="312">
        <f t="shared" si="2"/>
        <v>0.99198386504212621</v>
      </c>
      <c r="I44" s="5">
        <f>(H126*H127*H128)-1</f>
        <v>-1.8684543415976251E-2</v>
      </c>
      <c r="J44" s="281">
        <f t="shared" si="3"/>
        <v>-1.8684543415976251E-2</v>
      </c>
      <c r="K44" s="105"/>
      <c r="L44" s="105">
        <v>-1.7996532847956201E-2</v>
      </c>
      <c r="M44" s="58">
        <v>0.98200346715204379</v>
      </c>
      <c r="N44" s="332" t="s">
        <v>19</v>
      </c>
      <c r="O44" s="106">
        <f>(M126*M127*M128)-1</f>
        <v>-2.3949471528753929E-2</v>
      </c>
      <c r="P44" s="106">
        <f t="shared" si="4"/>
        <v>-2.3949471528753929E-2</v>
      </c>
      <c r="Q44" s="106"/>
      <c r="R44" s="105"/>
      <c r="S44" s="316"/>
      <c r="T44" s="105"/>
      <c r="U44" s="320" t="s">
        <v>19</v>
      </c>
      <c r="V44" s="4">
        <v>2836710</v>
      </c>
      <c r="W44" s="4">
        <v>846113</v>
      </c>
      <c r="X44" s="4">
        <f t="shared" si="11"/>
        <v>1990597</v>
      </c>
      <c r="Y44" s="4">
        <f t="shared" si="9"/>
        <v>0.42505489559162402</v>
      </c>
      <c r="Z44" s="4">
        <f t="shared" si="13"/>
        <v>1942857</v>
      </c>
      <c r="AA44" s="40">
        <f>180498-AA43</f>
        <v>90650</v>
      </c>
      <c r="AB44" s="4">
        <f t="shared" si="12"/>
        <v>-2.3359326407558334E-2</v>
      </c>
      <c r="AC44" s="72">
        <f t="shared" si="14"/>
        <v>-2.3636480062466731E-2</v>
      </c>
      <c r="AD44" s="107">
        <f t="shared" si="8"/>
        <v>-2.1702255277833982E-2</v>
      </c>
      <c r="AE44" s="105"/>
      <c r="AF44" s="105"/>
      <c r="AG44" s="105"/>
      <c r="AK44" s="320" t="s">
        <v>19</v>
      </c>
      <c r="AL44" s="4">
        <f>(188.274+222.001)-AL43</f>
        <v>172.36499999999998</v>
      </c>
      <c r="AM44" s="4">
        <f>961.477-478.636-AL44</f>
        <v>310.476</v>
      </c>
      <c r="AN44" s="4">
        <f t="shared" si="5"/>
        <v>482.84100000000001</v>
      </c>
      <c r="AO44" s="72">
        <f t="shared" si="10"/>
        <v>2.4256090007168703E-4</v>
      </c>
      <c r="AQ44" s="40">
        <f>222.001-AQ43</f>
        <v>147.09199999999998</v>
      </c>
      <c r="AR44" s="4">
        <f t="shared" si="7"/>
        <v>0.96360917913735289</v>
      </c>
      <c r="AS44" s="4">
        <f t="shared" si="6"/>
        <v>0.85337510515475878</v>
      </c>
    </row>
    <row r="45" spans="1:48">
      <c r="A45" s="56">
        <v>37103</v>
      </c>
      <c r="B45" s="202">
        <v>0.98840430958780612</v>
      </c>
      <c r="C45" s="321" t="s">
        <v>20</v>
      </c>
      <c r="D45" s="60">
        <f>(B129*B130*B131)-1</f>
        <v>5.8123018294797824E-4</v>
      </c>
      <c r="E45" s="60">
        <f t="shared" si="1"/>
        <v>5.8123018294797824E-4</v>
      </c>
      <c r="F45" s="59"/>
      <c r="G45" s="311">
        <v>-4.2252724978126804E-3</v>
      </c>
      <c r="H45" s="312">
        <f t="shared" si="2"/>
        <v>0.99577472750218732</v>
      </c>
      <c r="I45" s="5">
        <f>(H129*H130*H131)-1</f>
        <v>-7.6863110493250786E-2</v>
      </c>
      <c r="J45" s="281">
        <f t="shared" si="3"/>
        <v>-7.6863110493250786E-2</v>
      </c>
      <c r="K45" s="105"/>
      <c r="L45" s="105">
        <v>9.7768506046860305E-3</v>
      </c>
      <c r="M45" s="58">
        <v>1.009776850604686</v>
      </c>
      <c r="N45" s="332" t="s">
        <v>20</v>
      </c>
      <c r="O45" s="106">
        <f>(M129*M130*M131)-1</f>
        <v>-0.13799866940525107</v>
      </c>
      <c r="P45" s="106">
        <f t="shared" si="4"/>
        <v>-0.13799866940525107</v>
      </c>
      <c r="Q45" s="106"/>
      <c r="R45" s="105"/>
      <c r="S45" s="316"/>
      <c r="T45" s="105"/>
      <c r="U45" s="320" t="s">
        <v>20</v>
      </c>
      <c r="V45" s="4">
        <v>3002305</v>
      </c>
      <c r="W45" s="4">
        <v>883725</v>
      </c>
      <c r="X45" s="4">
        <f>V45-W45</f>
        <v>2118580</v>
      </c>
      <c r="Y45" s="4">
        <f t="shared" si="9"/>
        <v>0.41713081403581642</v>
      </c>
      <c r="Z45" s="4">
        <f t="shared" si="13"/>
        <v>2071165</v>
      </c>
      <c r="AA45" s="40">
        <f>308806-(AA44+AA43)</f>
        <v>128308</v>
      </c>
      <c r="AB45" s="4">
        <f t="shared" si="12"/>
        <v>-1.6326760263374318E-4</v>
      </c>
      <c r="AC45" s="72">
        <f t="shared" si="14"/>
        <v>-1.6328093223965968E-4</v>
      </c>
      <c r="AD45" s="107">
        <f t="shared" si="8"/>
        <v>5.8123018294797824E-4</v>
      </c>
      <c r="AE45" s="124"/>
      <c r="AF45" s="105"/>
      <c r="AG45" s="105"/>
      <c r="AK45" s="320" t="s">
        <v>20</v>
      </c>
      <c r="AL45" s="40">
        <f>(262.695+259.721+135.771)-(AL44+AL43)</f>
        <v>247.91199999999992</v>
      </c>
      <c r="AM45" s="40">
        <f>1369.791-961.477-AL45</f>
        <v>160.40200000000004</v>
      </c>
      <c r="AN45" s="4">
        <f t="shared" si="5"/>
        <v>408.31399999999996</v>
      </c>
      <c r="AO45" s="72">
        <f t="shared" si="10"/>
        <v>1.9273003615629335E-4</v>
      </c>
      <c r="AQ45" s="40">
        <f>259.721-SUM(AQ43:AQ44)</f>
        <v>37.720000000000027</v>
      </c>
      <c r="AR45" s="4">
        <f t="shared" si="7"/>
        <v>-0.74356185244608797</v>
      </c>
      <c r="AS45" s="4">
        <f t="shared" si="6"/>
        <v>0.15215076317402965</v>
      </c>
    </row>
    <row r="46" spans="1:48">
      <c r="A46" s="56">
        <v>37134</v>
      </c>
      <c r="B46" s="202">
        <v>0.97847848228810974</v>
      </c>
      <c r="C46" s="321" t="s">
        <v>21</v>
      </c>
      <c r="D46" s="60">
        <f>(B132*B133*B134)-1</f>
        <v>3.4482735135633824E-2</v>
      </c>
      <c r="E46" s="60">
        <f t="shared" si="1"/>
        <v>3.4482735135633824E-2</v>
      </c>
      <c r="F46" s="59"/>
      <c r="G46" s="311">
        <v>-1.62294791496191E-2</v>
      </c>
      <c r="H46" s="312">
        <f t="shared" si="2"/>
        <v>0.98377052085038086</v>
      </c>
      <c r="I46" s="5">
        <f>(H132*H133*H134)-1</f>
        <v>-0.10297383500642565</v>
      </c>
      <c r="J46" s="281">
        <f t="shared" si="3"/>
        <v>-0.10297383500642565</v>
      </c>
      <c r="K46" s="105"/>
      <c r="L46" s="105">
        <v>8.4507104890696513E-3</v>
      </c>
      <c r="M46" s="58">
        <v>1.0084507104890696</v>
      </c>
      <c r="N46" s="332" t="s">
        <v>21</v>
      </c>
      <c r="O46" s="106">
        <f>(M132*M133*M134)-1</f>
        <v>-0.12652314663566466</v>
      </c>
      <c r="P46" s="106">
        <f t="shared" si="4"/>
        <v>-0.12652314663566466</v>
      </c>
      <c r="Q46" s="106">
        <f>P43+P44+P45+P46</f>
        <v>-0.30360971535845727</v>
      </c>
      <c r="R46" s="105"/>
      <c r="S46" s="316"/>
      <c r="T46" s="105"/>
      <c r="U46" s="320" t="s">
        <v>21</v>
      </c>
      <c r="V46" s="4">
        <v>3048617</v>
      </c>
      <c r="W46" s="4">
        <v>775228</v>
      </c>
      <c r="X46" s="4">
        <f t="shared" si="11"/>
        <v>2273389</v>
      </c>
      <c r="Y46" s="4">
        <f t="shared" si="9"/>
        <v>0.34100103413890009</v>
      </c>
      <c r="Z46" s="4">
        <f t="shared" si="13"/>
        <v>2147904</v>
      </c>
      <c r="AA46" s="40">
        <f>385545-(AA45+AA44+AA43)</f>
        <v>76739</v>
      </c>
      <c r="AB46" s="4">
        <f t="shared" si="12"/>
        <v>3.6850154348667452E-2</v>
      </c>
      <c r="AC46" s="72">
        <f t="shared" si="14"/>
        <v>3.6187419624764836E-2</v>
      </c>
      <c r="AD46" s="107">
        <f t="shared" si="8"/>
        <v>3.4482735135633824E-2</v>
      </c>
      <c r="AE46" s="124">
        <f>AD46+AD45+AD44+AD43</f>
        <v>-6.4914799515809363E-2</v>
      </c>
      <c r="AF46" s="4">
        <f>((1+AC43)*(AC44+1)*(AC45+1)*(AC46+1))-1</f>
        <v>-7.2843481442374847E-2</v>
      </c>
      <c r="AK46" s="320" t="s">
        <v>21</v>
      </c>
      <c r="AL46" s="40">
        <f>(420.376+486.859+258.43)-SUM(AL43:AL45)</f>
        <v>507.47800000000007</v>
      </c>
      <c r="AM46" s="40">
        <f>2165.223-1369.791-AL46</f>
        <v>287.95399999999995</v>
      </c>
      <c r="AN46" s="4">
        <f t="shared" si="5"/>
        <v>795.43200000000002</v>
      </c>
      <c r="AO46" s="72">
        <f t="shared" si="10"/>
        <v>3.4988820654978099E-4</v>
      </c>
      <c r="AQ46" s="40">
        <f>486.859-SUM(AQ43:AQ45)</f>
        <v>227.13799999999998</v>
      </c>
      <c r="AR46" s="4">
        <f t="shared" si="7"/>
        <v>5.0216861081654249</v>
      </c>
      <c r="AS46" s="4">
        <f t="shared" si="6"/>
        <v>0.44758196414425838</v>
      </c>
      <c r="AT46" s="4">
        <f>AQ46+AQ45+AQ44+AQ43</f>
        <v>486.85899999999998</v>
      </c>
      <c r="AU46" s="4">
        <f>AL46+AL45+AL44+AL43</f>
        <v>1165.665</v>
      </c>
      <c r="AV46" s="4">
        <f>AT46/AU46</f>
        <v>0.41766631064671239</v>
      </c>
    </row>
    <row r="47" spans="1:48">
      <c r="A47" s="56">
        <v>37164</v>
      </c>
      <c r="B47" s="202">
        <v>0.96822246983374916</v>
      </c>
      <c r="C47" s="321" t="s">
        <v>22</v>
      </c>
      <c r="D47" s="60">
        <f>(B135*B136*B137)-1</f>
        <v>-0.106741443100975</v>
      </c>
      <c r="E47" s="60">
        <f t="shared" si="1"/>
        <v>-0.106741443100975</v>
      </c>
      <c r="F47" s="59"/>
      <c r="G47" s="311">
        <v>-3.3376783412340301E-2</v>
      </c>
      <c r="H47" s="312">
        <f t="shared" si="2"/>
        <v>0.96662321658765971</v>
      </c>
      <c r="I47" s="313">
        <f>(H135*H136*H137)-1</f>
        <v>-4.8071815932155926E-2</v>
      </c>
      <c r="J47" s="281">
        <f t="shared" si="3"/>
        <v>-4.8071815932155926E-2</v>
      </c>
      <c r="K47" s="105"/>
      <c r="L47" s="105">
        <v>-3.2094099702928799E-2</v>
      </c>
      <c r="M47" s="58">
        <v>0.96790590029707124</v>
      </c>
      <c r="N47" s="332" t="s">
        <v>22</v>
      </c>
      <c r="O47" s="106">
        <f>(M135*M136*M137)-1</f>
        <v>-7.366808233547173E-2</v>
      </c>
      <c r="P47" s="106">
        <f t="shared" si="4"/>
        <v>-7.366808233547173E-2</v>
      </c>
      <c r="Q47" s="106"/>
      <c r="R47" s="105"/>
      <c r="S47" s="316"/>
      <c r="T47" s="105"/>
      <c r="U47" s="320" t="s">
        <v>22</v>
      </c>
      <c r="V47" s="4">
        <v>2704159</v>
      </c>
      <c r="W47" s="4">
        <v>628537</v>
      </c>
      <c r="X47" s="4">
        <f t="shared" si="11"/>
        <v>2075622</v>
      </c>
      <c r="Y47" s="4">
        <f t="shared" si="9"/>
        <v>0.30281862497121342</v>
      </c>
      <c r="Z47" s="4">
        <f>Z48-AA48</f>
        <v>2194248</v>
      </c>
      <c r="AA47" s="40">
        <v>46344</v>
      </c>
      <c r="AB47" s="4">
        <f t="shared" si="12"/>
        <v>-0.10737757594498787</v>
      </c>
      <c r="AC47" s="76">
        <f t="shared" si="14"/>
        <v>-0.11359160492572361</v>
      </c>
      <c r="AD47" s="107">
        <f t="shared" si="8"/>
        <v>-0.106741443100975</v>
      </c>
      <c r="AK47" s="320" t="s">
        <v>22</v>
      </c>
      <c r="AL47" s="4">
        <f>121.941+414.501</f>
        <v>536.44200000000001</v>
      </c>
      <c r="AM47" s="4">
        <f>858.398-AL47</f>
        <v>321.95600000000002</v>
      </c>
      <c r="AN47" s="4">
        <f t="shared" ref="AN47:AN78" si="15">AM47+AL47</f>
        <v>858.39800000000002</v>
      </c>
      <c r="AO47" s="72">
        <f t="shared" si="10"/>
        <v>4.1356181424170683E-4</v>
      </c>
      <c r="AQ47" s="4">
        <v>414.50099999999998</v>
      </c>
      <c r="AR47" s="4">
        <f t="shared" si="7"/>
        <v>0.82488619253493489</v>
      </c>
      <c r="AS47" s="4">
        <f t="shared" ref="AS47:AS78" si="16">AQ47/AL47</f>
        <v>0.77268558390282638</v>
      </c>
    </row>
    <row r="48" spans="1:48">
      <c r="A48" s="56">
        <v>37195</v>
      </c>
      <c r="B48" s="202">
        <v>1.0210040814980139</v>
      </c>
      <c r="C48" s="321" t="s">
        <v>23</v>
      </c>
      <c r="D48" s="60">
        <f>(B138*B139*B140)-1</f>
        <v>0.12858354253208848</v>
      </c>
      <c r="E48" s="60">
        <f t="shared" si="1"/>
        <v>0.12858354253208848</v>
      </c>
      <c r="F48" s="59"/>
      <c r="G48" s="311">
        <v>2.92458332243275E-2</v>
      </c>
      <c r="H48" s="312">
        <f t="shared" si="2"/>
        <v>1.0292458332243275</v>
      </c>
      <c r="I48" s="5">
        <f>(H138*H139*H140)-1</f>
        <v>0.12671205615099046</v>
      </c>
      <c r="J48" s="281">
        <f t="shared" si="3"/>
        <v>0.12671205615099046</v>
      </c>
      <c r="K48" s="105"/>
      <c r="L48" s="105">
        <v>1.96360751286138E-2</v>
      </c>
      <c r="M48" s="58">
        <v>1.0196360751286138</v>
      </c>
      <c r="N48" s="332" t="s">
        <v>23</v>
      </c>
      <c r="O48" s="106">
        <f>(M138*M139*M140)-1</f>
        <v>0.18391202391512773</v>
      </c>
      <c r="P48" s="106">
        <f t="shared" si="4"/>
        <v>0.18391202391512773</v>
      </c>
      <c r="Q48" s="106"/>
      <c r="R48" s="105"/>
      <c r="S48" s="316"/>
      <c r="T48" s="105"/>
      <c r="U48" s="320" t="s">
        <v>23</v>
      </c>
      <c r="V48" s="4">
        <v>2907506</v>
      </c>
      <c r="W48" s="4">
        <v>523732</v>
      </c>
      <c r="X48" s="4">
        <f t="shared" si="11"/>
        <v>2383774</v>
      </c>
      <c r="Y48" s="4">
        <f t="shared" si="9"/>
        <v>0.2197070695460224</v>
      </c>
      <c r="Z48" s="4">
        <f>Z49-AA49</f>
        <v>2234622</v>
      </c>
      <c r="AA48" s="40">
        <f>86718-AA47</f>
        <v>40374</v>
      </c>
      <c r="AB48" s="4">
        <f t="shared" si="12"/>
        <v>0.12901096635129128</v>
      </c>
      <c r="AC48" s="72">
        <f t="shared" si="14"/>
        <v>0.12134199845187547</v>
      </c>
      <c r="AD48" s="107">
        <f t="shared" si="8"/>
        <v>0.12858354253208848</v>
      </c>
      <c r="AK48" s="320" t="s">
        <v>23</v>
      </c>
      <c r="AL48" s="4">
        <f>(227.261+771.313)-AL47</f>
        <v>462.13199999999995</v>
      </c>
      <c r="AM48" s="4">
        <f>1620.572-858.398-AL48</f>
        <v>300.04199999999992</v>
      </c>
      <c r="AN48" s="4">
        <f t="shared" si="15"/>
        <v>762.17399999999986</v>
      </c>
      <c r="AO48" s="72">
        <f t="shared" si="10"/>
        <v>3.1973416943049124E-4</v>
      </c>
      <c r="AQ48" s="4">
        <f>771.313-AQ47</f>
        <v>356.81200000000001</v>
      </c>
      <c r="AR48" s="4">
        <f t="shared" si="7"/>
        <v>-0.13917698630401365</v>
      </c>
      <c r="AS48" s="4">
        <f t="shared" si="16"/>
        <v>0.77209974639280565</v>
      </c>
    </row>
    <row r="49" spans="1:48">
      <c r="A49" s="56">
        <v>37225</v>
      </c>
      <c r="B49" s="202">
        <v>1.0170944723118145</v>
      </c>
      <c r="C49" s="321" t="s">
        <v>24</v>
      </c>
      <c r="D49" s="60">
        <f>(B141*B142*B143)-1</f>
        <v>4.7643274058354557E-2</v>
      </c>
      <c r="E49" s="60">
        <f t="shared" si="1"/>
        <v>4.7643274058354557E-2</v>
      </c>
      <c r="F49" s="59"/>
      <c r="G49" s="311">
        <v>1.61811554721214E-2</v>
      </c>
      <c r="H49" s="312">
        <f t="shared" si="2"/>
        <v>1.0161811554721214</v>
      </c>
      <c r="I49" s="5">
        <f>(H141*H142*H143)-1</f>
        <v>0.13510021580988751</v>
      </c>
      <c r="J49" s="281">
        <f t="shared" si="3"/>
        <v>0.13510021580988751</v>
      </c>
      <c r="K49" s="105"/>
      <c r="L49" s="105">
        <v>1.1253420633774699E-2</v>
      </c>
      <c r="M49" s="58">
        <v>1.0112534206337747</v>
      </c>
      <c r="N49" s="332" t="s">
        <v>24</v>
      </c>
      <c r="O49" s="106">
        <f>(M141*M142*M143)-1</f>
        <v>0.1621612663323686</v>
      </c>
      <c r="P49" s="106">
        <f t="shared" si="4"/>
        <v>0.1621612663323686</v>
      </c>
      <c r="Q49" s="106"/>
      <c r="R49" s="105"/>
      <c r="S49" s="316"/>
      <c r="T49" s="105"/>
      <c r="U49" s="320" t="s">
        <v>24</v>
      </c>
      <c r="V49" s="4">
        <v>2978498</v>
      </c>
      <c r="W49" s="4">
        <v>432459</v>
      </c>
      <c r="X49" s="4">
        <f t="shared" si="11"/>
        <v>2546039</v>
      </c>
      <c r="Y49" s="4">
        <f t="shared" si="9"/>
        <v>0.16985560708221673</v>
      </c>
      <c r="Z49" s="4">
        <f>Z50-AA50</f>
        <v>2283554</v>
      </c>
      <c r="AA49" s="40">
        <f>135650-(AA48+AA47)</f>
        <v>48932</v>
      </c>
      <c r="AB49" s="4">
        <f t="shared" si="12"/>
        <v>4.7543517128721069E-2</v>
      </c>
      <c r="AC49" s="72">
        <f t="shared" si="14"/>
        <v>4.6447915749537792E-2</v>
      </c>
      <c r="AD49" s="107">
        <f t="shared" si="8"/>
        <v>4.7643274058354557E-2</v>
      </c>
      <c r="AK49" s="320" t="s">
        <v>24</v>
      </c>
      <c r="AL49" s="4">
        <f>(317.835+1240.875)-(AL48+AL47)</f>
        <v>560.13600000000008</v>
      </c>
      <c r="AM49" s="40">
        <f>2504.383-1620.572-AL49</f>
        <v>323.67499999999984</v>
      </c>
      <c r="AN49" s="4">
        <f t="shared" si="15"/>
        <v>883.81099999999992</v>
      </c>
      <c r="AO49" s="72">
        <f t="shared" si="10"/>
        <v>3.4713176035402441E-4</v>
      </c>
      <c r="AQ49" s="4">
        <f>1240.875-SUM(AQ47:AQ48)</f>
        <v>469.56200000000001</v>
      </c>
      <c r="AR49" s="4">
        <f t="shared" si="7"/>
        <v>0.31599273567032493</v>
      </c>
      <c r="AS49" s="4">
        <f t="shared" si="16"/>
        <v>0.83829998428952957</v>
      </c>
    </row>
    <row r="50" spans="1:48">
      <c r="A50" s="56">
        <v>37256</v>
      </c>
      <c r="B50" s="202">
        <v>0.99624369693827231</v>
      </c>
      <c r="C50" s="321" t="s">
        <v>25</v>
      </c>
      <c r="D50" s="60">
        <f>(B144*B145*B146)-1</f>
        <v>2.1472940775040694E-2</v>
      </c>
      <c r="E50" s="60">
        <f t="shared" si="1"/>
        <v>2.1472940775040694E-2</v>
      </c>
      <c r="F50" s="59"/>
      <c r="G50" s="311">
        <v>2.1158634881099899E-3</v>
      </c>
      <c r="H50" s="312">
        <f t="shared" si="2"/>
        <v>1.00211586348811</v>
      </c>
      <c r="I50" s="5">
        <f>(H144*H145*H146)-1</f>
        <v>3.1792917143632193E-2</v>
      </c>
      <c r="J50" s="281">
        <f t="shared" si="3"/>
        <v>3.1792917143632193E-2</v>
      </c>
      <c r="K50" s="105"/>
      <c r="L50" s="105">
        <v>-7.8104538804366595E-3</v>
      </c>
      <c r="M50" s="58">
        <v>0.99218954611956334</v>
      </c>
      <c r="N50" s="332" t="s">
        <v>25</v>
      </c>
      <c r="O50" s="106">
        <f>(M144*M145*M146)-1</f>
        <v>2.5981935372354714E-2</v>
      </c>
      <c r="P50" s="106">
        <f t="shared" si="4"/>
        <v>2.5981935372354714E-2</v>
      </c>
      <c r="Q50" s="106">
        <f>P47+P48+P49+P50</f>
        <v>0.29838714328437932</v>
      </c>
      <c r="R50" s="105"/>
      <c r="S50" s="316"/>
      <c r="T50" s="105"/>
      <c r="U50" s="320" t="s">
        <v>25</v>
      </c>
      <c r="V50" s="4">
        <v>2934161</v>
      </c>
      <c r="W50" s="4">
        <v>297346</v>
      </c>
      <c r="X50" s="4">
        <f t="shared" si="11"/>
        <v>2636815</v>
      </c>
      <c r="Y50" s="4">
        <f t="shared" si="9"/>
        <v>0.11276710728663179</v>
      </c>
      <c r="Z50" s="4">
        <f>Z51-AA51</f>
        <v>2319481</v>
      </c>
      <c r="AA50" s="40">
        <f>171577-(AA49+AA48+AA47)</f>
        <v>35927</v>
      </c>
      <c r="AB50" s="4">
        <f t="shared" si="12"/>
        <v>2.1542875030586828E-2</v>
      </c>
      <c r="AC50" s="72">
        <f t="shared" si="14"/>
        <v>2.1314107013986429E-2</v>
      </c>
      <c r="AD50" s="107">
        <f t="shared" si="8"/>
        <v>2.1472940775040694E-2</v>
      </c>
      <c r="AE50" s="124">
        <f>AD50+AD49+AD48+AD47</f>
        <v>9.0958314264508733E-2</v>
      </c>
      <c r="AF50" s="4">
        <f>((1+AC47)*(AC48+1)*(AC49+1)*(AC50+1))-1</f>
        <v>6.2304196190066774E-2</v>
      </c>
      <c r="AK50" s="320" t="s">
        <v>25</v>
      </c>
      <c r="AL50" s="4">
        <f>(431.931+1401.762)-SUM(AL47:AL49)</f>
        <v>274.98299999999995</v>
      </c>
      <c r="AM50" s="40">
        <f>3227.979-2504.383-AL50</f>
        <v>448.61300000000006</v>
      </c>
      <c r="AN50" s="4">
        <f t="shared" si="15"/>
        <v>723.596</v>
      </c>
      <c r="AO50" s="72">
        <f t="shared" si="10"/>
        <v>2.7442046559959647E-4</v>
      </c>
      <c r="AQ50" s="4">
        <f>1401.762-SUM(AQ47:AQ49)</f>
        <v>160.88699999999994</v>
      </c>
      <c r="AR50" s="4">
        <f t="shared" si="7"/>
        <v>-0.65736793011359529</v>
      </c>
      <c r="AS50" s="4">
        <f t="shared" si="16"/>
        <v>0.58507980493339584</v>
      </c>
      <c r="AT50" s="4">
        <f>AQ50+AQ49+AQ48+AQ47</f>
        <v>1401.7619999999999</v>
      </c>
      <c r="AU50" s="4">
        <f>AL50+AL49+AL48+AL47</f>
        <v>1833.693</v>
      </c>
      <c r="AV50" s="4">
        <f>AT50/AU50</f>
        <v>0.76444748384816863</v>
      </c>
    </row>
    <row r="51" spans="1:48">
      <c r="A51" s="56">
        <v>37287</v>
      </c>
      <c r="B51" s="202">
        <v>0.98942813755669023</v>
      </c>
      <c r="C51" s="321" t="s">
        <v>26</v>
      </c>
      <c r="D51" s="60">
        <f>(B147*B148*B149)-1</f>
        <v>3.9026726799592737E-2</v>
      </c>
      <c r="E51" s="60">
        <f t="shared" si="1"/>
        <v>3.9026726799592737E-2</v>
      </c>
      <c r="F51" s="59"/>
      <c r="G51" s="311">
        <v>-5.9433179388983497E-3</v>
      </c>
      <c r="H51" s="312">
        <f t="shared" si="2"/>
        <v>0.99405668206110165</v>
      </c>
      <c r="I51" s="5">
        <f>(H147*H148*H149)-1</f>
        <v>3.8677851781318662E-2</v>
      </c>
      <c r="J51" s="281">
        <f t="shared" si="3"/>
        <v>3.8677851781318662E-2</v>
      </c>
      <c r="K51" s="105"/>
      <c r="L51" s="105">
        <v>-2.5200431223187502E-2</v>
      </c>
      <c r="M51" s="58">
        <v>0.97479956877681251</v>
      </c>
      <c r="N51" s="332" t="s">
        <v>26</v>
      </c>
      <c r="O51" s="106">
        <f>(M147*M148*M149)-1</f>
        <v>1.1211751836495587E-2</v>
      </c>
      <c r="P51" s="106">
        <f t="shared" si="4"/>
        <v>1.1211751836495587E-2</v>
      </c>
      <c r="Q51" s="106"/>
      <c r="R51" s="105"/>
      <c r="S51" s="316"/>
      <c r="T51" s="105"/>
      <c r="U51" s="320" t="s">
        <v>26</v>
      </c>
      <c r="V51" s="4">
        <v>3063870</v>
      </c>
      <c r="W51" s="4">
        <v>301515</v>
      </c>
      <c r="X51" s="4">
        <f t="shared" si="11"/>
        <v>2762355</v>
      </c>
      <c r="Y51" s="4">
        <f t="shared" si="9"/>
        <v>0.10915143057282645</v>
      </c>
      <c r="Z51" s="4">
        <v>2342046</v>
      </c>
      <c r="AA51" s="40">
        <v>22565</v>
      </c>
      <c r="AB51" s="4">
        <f t="shared" si="12"/>
        <v>3.905279665050454E-2</v>
      </c>
      <c r="AC51" s="72">
        <f t="shared" si="14"/>
        <v>3.8309525696611516E-2</v>
      </c>
      <c r="AD51" s="107">
        <f t="shared" si="8"/>
        <v>3.9026726799592737E-2</v>
      </c>
      <c r="AK51" s="320" t="s">
        <v>26</v>
      </c>
      <c r="AL51" s="4">
        <f>107.99+184.733</f>
        <v>292.72300000000001</v>
      </c>
      <c r="AM51" s="4">
        <f>642.792-AL51</f>
        <v>350.06900000000002</v>
      </c>
      <c r="AN51" s="4">
        <f t="shared" si="15"/>
        <v>642.79200000000003</v>
      </c>
      <c r="AO51" s="72">
        <f t="shared" si="10"/>
        <v>2.3269710084330219E-4</v>
      </c>
      <c r="AQ51" s="4">
        <v>184.733</v>
      </c>
      <c r="AR51" s="4">
        <f t="shared" si="7"/>
        <v>0.14821582850074932</v>
      </c>
      <c r="AS51" s="4">
        <f t="shared" si="16"/>
        <v>0.63108467732292983</v>
      </c>
    </row>
    <row r="52" spans="1:48">
      <c r="A52" s="56">
        <v>37315</v>
      </c>
      <c r="B52" s="202">
        <v>0.98193476702564331</v>
      </c>
      <c r="C52" s="321" t="s">
        <v>27</v>
      </c>
      <c r="D52" s="60">
        <f>(B150*B151*B152)-1</f>
        <v>-2.2771480758975171E-3</v>
      </c>
      <c r="E52" s="60">
        <f t="shared" si="1"/>
        <v>-2.2771480758975171E-3</v>
      </c>
      <c r="F52" s="59"/>
      <c r="G52" s="311">
        <v>1.0206309042248801E-3</v>
      </c>
      <c r="H52" s="312">
        <f t="shared" si="2"/>
        <v>1.0010206309042249</v>
      </c>
      <c r="I52" s="5">
        <f>(H150*H151*H152)-1</f>
        <v>-5.3796245560534306E-2</v>
      </c>
      <c r="J52" s="281">
        <f t="shared" si="3"/>
        <v>-5.3796245560534306E-2</v>
      </c>
      <c r="K52" s="105"/>
      <c r="L52" s="105">
        <v>3.2248785757294004E-3</v>
      </c>
      <c r="M52" s="58">
        <v>1.0032248785757294</v>
      </c>
      <c r="N52" s="332" t="s">
        <v>27</v>
      </c>
      <c r="O52" s="106">
        <f>(M150*M151*M152)-1</f>
        <v>-8.9336162910913175E-2</v>
      </c>
      <c r="P52" s="106">
        <f t="shared" si="4"/>
        <v>-8.9336162910913175E-2</v>
      </c>
      <c r="Q52" s="106"/>
      <c r="R52" s="105"/>
      <c r="S52" s="316"/>
      <c r="T52" s="105"/>
      <c r="U52" s="320" t="s">
        <v>27</v>
      </c>
      <c r="V52" s="4">
        <v>3173182</v>
      </c>
      <c r="W52" s="4">
        <v>382470</v>
      </c>
      <c r="X52" s="4">
        <f t="shared" si="11"/>
        <v>2790712</v>
      </c>
      <c r="Y52" s="4">
        <f t="shared" si="9"/>
        <v>0.13705104647129479</v>
      </c>
      <c r="Z52" s="40">
        <v>2377527</v>
      </c>
      <c r="AA52" s="40">
        <f>58046-AA51</f>
        <v>35481</v>
      </c>
      <c r="AB52" s="4">
        <f t="shared" si="12"/>
        <v>-2.5789588955800191E-3</v>
      </c>
      <c r="AC52" s="72">
        <f t="shared" si="14"/>
        <v>-2.5822901387312657E-3</v>
      </c>
      <c r="AD52" s="107">
        <f t="shared" si="8"/>
        <v>-2.2771480758975171E-3</v>
      </c>
      <c r="AK52" s="320" t="s">
        <v>27</v>
      </c>
      <c r="AL52" s="4">
        <f>241.333+427.973-AL51</f>
        <v>376.58300000000003</v>
      </c>
      <c r="AM52" s="4">
        <f>1404.236-642.792-AL52</f>
        <v>384.86100000000005</v>
      </c>
      <c r="AN52" s="4">
        <f t="shared" si="15"/>
        <v>761.44400000000007</v>
      </c>
      <c r="AO52" s="72">
        <f t="shared" si="10"/>
        <v>2.7284936603992101E-4</v>
      </c>
      <c r="AQ52" s="4">
        <f>427.973-AQ51</f>
        <v>243.24</v>
      </c>
      <c r="AR52" s="4">
        <f t="shared" si="7"/>
        <v>0.31671114527453148</v>
      </c>
      <c r="AS52" s="4">
        <f t="shared" si="16"/>
        <v>0.64591338430040657</v>
      </c>
    </row>
    <row r="53" spans="1:48">
      <c r="A53" s="56">
        <v>37346</v>
      </c>
      <c r="B53" s="202">
        <v>1.0081725655437832</v>
      </c>
      <c r="C53" s="321" t="s">
        <v>28</v>
      </c>
      <c r="D53" s="60">
        <f>(B153*B154*B155)-1</f>
        <v>2.3914917562701143E-2</v>
      </c>
      <c r="E53" s="60">
        <f t="shared" si="1"/>
        <v>2.3914917562701143E-2</v>
      </c>
      <c r="F53" s="59"/>
      <c r="G53" s="311">
        <v>1.09307498467293E-2</v>
      </c>
      <c r="H53" s="312">
        <f t="shared" si="2"/>
        <v>1.0109307498467293</v>
      </c>
      <c r="I53" s="5">
        <f>(H153*H154*H155)-1</f>
        <v>7.2556167555883677E-2</v>
      </c>
      <c r="J53" s="281">
        <f t="shared" si="3"/>
        <v>7.2556167555883677E-2</v>
      </c>
      <c r="K53" s="105"/>
      <c r="L53" s="105">
        <v>1.71907197698054E-2</v>
      </c>
      <c r="M53" s="58">
        <v>1.0171907197698054</v>
      </c>
      <c r="N53" s="332" t="s">
        <v>28</v>
      </c>
      <c r="O53" s="106">
        <f>(M153*M154*M155)-1</f>
        <v>0.13702952360709664</v>
      </c>
      <c r="P53" s="106">
        <f t="shared" si="4"/>
        <v>0.13702952360709664</v>
      </c>
      <c r="Q53" s="106"/>
      <c r="R53" s="105"/>
      <c r="S53" s="316"/>
      <c r="T53" s="105"/>
      <c r="U53" s="320" t="s">
        <v>28</v>
      </c>
      <c r="V53" s="4">
        <v>3282039</v>
      </c>
      <c r="W53" s="40">
        <v>376201</v>
      </c>
      <c r="X53" s="4">
        <f t="shared" si="11"/>
        <v>2905838</v>
      </c>
      <c r="Y53" s="4">
        <f t="shared" si="9"/>
        <v>0.12946385861840887</v>
      </c>
      <c r="Z53" s="40">
        <v>2426260</v>
      </c>
      <c r="AA53" s="40">
        <f>106779-(AA52+AA51)</f>
        <v>48733</v>
      </c>
      <c r="AB53" s="4">
        <f t="shared" si="12"/>
        <v>2.3790702874392E-2</v>
      </c>
      <c r="AC53" s="76">
        <f t="shared" si="14"/>
        <v>2.3512114002254357E-2</v>
      </c>
      <c r="AD53" s="107">
        <f t="shared" si="8"/>
        <v>2.3914917562701143E-2</v>
      </c>
      <c r="AK53" s="320" t="s">
        <v>28</v>
      </c>
      <c r="AL53" s="4">
        <f>99+193</f>
        <v>292</v>
      </c>
      <c r="AM53" s="4">
        <f>2117.369-1404.236-AL53</f>
        <v>421.13300000000004</v>
      </c>
      <c r="AN53" s="4">
        <f t="shared" si="15"/>
        <v>713.13300000000004</v>
      </c>
      <c r="AO53" s="72">
        <f t="shared" si="10"/>
        <v>2.4541388749131919E-4</v>
      </c>
      <c r="AQ53" s="4">
        <v>193</v>
      </c>
      <c r="AR53" s="4">
        <f t="shared" si="7"/>
        <v>-0.2065449761552377</v>
      </c>
      <c r="AS53" s="4">
        <f t="shared" si="16"/>
        <v>0.66095890410958902</v>
      </c>
    </row>
    <row r="54" spans="1:48">
      <c r="A54" s="56">
        <v>37376</v>
      </c>
      <c r="B54" s="202">
        <v>0.96619134394261674</v>
      </c>
      <c r="C54" s="321" t="s">
        <v>29</v>
      </c>
      <c r="D54" s="60">
        <f>(B156*B157*B158)-1</f>
        <v>3.1485892189367481E-2</v>
      </c>
      <c r="E54" s="60">
        <f t="shared" si="1"/>
        <v>3.1485892189367481E-2</v>
      </c>
      <c r="F54" s="59"/>
      <c r="G54" s="311">
        <v>-5.1082561788361501E-3</v>
      </c>
      <c r="H54" s="312">
        <f t="shared" si="2"/>
        <v>0.99489174382116385</v>
      </c>
      <c r="I54" s="5">
        <f>(H156*H157*H158)-1</f>
        <v>3.9930798300378267E-2</v>
      </c>
      <c r="J54" s="281">
        <f t="shared" si="3"/>
        <v>3.9930798300378267E-2</v>
      </c>
      <c r="K54" s="105"/>
      <c r="L54" s="105">
        <v>1.51336671026312E-2</v>
      </c>
      <c r="M54" s="58">
        <v>1.0151336671026312</v>
      </c>
      <c r="N54" s="332" t="s">
        <v>29</v>
      </c>
      <c r="O54" s="106">
        <f>(M156*M157*M158)-1</f>
        <v>3.9240891499247255E-2</v>
      </c>
      <c r="P54" s="106">
        <f t="shared" si="4"/>
        <v>3.9240891499247255E-2</v>
      </c>
      <c r="Q54" s="106">
        <f>P51+P52+P53+P54</f>
        <v>9.8146004031926304E-2</v>
      </c>
      <c r="R54" s="105"/>
      <c r="S54" s="316"/>
      <c r="T54" s="105"/>
      <c r="U54" s="320" t="s">
        <v>29</v>
      </c>
      <c r="V54" s="4">
        <v>3420838</v>
      </c>
      <c r="W54" s="40">
        <v>346377</v>
      </c>
      <c r="X54" s="4">
        <f t="shared" si="11"/>
        <v>3074461</v>
      </c>
      <c r="Y54" s="4">
        <f t="shared" si="9"/>
        <v>0.11266267485585278</v>
      </c>
      <c r="Z54" s="31">
        <v>2504711</v>
      </c>
      <c r="AA54" s="50">
        <f>185230-(AA53+AA52+AA51)</f>
        <v>78451</v>
      </c>
      <c r="AB54" s="4">
        <f t="shared" si="12"/>
        <v>3.1031323838424552E-2</v>
      </c>
      <c r="AC54" s="72">
        <f>LN(AB54+1)</f>
        <v>3.0559586569831421E-2</v>
      </c>
      <c r="AD54" s="107">
        <f t="shared" si="8"/>
        <v>3.1485892189367481E-2</v>
      </c>
      <c r="AE54" s="124">
        <f>AD54+AD53+AD52+AD51</f>
        <v>9.2150388475763845E-2</v>
      </c>
      <c r="AF54" s="4">
        <f>((1+AC51)*(AC52+1)*(AC53+1)*(AC54+1))-1</f>
        <v>9.2370613242329203E-2</v>
      </c>
      <c r="AK54" s="320" t="s">
        <v>29</v>
      </c>
      <c r="AL54" s="40">
        <f>(452.151+986.143)-SUM(AL51:AL53)</f>
        <v>476.98800000000006</v>
      </c>
      <c r="AM54" s="40">
        <f>2959.494-2117.369-AL54</f>
        <v>365.13699999999994</v>
      </c>
      <c r="AN54" s="4">
        <f t="shared" si="15"/>
        <v>842.125</v>
      </c>
      <c r="AO54" s="72">
        <f t="shared" si="10"/>
        <v>2.7390980077483503E-4</v>
      </c>
      <c r="AQ54" s="4">
        <f>986.143-SUM(AQ51:AQ53)</f>
        <v>365.17000000000007</v>
      </c>
      <c r="AR54" s="4">
        <f t="shared" si="7"/>
        <v>0.89207253886010407</v>
      </c>
      <c r="AS54" s="4">
        <f t="shared" si="16"/>
        <v>0.76557481529933669</v>
      </c>
      <c r="AT54" s="4">
        <f>AQ54+AQ53+AQ52+AQ51</f>
        <v>986.14300000000003</v>
      </c>
      <c r="AU54" s="4">
        <f>AL54+AL53+AL52+AL51</f>
        <v>1438.2940000000001</v>
      </c>
      <c r="AV54" s="4">
        <f>AT54/AU54</f>
        <v>0.68563381339281115</v>
      </c>
    </row>
    <row r="55" spans="1:48">
      <c r="A55" s="56">
        <v>37407</v>
      </c>
      <c r="B55" s="202">
        <v>0.97162501262533296</v>
      </c>
      <c r="C55" s="321" t="s">
        <v>30</v>
      </c>
      <c r="D55" s="60">
        <f>(B159*B160*B161)-1</f>
        <v>-4.4770087879797416E-3</v>
      </c>
      <c r="E55" s="60">
        <f t="shared" si="1"/>
        <v>-4.4770087879797416E-3</v>
      </c>
      <c r="F55" s="59"/>
      <c r="G55" s="311">
        <v>-2.4985998233761899E-3</v>
      </c>
      <c r="H55" s="312">
        <f t="shared" si="2"/>
        <v>0.99750140017662381</v>
      </c>
      <c r="I55" s="5">
        <f>(H159*H160*H161)-1</f>
        <v>2.0634583711355514E-2</v>
      </c>
      <c r="J55" s="281">
        <f t="shared" si="3"/>
        <v>2.0634583711355514E-2</v>
      </c>
      <c r="K55" s="105"/>
      <c r="L55" s="105">
        <v>1.9355577503000102E-2</v>
      </c>
      <c r="M55" s="58">
        <v>1.0193555775030001</v>
      </c>
      <c r="N55" s="332" t="s">
        <v>30</v>
      </c>
      <c r="O55" s="106">
        <f>(M159*M160*M161)-1</f>
        <v>4.6048246290932848E-2</v>
      </c>
      <c r="P55" s="106">
        <f t="shared" si="4"/>
        <v>4.6048246290932848E-2</v>
      </c>
      <c r="Q55" s="106"/>
      <c r="R55" s="105"/>
      <c r="S55" s="316"/>
      <c r="T55" s="105"/>
      <c r="U55" s="320" t="s">
        <v>30</v>
      </c>
      <c r="V55" s="4">
        <v>3533770</v>
      </c>
      <c r="W55" s="40">
        <v>432568</v>
      </c>
      <c r="X55" s="4">
        <f t="shared" si="11"/>
        <v>3101202</v>
      </c>
      <c r="Y55" s="4">
        <f t="shared" si="9"/>
        <v>0.13948398072747276</v>
      </c>
      <c r="Z55" s="40">
        <v>2546166</v>
      </c>
      <c r="AA55" s="51"/>
      <c r="AB55" s="4">
        <f t="shared" si="12"/>
        <v>-4.7858795411618305E-3</v>
      </c>
      <c r="AC55" s="72">
        <f t="shared" si="14"/>
        <v>-4.7973685339336696E-3</v>
      </c>
      <c r="AD55" s="180">
        <f t="shared" si="8"/>
        <v>-4.4770087879797416E-3</v>
      </c>
      <c r="AK55" s="320" t="s">
        <v>30</v>
      </c>
      <c r="AL55" s="4">
        <f>123+48</f>
        <v>171</v>
      </c>
      <c r="AM55" s="4">
        <f>613-AL55</f>
        <v>442</v>
      </c>
      <c r="AN55" s="4">
        <f t="shared" si="15"/>
        <v>613</v>
      </c>
      <c r="AO55" s="72">
        <f t="shared" si="10"/>
        <v>1.97665292360833E-4</v>
      </c>
      <c r="AQ55" s="4">
        <v>48</v>
      </c>
      <c r="AR55" s="4">
        <f t="shared" si="7"/>
        <v>-0.86855437193635843</v>
      </c>
      <c r="AS55" s="4">
        <f t="shared" si="16"/>
        <v>0.2807017543859649</v>
      </c>
    </row>
    <row r="56" spans="1:48">
      <c r="A56" s="56">
        <v>37437</v>
      </c>
      <c r="B56" s="202">
        <v>0.94597358979344726</v>
      </c>
      <c r="C56" s="321" t="s">
        <v>31</v>
      </c>
      <c r="D56" s="60">
        <f>(B162*B163*B164)-1</f>
        <v>-1.3896877508319694E-2</v>
      </c>
      <c r="E56" s="60">
        <f t="shared" si="1"/>
        <v>-1.3896877508319694E-2</v>
      </c>
      <c r="F56" s="59"/>
      <c r="G56" s="311">
        <v>-2.18745679462664E-2</v>
      </c>
      <c r="H56" s="312">
        <f t="shared" si="2"/>
        <v>0.97812543205373359</v>
      </c>
      <c r="I56" s="5">
        <f>(H162*H163*H164)-1</f>
        <v>2.922854954744647E-3</v>
      </c>
      <c r="J56" s="281">
        <f t="shared" si="3"/>
        <v>2.922854954744647E-3</v>
      </c>
      <c r="K56" s="105"/>
      <c r="L56" s="105">
        <v>1.0010819597035901E-2</v>
      </c>
      <c r="M56" s="58">
        <v>1.0100108195970359</v>
      </c>
      <c r="N56" s="332" t="s">
        <v>31</v>
      </c>
      <c r="O56" s="106">
        <f>(M162*M163*M164)-1</f>
        <v>1.66669986382042E-2</v>
      </c>
      <c r="P56" s="106">
        <f t="shared" si="4"/>
        <v>1.66669986382042E-2</v>
      </c>
      <c r="Q56" s="106"/>
      <c r="R56" s="105"/>
      <c r="S56" s="316"/>
      <c r="T56" s="105"/>
      <c r="U56" s="320" t="s">
        <v>31</v>
      </c>
      <c r="V56" s="4">
        <v>3561728</v>
      </c>
      <c r="W56" s="40">
        <v>451721</v>
      </c>
      <c r="X56" s="4">
        <f t="shared" si="11"/>
        <v>3110007</v>
      </c>
      <c r="Y56" s="4">
        <f t="shared" si="9"/>
        <v>0.1452475830440253</v>
      </c>
      <c r="Z56" s="4">
        <v>2599056</v>
      </c>
      <c r="AA56" s="51"/>
      <c r="AB56" s="4">
        <f t="shared" si="12"/>
        <v>-1.4215455813584521E-2</v>
      </c>
      <c r="AC56" s="72">
        <f t="shared" si="14"/>
        <v>-1.4317463281307381E-2</v>
      </c>
      <c r="AD56" s="107">
        <f t="shared" si="8"/>
        <v>-1.3896877508319694E-2</v>
      </c>
      <c r="AK56" s="320" t="s">
        <v>31</v>
      </c>
      <c r="AL56" s="4">
        <f>88+170</f>
        <v>258</v>
      </c>
      <c r="AM56" s="4">
        <f>633-AL56</f>
        <v>375</v>
      </c>
      <c r="AN56" s="4">
        <f t="shared" si="15"/>
        <v>633</v>
      </c>
      <c r="AO56" s="72">
        <f t="shared" si="10"/>
        <v>2.0353651937117826E-4</v>
      </c>
      <c r="AQ56" s="4">
        <v>170</v>
      </c>
      <c r="AR56" s="4">
        <f t="shared" si="7"/>
        <v>2.5416666666666665</v>
      </c>
      <c r="AS56" s="4">
        <f t="shared" si="16"/>
        <v>0.65891472868217049</v>
      </c>
    </row>
    <row r="57" spans="1:48">
      <c r="A57" s="56">
        <v>37468</v>
      </c>
      <c r="B57" s="202">
        <v>0.98401423142381916</v>
      </c>
      <c r="C57" s="321" t="s">
        <v>32</v>
      </c>
      <c r="D57" s="60">
        <f>(B165*B166*B167)-1</f>
        <v>-4.2990145778545652E-2</v>
      </c>
      <c r="E57" s="60">
        <f t="shared" si="1"/>
        <v>-4.2990145778545652E-2</v>
      </c>
      <c r="F57" s="59"/>
      <c r="G57" s="311">
        <v>-2.8815834337149099E-2</v>
      </c>
      <c r="H57" s="312">
        <f t="shared" si="2"/>
        <v>0.97118416566285093</v>
      </c>
      <c r="I57" s="5">
        <f>(H165*H166*H167)-1</f>
        <v>-8.799517476976304E-2</v>
      </c>
      <c r="J57" s="281">
        <f t="shared" si="3"/>
        <v>-8.799517476976304E-2</v>
      </c>
      <c r="K57" s="105"/>
      <c r="L57" s="105">
        <v>-3.0748694396113798E-2</v>
      </c>
      <c r="M57" s="58">
        <v>0.96925130560388617</v>
      </c>
      <c r="N57" s="332" t="s">
        <v>32</v>
      </c>
      <c r="O57" s="106">
        <f>(M165*M166*M167)-1</f>
        <v>-0.12539796928419322</v>
      </c>
      <c r="P57" s="106">
        <f t="shared" si="4"/>
        <v>-0.12539796928419322</v>
      </c>
      <c r="Q57" s="106"/>
      <c r="R57" s="105"/>
      <c r="S57" s="316"/>
      <c r="T57" s="105"/>
      <c r="U57" s="320" t="s">
        <v>32</v>
      </c>
      <c r="V57" s="4">
        <v>3502304</v>
      </c>
      <c r="W57" s="40">
        <v>449484</v>
      </c>
      <c r="X57" s="4">
        <f t="shared" si="11"/>
        <v>3052820</v>
      </c>
      <c r="Y57" s="4">
        <f t="shared" si="9"/>
        <v>0.14723567062584758</v>
      </c>
      <c r="Z57" s="4">
        <v>2676842</v>
      </c>
      <c r="AA57" s="51"/>
      <c r="AB57" s="4">
        <f t="shared" si="12"/>
        <v>-4.3399580772647828E-2</v>
      </c>
      <c r="AC57" s="72">
        <f t="shared" si="14"/>
        <v>-4.4369509488752255E-2</v>
      </c>
      <c r="AD57" s="107">
        <f t="shared" si="8"/>
        <v>-4.2990145778545652E-2</v>
      </c>
      <c r="AK57" s="320" t="s">
        <v>32</v>
      </c>
      <c r="AL57" s="4">
        <f>84+211</f>
        <v>295</v>
      </c>
      <c r="AM57" s="4">
        <f>689-AL57</f>
        <v>394</v>
      </c>
      <c r="AN57" s="4">
        <f t="shared" si="15"/>
        <v>689</v>
      </c>
      <c r="AO57" s="72">
        <f t="shared" si="10"/>
        <v>2.2569296584797006E-4</v>
      </c>
      <c r="AQ57" s="4">
        <v>211</v>
      </c>
      <c r="AR57" s="4">
        <f t="shared" si="7"/>
        <v>0.24117647058823533</v>
      </c>
      <c r="AS57" s="4">
        <f t="shared" si="16"/>
        <v>0.71525423728813564</v>
      </c>
    </row>
    <row r="58" spans="1:48">
      <c r="A58" s="56">
        <v>37499</v>
      </c>
      <c r="B58" s="202">
        <v>0.99920756436527192</v>
      </c>
      <c r="C58" s="321" t="s">
        <v>33</v>
      </c>
      <c r="D58" s="60">
        <f>(B168*B169*B170)-1</f>
        <v>4.9602769377185219E-2</v>
      </c>
      <c r="E58" s="60">
        <f t="shared" si="1"/>
        <v>4.9602769377185219E-2</v>
      </c>
      <c r="F58" s="59"/>
      <c r="G58" s="311">
        <v>1.02726857773443E-2</v>
      </c>
      <c r="H58" s="312">
        <f t="shared" si="2"/>
        <v>1.0102726857773443</v>
      </c>
      <c r="I58" s="5">
        <f>(H168*H169*H170)-1</f>
        <v>4.3935616462367433E-2</v>
      </c>
      <c r="J58" s="281">
        <f t="shared" si="3"/>
        <v>4.3935616462367433E-2</v>
      </c>
      <c r="K58" s="105"/>
      <c r="L58" s="105">
        <v>1.0642391518408401E-2</v>
      </c>
      <c r="M58" s="58">
        <v>1.0106423915184084</v>
      </c>
      <c r="N58" s="332" t="s">
        <v>33</v>
      </c>
      <c r="O58" s="106">
        <f>(M168*M169*M170)-1</f>
        <v>3.2551857675324758E-2</v>
      </c>
      <c r="P58" s="106">
        <f t="shared" si="4"/>
        <v>3.2551857675324758E-2</v>
      </c>
      <c r="Q58" s="106">
        <f>P55+P56+P57+P58</f>
        <v>-3.0130866679731416E-2</v>
      </c>
      <c r="R58" s="105"/>
      <c r="S58" s="316"/>
      <c r="T58" s="105"/>
      <c r="U58" s="320" t="s">
        <v>33</v>
      </c>
      <c r="V58" s="4">
        <v>3377307</v>
      </c>
      <c r="W58" s="40">
        <v>68274</v>
      </c>
      <c r="X58" s="40">
        <f t="shared" si="11"/>
        <v>3309033</v>
      </c>
      <c r="Y58" s="4">
        <f t="shared" si="9"/>
        <v>2.0632613817994562E-2</v>
      </c>
      <c r="Z58" s="4">
        <v>2778866</v>
      </c>
      <c r="AB58" s="4">
        <f t="shared" si="12"/>
        <v>5.0507072149684529E-2</v>
      </c>
      <c r="AC58" s="72">
        <f t="shared" si="14"/>
        <v>4.9272973455111453E-2</v>
      </c>
      <c r="AD58" s="107">
        <f t="shared" si="8"/>
        <v>4.9602769377185219E-2</v>
      </c>
      <c r="AE58" s="124">
        <f>AD58+AD57+AD56+AD55</f>
        <v>-1.1761262697659869E-2</v>
      </c>
      <c r="AF58" s="4">
        <f>((1+AC55)*(AC56+1)*(AC57+1)*(AC58+1))-1</f>
        <v>-1.6380652433209186E-2</v>
      </c>
      <c r="AK58" s="320" t="s">
        <v>33</v>
      </c>
      <c r="AL58" s="4">
        <f>(371+546)-SUM(AL55:AL57)</f>
        <v>193</v>
      </c>
      <c r="AM58" s="4">
        <f>2539-AL58-SUM(AN55:AN57)</f>
        <v>411</v>
      </c>
      <c r="AN58" s="4">
        <f t="shared" si="15"/>
        <v>604</v>
      </c>
      <c r="AO58" s="72">
        <f t="shared" si="10"/>
        <v>1.8253066681414177E-4</v>
      </c>
      <c r="AQ58" s="4">
        <f>546-SUM(AQ55:AQ57)</f>
        <v>117</v>
      </c>
      <c r="AR58" s="4">
        <f t="shared" si="7"/>
        <v>-0.4454976303317536</v>
      </c>
      <c r="AS58" s="4">
        <f t="shared" si="16"/>
        <v>0.60621761658031093</v>
      </c>
      <c r="AT58" s="4">
        <f>AQ58+AQ57+AQ56+AQ55</f>
        <v>546</v>
      </c>
      <c r="AU58" s="4">
        <f>AL58+AL57+AL56+AL55</f>
        <v>917</v>
      </c>
      <c r="AV58" s="4">
        <f>AT58/AU58</f>
        <v>0.59541984732824427</v>
      </c>
    </row>
    <row r="59" spans="1:48">
      <c r="A59" s="56">
        <v>37529</v>
      </c>
      <c r="B59" s="202">
        <v>0.95304492196028712</v>
      </c>
      <c r="C59" s="321" t="s">
        <v>34</v>
      </c>
      <c r="D59" s="60">
        <f>(B171*B172*B173)-1</f>
        <v>3.739736323405185E-2</v>
      </c>
      <c r="E59" s="60">
        <f t="shared" si="1"/>
        <v>3.739736323405185E-2</v>
      </c>
      <c r="F59" s="59"/>
      <c r="G59" s="311">
        <v>-3.3105346460381199E-2</v>
      </c>
      <c r="H59" s="312">
        <f t="shared" si="2"/>
        <v>0.96689465353961879</v>
      </c>
      <c r="I59" s="5">
        <f>(H171*H172*H173)-1</f>
        <v>7.1143735357415805E-2</v>
      </c>
      <c r="J59" s="281">
        <f t="shared" si="3"/>
        <v>7.1143735357415805E-2</v>
      </c>
      <c r="K59" s="105"/>
      <c r="L59" s="105">
        <v>-3.1317054815449601E-2</v>
      </c>
      <c r="M59" s="58">
        <v>0.96868294518455045</v>
      </c>
      <c r="N59" s="332" t="s">
        <v>34</v>
      </c>
      <c r="O59" s="106">
        <f>(M171*M172*M173)-1</f>
        <v>8.5392939036764925E-2</v>
      </c>
      <c r="P59" s="106">
        <f t="shared" si="4"/>
        <v>8.5392939036764925E-2</v>
      </c>
      <c r="Q59" s="106"/>
      <c r="R59" s="105"/>
      <c r="S59" s="316"/>
      <c r="T59" s="105"/>
      <c r="U59" s="320" t="s">
        <v>34</v>
      </c>
      <c r="V59" s="4">
        <v>3618759</v>
      </c>
      <c r="W59" s="40">
        <v>122897</v>
      </c>
      <c r="X59" s="40">
        <f t="shared" si="11"/>
        <v>3495862</v>
      </c>
      <c r="Y59" s="4">
        <f t="shared" si="9"/>
        <v>3.5154991816038504E-2</v>
      </c>
      <c r="Z59" s="40">
        <v>2841687</v>
      </c>
      <c r="AA59" s="40"/>
      <c r="AB59" s="4">
        <f t="shared" si="12"/>
        <v>3.7475600877960424E-2</v>
      </c>
      <c r="AC59" s="76">
        <f t="shared" si="14"/>
        <v>3.6790455620119775E-2</v>
      </c>
      <c r="AD59" s="180">
        <f t="shared" si="8"/>
        <v>3.739736323405185E-2</v>
      </c>
      <c r="AK59" s="320" t="s">
        <v>34</v>
      </c>
      <c r="AL59" s="4">
        <f>92+90</f>
        <v>182</v>
      </c>
      <c r="AM59" s="4">
        <f>579-AL59</f>
        <v>397</v>
      </c>
      <c r="AN59" s="4">
        <f t="shared" si="15"/>
        <v>579</v>
      </c>
      <c r="AO59" s="72">
        <f t="shared" si="10"/>
        <v>1.6562438677499282E-4</v>
      </c>
      <c r="AQ59" s="4">
        <v>90</v>
      </c>
      <c r="AR59" s="4">
        <f t="shared" si="7"/>
        <v>-0.23076923076923073</v>
      </c>
      <c r="AS59" s="4">
        <f t="shared" si="16"/>
        <v>0.49450549450549453</v>
      </c>
    </row>
    <row r="60" spans="1:48">
      <c r="A60" s="56">
        <v>37560</v>
      </c>
      <c r="B60" s="202">
        <v>1.0263832031802311</v>
      </c>
      <c r="C60" s="321" t="s">
        <v>35</v>
      </c>
      <c r="D60" s="60">
        <f>(B174*B175*B176)-1</f>
        <v>-2.108626782556966E-3</v>
      </c>
      <c r="E60" s="60">
        <f t="shared" si="1"/>
        <v>-2.108626782556966E-3</v>
      </c>
      <c r="F60" s="59"/>
      <c r="G60" s="311">
        <v>2.2492597354524899E-2</v>
      </c>
      <c r="H60" s="312">
        <f t="shared" si="2"/>
        <v>1.0224925973545249</v>
      </c>
      <c r="I60" s="5">
        <f>(H174*H175*H176)-1</f>
        <v>-2.1760683609779119E-2</v>
      </c>
      <c r="J60" s="281">
        <f t="shared" si="3"/>
        <v>-2.1760683609779119E-2</v>
      </c>
      <c r="K60" s="105"/>
      <c r="L60" s="105">
        <v>2.2822343830252598E-2</v>
      </c>
      <c r="M60" s="58">
        <v>1.0228223438302526</v>
      </c>
      <c r="N60" s="332" t="s">
        <v>35</v>
      </c>
      <c r="O60" s="106">
        <f>(M174*M175*M176)-1</f>
        <v>-4.2464435330273775E-2</v>
      </c>
      <c r="P60" s="106">
        <f t="shared" si="4"/>
        <v>-4.2464435330273775E-2</v>
      </c>
      <c r="Q60" s="106"/>
      <c r="R60" s="105"/>
      <c r="S60" s="316"/>
      <c r="T60" s="105"/>
      <c r="U60" s="320" t="s">
        <v>35</v>
      </c>
      <c r="V60" s="4">
        <v>3645629</v>
      </c>
      <c r="W60" s="40">
        <v>85690</v>
      </c>
      <c r="X60" s="4">
        <f t="shared" si="11"/>
        <v>3559939</v>
      </c>
      <c r="Y60" s="4">
        <f t="shared" si="9"/>
        <v>2.4070637165412103E-2</v>
      </c>
      <c r="Z60" s="59">
        <v>2913488</v>
      </c>
      <c r="AA60" s="59"/>
      <c r="AB60" s="4">
        <f t="shared" si="12"/>
        <v>-2.209469366925787E-3</v>
      </c>
      <c r="AC60" s="72">
        <f>LN(AB60+1)</f>
        <v>-2.2119138456985358E-3</v>
      </c>
      <c r="AD60" s="180">
        <f t="shared" si="8"/>
        <v>-2.108626782556966E-3</v>
      </c>
      <c r="AK60" s="320" t="s">
        <v>35</v>
      </c>
      <c r="AL60" s="4">
        <f>83+74</f>
        <v>157</v>
      </c>
      <c r="AM60" s="4">
        <f>546-AL60</f>
        <v>389</v>
      </c>
      <c r="AN60" s="4">
        <f t="shared" si="15"/>
        <v>546</v>
      </c>
      <c r="AO60" s="72">
        <f t="shared" si="10"/>
        <v>1.5337341454446269E-4</v>
      </c>
      <c r="AQ60" s="4">
        <v>74</v>
      </c>
      <c r="AR60" s="4">
        <f t="shared" si="7"/>
        <v>-0.17777777777777781</v>
      </c>
      <c r="AS60" s="4">
        <f t="shared" si="16"/>
        <v>0.4713375796178344</v>
      </c>
    </row>
    <row r="61" spans="1:48">
      <c r="A61" s="56">
        <v>37590</v>
      </c>
      <c r="B61" s="202">
        <v>1.0071979410684224</v>
      </c>
      <c r="C61" s="321" t="s">
        <v>36</v>
      </c>
      <c r="D61" s="60">
        <f>(B177*B178*B179)-1</f>
        <v>2.2900058419836888E-2</v>
      </c>
      <c r="E61" s="60">
        <f t="shared" si="1"/>
        <v>2.2900058419836888E-2</v>
      </c>
      <c r="F61" s="59"/>
      <c r="G61" s="311">
        <v>2.1293563870008698E-2</v>
      </c>
      <c r="H61" s="312">
        <f t="shared" si="2"/>
        <v>1.0212935638700087</v>
      </c>
      <c r="I61" s="5">
        <f>(H177*H178*H179)-1</f>
        <v>4.7438991124779895E-2</v>
      </c>
      <c r="J61" s="281">
        <f t="shared" si="3"/>
        <v>4.7438991124779895E-2</v>
      </c>
      <c r="K61" s="105"/>
      <c r="L61" s="105">
        <v>2.2752537522964703E-2</v>
      </c>
      <c r="M61" s="58">
        <v>1.0227525375229647</v>
      </c>
      <c r="N61" s="332" t="s">
        <v>36</v>
      </c>
      <c r="O61" s="106">
        <f>(M177*M178*M179)-1</f>
        <v>6.2146843955037889E-2</v>
      </c>
      <c r="P61" s="106">
        <f t="shared" si="4"/>
        <v>6.2146843955037889E-2</v>
      </c>
      <c r="Q61" s="106"/>
      <c r="R61" s="105"/>
      <c r="S61" s="316"/>
      <c r="T61" s="105"/>
      <c r="U61" s="320" t="s">
        <v>36</v>
      </c>
      <c r="V61" s="4">
        <v>3849973</v>
      </c>
      <c r="W61" s="40">
        <v>128040</v>
      </c>
      <c r="X61" s="40">
        <f t="shared" si="11"/>
        <v>3721933</v>
      </c>
      <c r="Y61" s="4">
        <f t="shared" si="9"/>
        <v>3.440147901641432E-2</v>
      </c>
      <c r="Z61" s="4">
        <v>2993941</v>
      </c>
      <c r="AB61" s="4">
        <f t="shared" si="12"/>
        <v>2.2905167757087952E-2</v>
      </c>
      <c r="AC61" s="76">
        <f t="shared" si="14"/>
        <v>2.2646782532866956E-2</v>
      </c>
      <c r="AD61" s="107">
        <f t="shared" si="8"/>
        <v>2.2900058419836888E-2</v>
      </c>
      <c r="AK61" s="320" t="s">
        <v>36</v>
      </c>
      <c r="AL61" s="4">
        <f>71+(-46)</f>
        <v>25</v>
      </c>
      <c r="AM61" s="4">
        <f>413-AL61</f>
        <v>388</v>
      </c>
      <c r="AN61" s="4">
        <f t="shared" si="15"/>
        <v>413</v>
      </c>
      <c r="AO61" s="72">
        <f t="shared" si="10"/>
        <v>1.1096384593704401E-4</v>
      </c>
      <c r="AQ61" s="4">
        <v>-46</v>
      </c>
      <c r="AR61" s="4">
        <f t="shared" si="7"/>
        <v>-1.6216216216216215</v>
      </c>
      <c r="AS61" s="4">
        <f t="shared" si="16"/>
        <v>-1.84</v>
      </c>
    </row>
    <row r="62" spans="1:48">
      <c r="A62" s="56">
        <v>37621</v>
      </c>
      <c r="B62" s="202">
        <v>0.96024021090163647</v>
      </c>
      <c r="C62" s="321" t="s">
        <v>37</v>
      </c>
      <c r="D62" s="60">
        <f>(B180*B181*B182)-1</f>
        <v>7.587268988067164E-3</v>
      </c>
      <c r="E62" s="60">
        <f t="shared" si="1"/>
        <v>7.587268988067164E-3</v>
      </c>
      <c r="F62" s="59"/>
      <c r="G62" s="311">
        <v>-1.5283937208132301E-2</v>
      </c>
      <c r="H62" s="312">
        <f t="shared" si="2"/>
        <v>0.98471606279186774</v>
      </c>
      <c r="I62" s="5">
        <f>(H180*H181*H182)-1</f>
        <v>3.3361708481477237E-2</v>
      </c>
      <c r="J62" s="281">
        <f t="shared" si="3"/>
        <v>3.3361708481477237E-2</v>
      </c>
      <c r="K62" s="105"/>
      <c r="L62" s="105">
        <v>1.5086922910322799E-2</v>
      </c>
      <c r="M62" s="58">
        <v>1.0150869229103228</v>
      </c>
      <c r="N62" s="332" t="s">
        <v>37</v>
      </c>
      <c r="O62" s="106">
        <f>(M180*M181*M182)-1</f>
        <v>3.6473760837857583E-2</v>
      </c>
      <c r="P62" s="106">
        <f t="shared" si="4"/>
        <v>3.6473760837857583E-2</v>
      </c>
      <c r="Q62" s="106">
        <f>P59+P60+P61+P62</f>
        <v>0.14154910849938662</v>
      </c>
      <c r="R62" s="105"/>
      <c r="S62" s="316"/>
      <c r="T62" s="105"/>
      <c r="U62" s="320" t="s">
        <v>37</v>
      </c>
      <c r="V62" s="4">
        <v>3877392</v>
      </c>
      <c r="W62" s="40">
        <v>63816</v>
      </c>
      <c r="X62" s="4">
        <f t="shared" si="11"/>
        <v>3813576</v>
      </c>
      <c r="Y62" s="4">
        <f t="shared" si="9"/>
        <v>1.673390015041001E-2</v>
      </c>
      <c r="Z62" s="4">
        <v>3057740</v>
      </c>
      <c r="AB62" s="4">
        <f t="shared" si="12"/>
        <v>7.4810589013827311E-3</v>
      </c>
      <c r="AC62" s="72">
        <f t="shared" si="14"/>
        <v>7.4532145640937948E-3</v>
      </c>
      <c r="AD62" s="107">
        <f t="shared" si="8"/>
        <v>7.587268988067164E-3</v>
      </c>
      <c r="AE62" s="124">
        <f>AD62+AD61+AD60+AD59</f>
        <v>6.5776063859398937E-2</v>
      </c>
      <c r="AF62" s="4">
        <f>((1+AC59)*(AC60+1)*(AC61+1)*(AC62+1))-1</f>
        <v>6.5810140254845662E-2</v>
      </c>
      <c r="AK62" s="320" t="s">
        <v>37</v>
      </c>
      <c r="AL62" s="4">
        <f>(272+307)-SUM(AL59:AL61)</f>
        <v>215</v>
      </c>
      <c r="AM62" s="4">
        <f>2193-AL62-SUM(AN59:AN61)</f>
        <v>440</v>
      </c>
      <c r="AN62" s="4">
        <f t="shared" si="15"/>
        <v>655</v>
      </c>
      <c r="AO62" s="72">
        <f t="shared" si="10"/>
        <v>1.7175480441454426E-4</v>
      </c>
      <c r="AQ62" s="4">
        <f>307-SUM(AQ59:AQ61)</f>
        <v>189</v>
      </c>
      <c r="AR62" s="4">
        <f t="shared" si="7"/>
        <v>-5.1086956521739131</v>
      </c>
      <c r="AS62" s="4">
        <f t="shared" si="16"/>
        <v>0.87906976744186049</v>
      </c>
      <c r="AT62" s="4">
        <f>AQ62+AQ61+AQ60+AQ59</f>
        <v>307</v>
      </c>
      <c r="AU62" s="4">
        <f>AL62+AL61+AL60+AL59</f>
        <v>579</v>
      </c>
      <c r="AV62" s="4">
        <f>AT62/AU62</f>
        <v>0.53022452504317785</v>
      </c>
    </row>
    <row r="63" spans="1:48">
      <c r="A63" s="56">
        <v>37652</v>
      </c>
      <c r="B63" s="202">
        <v>1.0025789195398864</v>
      </c>
      <c r="C63" s="321" t="s">
        <v>38</v>
      </c>
      <c r="D63" s="60">
        <f>(B183*B184*B185)-1</f>
        <v>7.959980614778206E-2</v>
      </c>
      <c r="E63" s="60">
        <f t="shared" si="1"/>
        <v>7.959980614778206E-2</v>
      </c>
      <c r="F63" s="59"/>
      <c r="G63" s="311">
        <v>-1.2372576342838301E-2</v>
      </c>
      <c r="H63" s="312">
        <f t="shared" si="2"/>
        <v>0.98762742365716172</v>
      </c>
      <c r="I63" s="5">
        <f>(H183*H184*H185)-1</f>
        <v>5.4487807741255612E-2</v>
      </c>
      <c r="J63" s="281">
        <f t="shared" si="3"/>
        <v>5.4487807741255612E-2</v>
      </c>
      <c r="K63" s="105"/>
      <c r="L63" s="105">
        <v>-3.0711321735998903E-4</v>
      </c>
      <c r="M63" s="58">
        <v>0.99969288678264001</v>
      </c>
      <c r="N63" s="332" t="s">
        <v>38</v>
      </c>
      <c r="O63" s="106">
        <f>(M183*M184*M185)-1</f>
        <v>3.0131645291717746E-2</v>
      </c>
      <c r="P63" s="106">
        <f>O63</f>
        <v>3.0131645291717746E-2</v>
      </c>
      <c r="Q63" s="106"/>
      <c r="R63" s="105"/>
      <c r="S63" s="316"/>
      <c r="T63" s="105"/>
      <c r="U63" s="320" t="s">
        <v>38</v>
      </c>
      <c r="V63" s="4">
        <v>4330006</v>
      </c>
      <c r="W63" s="40">
        <v>149016</v>
      </c>
      <c r="X63" s="4">
        <f t="shared" si="11"/>
        <v>4180990</v>
      </c>
      <c r="Y63" s="4">
        <f t="shared" si="9"/>
        <v>3.5641319400429083E-2</v>
      </c>
      <c r="Z63" s="40">
        <v>3120141</v>
      </c>
      <c r="AA63" s="40"/>
      <c r="AB63" s="4">
        <f t="shared" si="12"/>
        <v>7.9980836883806639E-2</v>
      </c>
      <c r="AC63" s="72">
        <f t="shared" si="14"/>
        <v>7.6943297352603371E-2</v>
      </c>
      <c r="AD63" s="180">
        <f t="shared" si="8"/>
        <v>7.959980614778206E-2</v>
      </c>
      <c r="AK63" s="320" t="s">
        <v>38</v>
      </c>
      <c r="AL63" s="4">
        <f>94+61+3</f>
        <v>158</v>
      </c>
      <c r="AM63" s="4">
        <f>577-AL63</f>
        <v>419</v>
      </c>
      <c r="AN63" s="4">
        <f t="shared" si="15"/>
        <v>577</v>
      </c>
      <c r="AO63" s="72">
        <f t="shared" si="10"/>
        <v>1.380055919770198E-4</v>
      </c>
      <c r="AQ63" s="4">
        <v>61</v>
      </c>
      <c r="AR63" s="4">
        <f t="shared" si="7"/>
        <v>-0.67724867724867721</v>
      </c>
      <c r="AS63" s="4">
        <f t="shared" si="16"/>
        <v>0.38607594936708861</v>
      </c>
    </row>
    <row r="64" spans="1:48">
      <c r="A64" s="56">
        <v>37680</v>
      </c>
      <c r="B64" s="202">
        <v>1.0309439218073992</v>
      </c>
      <c r="C64" s="321" t="s">
        <v>39</v>
      </c>
      <c r="D64" s="60">
        <f>(B186*B187*B188)-1</f>
        <v>3.7326066944281422E-2</v>
      </c>
      <c r="E64" s="60">
        <f t="shared" si="1"/>
        <v>3.7326066944281422E-2</v>
      </c>
      <c r="F64" s="59"/>
      <c r="G64" s="311">
        <v>1.6337197378213399E-4</v>
      </c>
      <c r="H64" s="312">
        <f t="shared" si="2"/>
        <v>1.0001633719737821</v>
      </c>
      <c r="I64" s="5">
        <f>(H186*H187*H188)-1</f>
        <v>6.119708693788084E-4</v>
      </c>
      <c r="J64" s="281">
        <f t="shared" si="3"/>
        <v>6.119708693788084E-4</v>
      </c>
      <c r="K64" s="105"/>
      <c r="L64" s="105">
        <v>-3.2209181540388004E-4</v>
      </c>
      <c r="M64" s="58">
        <v>0.99967790818459612</v>
      </c>
      <c r="N64" s="332" t="s">
        <v>39</v>
      </c>
      <c r="O64" s="106">
        <f>(M186*M187*M188)-1</f>
        <v>-9.145964174462673E-3</v>
      </c>
      <c r="P64" s="106">
        <f t="shared" si="4"/>
        <v>-9.145964174462673E-3</v>
      </c>
      <c r="Q64" s="106"/>
      <c r="R64" s="105"/>
      <c r="S64" s="316"/>
      <c r="T64" s="105"/>
      <c r="U64" s="320" t="s">
        <v>39</v>
      </c>
      <c r="V64" s="4">
        <v>4604794</v>
      </c>
      <c r="W64" s="40">
        <v>209537</v>
      </c>
      <c r="X64" s="40">
        <f t="shared" si="11"/>
        <v>4395257</v>
      </c>
      <c r="Y64" s="4">
        <f t="shared" si="9"/>
        <v>4.7673435250771459E-2</v>
      </c>
      <c r="Z64" s="4">
        <v>3178540</v>
      </c>
      <c r="AB64" s="4">
        <f t="shared" si="12"/>
        <v>3.7280165702381574E-2</v>
      </c>
      <c r="AC64" s="72">
        <f t="shared" si="14"/>
        <v>3.6602062191548657E-2</v>
      </c>
      <c r="AD64" s="107">
        <f t="shared" si="8"/>
        <v>3.7326066944281422E-2</v>
      </c>
      <c r="AK64" s="320" t="s">
        <v>39</v>
      </c>
      <c r="AL64" s="4">
        <f>97+244</f>
        <v>341</v>
      </c>
      <c r="AM64" s="4">
        <f>789-AL64</f>
        <v>448</v>
      </c>
      <c r="AN64" s="4">
        <f t="shared" si="15"/>
        <v>789</v>
      </c>
      <c r="AO64" s="72">
        <f t="shared" si="10"/>
        <v>1.7951168725742318E-4</v>
      </c>
      <c r="AQ64" s="4">
        <v>244</v>
      </c>
      <c r="AR64" s="4">
        <f t="shared" si="7"/>
        <v>3</v>
      </c>
      <c r="AS64" s="4">
        <f t="shared" si="16"/>
        <v>0.71554252199413493</v>
      </c>
    </row>
    <row r="65" spans="1:48">
      <c r="A65" s="56">
        <v>37711</v>
      </c>
      <c r="B65" s="202">
        <v>1.0128849703230276</v>
      </c>
      <c r="C65" s="321" t="s">
        <v>40</v>
      </c>
      <c r="D65" s="60">
        <f>(B189*B190*B191)-1</f>
        <v>5.8589550867522044E-2</v>
      </c>
      <c r="E65" s="60">
        <f t="shared" si="1"/>
        <v>5.8589550867522044E-2</v>
      </c>
      <c r="F65" s="59"/>
      <c r="G65" s="311">
        <v>-4.9105354500003102E-3</v>
      </c>
      <c r="H65" s="312">
        <f t="shared" si="2"/>
        <v>0.99508946454999969</v>
      </c>
      <c r="I65" s="5">
        <f>(H189*H190*H191)-1</f>
        <v>4.9896249149153693E-2</v>
      </c>
      <c r="J65" s="281">
        <f t="shared" si="3"/>
        <v>4.9896249149153693E-2</v>
      </c>
      <c r="K65" s="105"/>
      <c r="L65" s="105">
        <v>9.9508159566274998E-5</v>
      </c>
      <c r="M65" s="58">
        <v>1.0000995081595663</v>
      </c>
      <c r="N65" s="332" t="s">
        <v>40</v>
      </c>
      <c r="O65" s="106">
        <f>(M189*M190*M191)-1</f>
        <v>7.474759563946165E-2</v>
      </c>
      <c r="P65" s="106">
        <f t="shared" si="4"/>
        <v>7.474759563946165E-2</v>
      </c>
      <c r="Q65" s="106"/>
      <c r="R65" s="105"/>
      <c r="S65" s="316"/>
      <c r="T65" s="105"/>
      <c r="U65" s="320" t="s">
        <v>40</v>
      </c>
      <c r="V65" s="4">
        <v>4886210</v>
      </c>
      <c r="W65" s="40">
        <v>173906</v>
      </c>
      <c r="X65" s="4">
        <f t="shared" si="11"/>
        <v>4712304</v>
      </c>
      <c r="Y65" s="4">
        <f>W65/X65</f>
        <v>3.6904664894285261E-2</v>
      </c>
      <c r="Z65" s="4">
        <v>3237040</v>
      </c>
      <c r="AB65" s="4">
        <f t="shared" si="12"/>
        <v>5.8824091515012666E-2</v>
      </c>
      <c r="AC65" s="72">
        <f t="shared" si="14"/>
        <v>5.7158944715097436E-2</v>
      </c>
      <c r="AD65" s="107">
        <f t="shared" si="8"/>
        <v>5.8589550867522044E-2</v>
      </c>
      <c r="AK65" s="320" t="s">
        <v>40</v>
      </c>
      <c r="AL65" s="4">
        <f>84+29</f>
        <v>113</v>
      </c>
      <c r="AM65" s="4">
        <f>589-AL65</f>
        <v>476</v>
      </c>
      <c r="AN65" s="4">
        <f t="shared" si="15"/>
        <v>589</v>
      </c>
      <c r="AO65" s="72">
        <f t="shared" si="10"/>
        <v>1.2499193600412877E-4</v>
      </c>
      <c r="AQ65" s="4">
        <v>29</v>
      </c>
      <c r="AR65" s="4">
        <f t="shared" si="7"/>
        <v>-0.88114754098360659</v>
      </c>
      <c r="AS65" s="4">
        <f t="shared" si="16"/>
        <v>0.25663716814159293</v>
      </c>
    </row>
    <row r="66" spans="1:48">
      <c r="A66" s="56">
        <v>37741</v>
      </c>
      <c r="B66" s="202">
        <v>1.0112373624122641</v>
      </c>
      <c r="C66" s="321" t="s">
        <v>41</v>
      </c>
      <c r="D66" s="60">
        <f>(B192*B193*B194)-1</f>
        <v>5.532152023103909E-2</v>
      </c>
      <c r="E66" s="60">
        <f t="shared" si="1"/>
        <v>5.532152023103909E-2</v>
      </c>
      <c r="F66" s="59"/>
      <c r="G66" s="311">
        <v>3.7463511633210898E-2</v>
      </c>
      <c r="H66" s="312">
        <f t="shared" si="2"/>
        <v>1.0374635116332109</v>
      </c>
      <c r="I66" s="5">
        <f>(H192*H193*H194)-1</f>
        <v>4.664609738258263E-2</v>
      </c>
      <c r="J66" s="281">
        <f t="shared" si="3"/>
        <v>4.664609738258263E-2</v>
      </c>
      <c r="K66" s="105"/>
      <c r="L66" s="105">
        <v>4.8650456974631801E-2</v>
      </c>
      <c r="M66" s="58">
        <v>1.0486504569746318</v>
      </c>
      <c r="N66" s="332" t="s">
        <v>41</v>
      </c>
      <c r="O66" s="106">
        <f>(M192*M193*M194)-1</f>
        <v>4.6171811244636984E-2</v>
      </c>
      <c r="P66" s="106">
        <f t="shared" si="4"/>
        <v>4.6171811244636984E-2</v>
      </c>
      <c r="Q66" s="106">
        <f>P63+P64+P65+P66</f>
        <v>0.14190508800135371</v>
      </c>
      <c r="R66" s="105"/>
      <c r="S66" s="316"/>
      <c r="T66" s="105"/>
      <c r="U66" s="320" t="s">
        <v>41</v>
      </c>
      <c r="V66" s="4">
        <v>5163996</v>
      </c>
      <c r="W66" s="40">
        <v>129150</v>
      </c>
      <c r="X66" s="4">
        <f t="shared" si="11"/>
        <v>5034846</v>
      </c>
      <c r="Y66" s="4">
        <f t="shared" si="9"/>
        <v>2.5651231437863242E-2</v>
      </c>
      <c r="Z66" s="4">
        <v>3298941</v>
      </c>
      <c r="AB66" s="4">
        <f t="shared" si="12"/>
        <v>5.5310735470377015E-2</v>
      </c>
      <c r="AC66" s="72">
        <f>LN(AB66+1)</f>
        <v>5.3835259551698801E-2</v>
      </c>
      <c r="AD66" s="107">
        <f t="shared" si="8"/>
        <v>5.532152023103909E-2</v>
      </c>
      <c r="AE66" s="124">
        <f>AD66+AD65+AD64+AD63</f>
        <v>0.23083694419062462</v>
      </c>
      <c r="AF66" s="4">
        <f>((1+AC63)*(AC64+1)*(AC65+1)*(AC66+1))-1</f>
        <v>0.24370654591496366</v>
      </c>
      <c r="AK66" s="320" t="s">
        <v>41</v>
      </c>
      <c r="AL66" s="4">
        <f>(313+684)-SUM(AL63:AL65)</f>
        <v>385</v>
      </c>
      <c r="AM66" s="4">
        <f>2889-SUM(AN63:AN65)-AL66</f>
        <v>549</v>
      </c>
      <c r="AN66" s="4">
        <f t="shared" si="15"/>
        <v>934</v>
      </c>
      <c r="AO66" s="72">
        <f t="shared" si="10"/>
        <v>1.8550716347630098E-4</v>
      </c>
      <c r="AQ66" s="4">
        <f>684-SUM(AQ63:AQ65)</f>
        <v>350</v>
      </c>
      <c r="AR66" s="4">
        <f t="shared" si="7"/>
        <v>11.068965517241379</v>
      </c>
      <c r="AS66" s="4">
        <f t="shared" si="16"/>
        <v>0.90909090909090906</v>
      </c>
      <c r="AT66" s="4">
        <f>AQ66+AQ65+AQ64+AQ63</f>
        <v>684</v>
      </c>
      <c r="AU66" s="4">
        <f>AL66+AL65+AL64+AL63</f>
        <v>997</v>
      </c>
      <c r="AV66" s="4">
        <f>AT66/AU66</f>
        <v>0.68605817452357076</v>
      </c>
    </row>
    <row r="67" spans="1:48">
      <c r="A67" s="56">
        <v>37772</v>
      </c>
      <c r="B67" s="202">
        <v>1.0100641431421302</v>
      </c>
      <c r="C67" s="321" t="s">
        <v>42</v>
      </c>
      <c r="D67" s="60">
        <f>(B195*B196*B197)-1</f>
        <v>6.1212506542751566E-3</v>
      </c>
      <c r="E67" s="60">
        <f t="shared" si="1"/>
        <v>6.1212506542751566E-3</v>
      </c>
      <c r="F67" s="59"/>
      <c r="G67" s="311">
        <v>2.8962819358475701E-2</v>
      </c>
      <c r="H67" s="312">
        <f t="shared" si="2"/>
        <v>1.0289628193584757</v>
      </c>
      <c r="I67" s="5">
        <f>(H195*H196*H197)-1</f>
        <v>1.6990173287666277E-2</v>
      </c>
      <c r="J67" s="281">
        <f t="shared" si="3"/>
        <v>1.6990173287666277E-2</v>
      </c>
      <c r="K67" s="105"/>
      <c r="L67" s="105">
        <v>5.6125700158383696E-2</v>
      </c>
      <c r="M67" s="58">
        <v>1.0561257001583837</v>
      </c>
      <c r="N67" s="332" t="s">
        <v>42</v>
      </c>
      <c r="O67" s="106">
        <f>(M195*M196*M197)-1</f>
        <v>1.9531607307754051E-2</v>
      </c>
      <c r="P67" s="106">
        <f t="shared" si="4"/>
        <v>1.9531607307754051E-2</v>
      </c>
      <c r="Q67" s="106"/>
      <c r="R67" s="105"/>
      <c r="S67" s="316"/>
      <c r="T67" s="105"/>
      <c r="U67" s="320" t="s">
        <v>42</v>
      </c>
      <c r="V67" s="4">
        <v>5276134</v>
      </c>
      <c r="W67" s="40">
        <v>167374</v>
      </c>
      <c r="X67" s="4">
        <f t="shared" ref="X67:X78" si="17">V67-W67</f>
        <v>5108760</v>
      </c>
      <c r="Y67" s="4">
        <f t="shared" si="9"/>
        <v>3.2762157548994274E-2</v>
      </c>
      <c r="Z67" s="40">
        <v>3343041</v>
      </c>
      <c r="AA67" s="40"/>
      <c r="AB67" s="4">
        <f t="shared" si="12"/>
        <v>5.9215316615444102E-3</v>
      </c>
      <c r="AC67" s="72">
        <f t="shared" si="14"/>
        <v>5.9040682989260585E-3</v>
      </c>
      <c r="AD67" s="180">
        <f t="shared" ref="AD67:AD78" si="18">D67</f>
        <v>6.1212506542751566E-3</v>
      </c>
      <c r="AK67" s="320" t="s">
        <v>42</v>
      </c>
      <c r="AL67" s="4">
        <f>105+315+2</f>
        <v>422</v>
      </c>
      <c r="AM67" s="4">
        <f>934-AL67</f>
        <v>512</v>
      </c>
      <c r="AN67" s="4">
        <f t="shared" si="15"/>
        <v>934</v>
      </c>
      <c r="AO67" s="72">
        <f t="shared" si="10"/>
        <v>1.8282322912017789E-4</v>
      </c>
      <c r="AQ67" s="4">
        <v>315</v>
      </c>
      <c r="AR67" s="4">
        <f t="shared" si="7"/>
        <v>-9.9999999999999978E-2</v>
      </c>
      <c r="AS67" s="4">
        <f t="shared" si="16"/>
        <v>0.74644549763033174</v>
      </c>
    </row>
    <row r="68" spans="1:48">
      <c r="A68" s="56">
        <v>37802</v>
      </c>
      <c r="B68" s="202">
        <v>1.0781273633783319</v>
      </c>
      <c r="C68" s="321" t="s">
        <v>43</v>
      </c>
      <c r="D68" s="60">
        <f>(B198*B199*B200)-1</f>
        <v>6.310046641063094E-2</v>
      </c>
      <c r="E68" s="60">
        <f t="shared" ref="E68:E78" si="19">D68</f>
        <v>6.310046641063094E-2</v>
      </c>
      <c r="F68" s="59"/>
      <c r="G68" s="311">
        <v>9.2466734416152292E-3</v>
      </c>
      <c r="H68" s="312">
        <f t="shared" ref="H68:H131" si="20">G68+1</f>
        <v>1.0092466734416152</v>
      </c>
      <c r="I68" s="5">
        <f>(H198*H199*H200)-1</f>
        <v>3.2529914702323914E-2</v>
      </c>
      <c r="J68" s="281">
        <f t="shared" ref="J68:J77" si="21">I68</f>
        <v>3.2529914702323914E-2</v>
      </c>
      <c r="K68" s="105"/>
      <c r="L68" s="105">
        <v>-4.0518783306220401E-4</v>
      </c>
      <c r="M68" s="58">
        <v>0.9995948121669378</v>
      </c>
      <c r="N68" s="332" t="s">
        <v>43</v>
      </c>
      <c r="O68" s="106">
        <f>(M198*M199*M200)-1</f>
        <v>3.7243232472950805E-2</v>
      </c>
      <c r="P68" s="106">
        <f t="shared" ref="P68:P77" si="22">O68</f>
        <v>3.7243232472950805E-2</v>
      </c>
      <c r="Q68" s="106"/>
      <c r="R68" s="105"/>
      <c r="S68" s="316"/>
      <c r="T68" s="105"/>
      <c r="U68" s="320" t="s">
        <v>43</v>
      </c>
      <c r="V68" s="4">
        <v>5596828</v>
      </c>
      <c r="W68" s="40">
        <v>120342</v>
      </c>
      <c r="X68" s="4">
        <f t="shared" si="17"/>
        <v>5476486</v>
      </c>
      <c r="Y68" s="4">
        <f t="shared" ref="Y68:Y78" si="23">W68/X68</f>
        <v>2.1974309803768327E-2</v>
      </c>
      <c r="Z68" s="4">
        <v>3387341</v>
      </c>
      <c r="AB68" s="4">
        <f t="shared" ref="AB68:AB76" si="24">((X68-(Z68-Z67))/X67)-1</f>
        <v>6.3308121735998535E-2</v>
      </c>
      <c r="AC68" s="72">
        <f t="shared" si="14"/>
        <v>6.1384917881412246E-2</v>
      </c>
      <c r="AD68" s="107">
        <f t="shared" si="18"/>
        <v>6.310046641063094E-2</v>
      </c>
      <c r="AK68" s="320" t="s">
        <v>43</v>
      </c>
      <c r="AL68" s="4">
        <f>133+(-188)</f>
        <v>-55</v>
      </c>
      <c r="AM68" s="4">
        <f>435-AL68</f>
        <v>490</v>
      </c>
      <c r="AN68" s="4">
        <f t="shared" si="15"/>
        <v>435</v>
      </c>
      <c r="AO68" s="72">
        <f t="shared" si="10"/>
        <v>7.9430496124704785E-5</v>
      </c>
      <c r="AQ68" s="4">
        <v>-188</v>
      </c>
      <c r="AR68" s="4">
        <f t="shared" si="7"/>
        <v>-1.5968253968253969</v>
      </c>
      <c r="AS68" s="4">
        <f t="shared" si="16"/>
        <v>3.418181818181818</v>
      </c>
    </row>
    <row r="69" spans="1:48">
      <c r="A69" s="56">
        <v>37833</v>
      </c>
      <c r="B69" s="202">
        <v>0.99260015906978982</v>
      </c>
      <c r="C69" s="321" t="s">
        <v>44</v>
      </c>
      <c r="D69" s="60">
        <f>(B201*B202*B203)-1</f>
        <v>3.6401569281874213E-3</v>
      </c>
      <c r="E69" s="60">
        <f t="shared" si="19"/>
        <v>3.6401569281874213E-3</v>
      </c>
      <c r="F69" s="59"/>
      <c r="G69" s="311">
        <v>1.3770445714069699E-3</v>
      </c>
      <c r="H69" s="312">
        <f t="shared" si="20"/>
        <v>1.001377044571407</v>
      </c>
      <c r="I69" s="5">
        <f>(H201*H202*H203)-1</f>
        <v>7.3909613058198431E-4</v>
      </c>
      <c r="J69" s="281">
        <f t="shared" si="21"/>
        <v>7.3909613058198431E-4</v>
      </c>
      <c r="K69" s="105"/>
      <c r="L69" s="105">
        <v>-1.09076493333281E-2</v>
      </c>
      <c r="M69" s="58">
        <v>0.98909235066667189</v>
      </c>
      <c r="N69" s="332" t="s">
        <v>44</v>
      </c>
      <c r="O69" s="106">
        <f>(M201*M202*M203)-1</f>
        <v>-4.1121467446430415E-2</v>
      </c>
      <c r="P69" s="106">
        <f t="shared" si="22"/>
        <v>-4.1121467446430415E-2</v>
      </c>
      <c r="Q69" s="106"/>
      <c r="R69" s="105"/>
      <c r="S69" s="316"/>
      <c r="T69" s="105"/>
      <c r="U69" s="320" t="s">
        <v>44</v>
      </c>
      <c r="V69" s="4">
        <v>5631042</v>
      </c>
      <c r="W69" s="40">
        <v>98876</v>
      </c>
      <c r="X69" s="4">
        <f t="shared" si="17"/>
        <v>5532166</v>
      </c>
      <c r="Y69" s="4">
        <f>W69/X69</f>
        <v>1.7872927168129084E-2</v>
      </c>
      <c r="Z69" s="4">
        <v>3423840</v>
      </c>
      <c r="AB69" s="4">
        <f t="shared" si="24"/>
        <v>3.5024283819953261E-3</v>
      </c>
      <c r="AC69" s="72">
        <f t="shared" ref="AC69:AC77" si="25">LN(AB69+1)</f>
        <v>3.4963091636300652E-3</v>
      </c>
      <c r="AD69" s="107">
        <f t="shared" si="18"/>
        <v>3.6401569281874213E-3</v>
      </c>
      <c r="AK69" s="320" t="s">
        <v>44</v>
      </c>
      <c r="AL69" s="4">
        <f>140+78</f>
        <v>218</v>
      </c>
      <c r="AM69" s="4">
        <f>741-AL69</f>
        <v>523</v>
      </c>
      <c r="AN69" s="4">
        <f t="shared" si="15"/>
        <v>741</v>
      </c>
      <c r="AO69" s="72">
        <f t="shared" si="10"/>
        <v>1.3394391997637091E-4</v>
      </c>
      <c r="AQ69" s="4">
        <v>78</v>
      </c>
      <c r="AR69" s="4">
        <f t="shared" si="7"/>
        <v>-1.4148936170212765</v>
      </c>
      <c r="AS69" s="4">
        <f t="shared" si="16"/>
        <v>0.3577981651376147</v>
      </c>
    </row>
    <row r="70" spans="1:48">
      <c r="A70" s="56">
        <v>37864</v>
      </c>
      <c r="B70" s="202">
        <v>1.0387920697159789</v>
      </c>
      <c r="C70" s="321" t="s">
        <v>45</v>
      </c>
      <c r="D70" s="60">
        <f>(B204*B205*B206)-1</f>
        <v>0.15724076628847561</v>
      </c>
      <c r="E70" s="60">
        <f t="shared" si="19"/>
        <v>0.15724076628847561</v>
      </c>
      <c r="F70" s="59"/>
      <c r="G70" s="311">
        <v>1.2650959668132801E-2</v>
      </c>
      <c r="H70" s="312">
        <f t="shared" si="20"/>
        <v>1.0126509596681328</v>
      </c>
      <c r="I70" s="5">
        <f>(H204*H205*H206)-1</f>
        <v>2.3708565059496145E-2</v>
      </c>
      <c r="J70" s="281">
        <f t="shared" si="21"/>
        <v>2.3708565059496145E-2</v>
      </c>
      <c r="K70" s="105"/>
      <c r="L70" s="105">
        <v>3.8432476484819801E-3</v>
      </c>
      <c r="M70" s="58">
        <v>1.003843247648482</v>
      </c>
      <c r="N70" s="332" t="s">
        <v>45</v>
      </c>
      <c r="O70" s="106">
        <f>(M204*M205*M206)-1</f>
        <v>-8.6537426653634508E-3</v>
      </c>
      <c r="P70" s="106">
        <f t="shared" si="22"/>
        <v>-8.6537426653634508E-3</v>
      </c>
      <c r="Q70" s="106">
        <f>P67+P68+P69+P70</f>
        <v>6.9996296689109894E-3</v>
      </c>
      <c r="R70" s="105"/>
      <c r="S70" s="316"/>
      <c r="T70" s="105"/>
      <c r="U70" s="320" t="s">
        <v>45</v>
      </c>
      <c r="V70" s="4">
        <v>6483471</v>
      </c>
      <c r="W70" s="40">
        <v>55934</v>
      </c>
      <c r="X70" s="4">
        <f t="shared" si="17"/>
        <v>6427537</v>
      </c>
      <c r="Y70" s="4">
        <f>W70/X70</f>
        <v>8.702244732313482E-3</v>
      </c>
      <c r="Z70" s="4">
        <v>3448941</v>
      </c>
      <c r="AB70" s="4">
        <f t="shared" si="24"/>
        <v>0.15731089775686402</v>
      </c>
      <c r="AC70" s="72">
        <f t="shared" si="25"/>
        <v>0.14609912236334477</v>
      </c>
      <c r="AD70" s="107">
        <f t="shared" si="18"/>
        <v>0.15724076628847561</v>
      </c>
      <c r="AE70" s="124">
        <f>AD70+AD69+AD68+AD67</f>
        <v>0.23010264028156913</v>
      </c>
      <c r="AF70" s="4">
        <f>((1+AC67)*(AC68+1)*(AC69+1)*(AC70+1))-1</f>
        <v>0.22791254442772835</v>
      </c>
      <c r="AK70" s="320" t="s">
        <v>45</v>
      </c>
      <c r="AL70" s="4">
        <f>(445+649)-SUM(AL67:AL69)</f>
        <v>509</v>
      </c>
      <c r="AM70" s="4">
        <f>3202-SUM(AN67:AN69)-AL70</f>
        <v>583</v>
      </c>
      <c r="AN70" s="4">
        <f t="shared" si="15"/>
        <v>1092</v>
      </c>
      <c r="AO70" s="72">
        <f t="shared" si="10"/>
        <v>1.6989400449970182E-4</v>
      </c>
      <c r="AQ70" s="4">
        <f>649-SUM(AQ67:AQ69)</f>
        <v>444</v>
      </c>
      <c r="AR70" s="4">
        <f t="shared" si="7"/>
        <v>4.6923076923076925</v>
      </c>
      <c r="AS70" s="4">
        <f t="shared" si="16"/>
        <v>0.87229862475442044</v>
      </c>
      <c r="AT70" s="4">
        <f>AQ70+AQ69+AQ68+AQ67</f>
        <v>649</v>
      </c>
      <c r="AU70" s="4">
        <f>AL70+AL69+AL68+AL67</f>
        <v>1094</v>
      </c>
      <c r="AV70" s="4">
        <f>AT70/AU70</f>
        <v>0.59323583180987205</v>
      </c>
    </row>
    <row r="71" spans="1:48">
      <c r="A71" s="56">
        <v>37894</v>
      </c>
      <c r="B71" s="202">
        <v>0.97729577334584727</v>
      </c>
      <c r="C71" s="321" t="s">
        <v>46</v>
      </c>
      <c r="D71" s="60">
        <f>(B207*B208*B209)-1</f>
        <v>8.9505854323508105E-2</v>
      </c>
      <c r="E71" s="60">
        <f t="shared" si="19"/>
        <v>8.9505854323508105E-2</v>
      </c>
      <c r="F71" s="59"/>
      <c r="G71" s="311">
        <v>2.76170032542056E-3</v>
      </c>
      <c r="H71" s="312">
        <f t="shared" si="20"/>
        <v>1.0027617003254206</v>
      </c>
      <c r="I71" s="5">
        <f>(H207*H208*H209)-1</f>
        <v>5.2769510305090694E-2</v>
      </c>
      <c r="J71" s="281">
        <f t="shared" si="21"/>
        <v>5.2769510305090694E-2</v>
      </c>
      <c r="K71" s="105"/>
      <c r="L71" s="105">
        <v>3.8280669532609696E-2</v>
      </c>
      <c r="M71" s="58">
        <v>1.0382806695326097</v>
      </c>
      <c r="N71" s="332" t="s">
        <v>46</v>
      </c>
      <c r="O71" s="106">
        <f>(M207*M208*M209)-1</f>
        <v>1.359017980707744E-2</v>
      </c>
      <c r="P71" s="106">
        <f t="shared" si="22"/>
        <v>1.359017980707744E-2</v>
      </c>
      <c r="Q71" s="106"/>
      <c r="R71" s="105"/>
      <c r="S71" s="316"/>
      <c r="T71" s="105"/>
      <c r="U71" s="320" t="s">
        <v>46</v>
      </c>
      <c r="V71" s="4">
        <v>7128402</v>
      </c>
      <c r="W71" s="40">
        <v>117245</v>
      </c>
      <c r="X71" s="4">
        <f t="shared" si="17"/>
        <v>7011157</v>
      </c>
      <c r="Y71" s="4">
        <f t="shared" si="23"/>
        <v>1.6722632227462599E-2</v>
      </c>
      <c r="Z71" s="4">
        <v>3457641</v>
      </c>
      <c r="AB71" s="4">
        <f t="shared" si="24"/>
        <v>8.9446392918469453E-2</v>
      </c>
      <c r="AC71" s="72">
        <f t="shared" si="25"/>
        <v>8.5669670812910548E-2</v>
      </c>
      <c r="AD71" s="180">
        <f t="shared" si="18"/>
        <v>8.9505854323508105E-2</v>
      </c>
      <c r="AK71" s="320" t="s">
        <v>46</v>
      </c>
      <c r="AL71" s="4">
        <f>179+104</f>
        <v>283</v>
      </c>
      <c r="AM71" s="4">
        <f>932-AL71</f>
        <v>649</v>
      </c>
      <c r="AN71" s="4">
        <f t="shared" si="15"/>
        <v>932</v>
      </c>
      <c r="AO71" s="72">
        <f t="shared" si="10"/>
        <v>1.3293098414427176E-4</v>
      </c>
      <c r="AQ71" s="4">
        <v>104</v>
      </c>
      <c r="AR71" s="4">
        <f t="shared" si="7"/>
        <v>-0.76576576576576572</v>
      </c>
      <c r="AS71" s="4">
        <f t="shared" si="16"/>
        <v>0.36749116607773852</v>
      </c>
    </row>
    <row r="72" spans="1:48">
      <c r="A72" s="56">
        <v>37925</v>
      </c>
      <c r="B72" s="202">
        <v>1.0234159959110591</v>
      </c>
      <c r="C72" s="321" t="s">
        <v>4</v>
      </c>
      <c r="D72" s="60">
        <f>(B210*B211*B212)-1</f>
        <v>-1.8065026352972247E-2</v>
      </c>
      <c r="E72" s="60">
        <f t="shared" si="19"/>
        <v>-1.8065026352972247E-2</v>
      </c>
      <c r="F72" s="59"/>
      <c r="G72" s="311">
        <v>1.7643172452259898E-2</v>
      </c>
      <c r="H72" s="312">
        <f t="shared" si="20"/>
        <v>1.0176431724522599</v>
      </c>
      <c r="I72" s="5">
        <f>(H210*H211*H212)-1</f>
        <v>-8.7361570576814929E-3</v>
      </c>
      <c r="J72" s="281">
        <f t="shared" si="21"/>
        <v>-8.7361570576814929E-3</v>
      </c>
      <c r="K72" s="105"/>
      <c r="L72" s="105">
        <v>2.1086103725797698E-2</v>
      </c>
      <c r="M72" s="58">
        <v>1.0210861037257977</v>
      </c>
      <c r="N72" s="332" t="s">
        <v>4</v>
      </c>
      <c r="O72" s="106">
        <f>(M210*M211*M212)-1</f>
        <v>5.8483820932655473E-3</v>
      </c>
      <c r="P72" s="106">
        <f t="shared" si="22"/>
        <v>5.8483820932655473E-3</v>
      </c>
      <c r="Q72" s="106"/>
      <c r="R72" s="105"/>
      <c r="S72" s="316"/>
      <c r="T72" s="105"/>
      <c r="U72" s="320" t="s">
        <v>4</v>
      </c>
      <c r="V72" s="4">
        <v>7071770</v>
      </c>
      <c r="W72" s="40">
        <v>176035</v>
      </c>
      <c r="X72" s="4">
        <f t="shared" si="17"/>
        <v>6895735</v>
      </c>
      <c r="Y72" s="4">
        <f t="shared" si="23"/>
        <v>2.5528098165025194E-2</v>
      </c>
      <c r="Z72" s="4">
        <v>3469641</v>
      </c>
      <c r="AB72" s="4">
        <f t="shared" si="24"/>
        <v>-1.8174175817201044E-2</v>
      </c>
      <c r="AC72" s="72">
        <f t="shared" si="25"/>
        <v>-1.8341354808603022E-2</v>
      </c>
      <c r="AD72" s="107">
        <f t="shared" si="18"/>
        <v>-1.8065026352972247E-2</v>
      </c>
      <c r="AK72" s="320" t="s">
        <v>4</v>
      </c>
      <c r="AL72" s="4">
        <f>187+13</f>
        <v>200</v>
      </c>
      <c r="AM72" s="4">
        <f>807-AL72</f>
        <v>607</v>
      </c>
      <c r="AN72" s="4">
        <f t="shared" si="15"/>
        <v>807</v>
      </c>
      <c r="AO72" s="72">
        <f t="shared" si="10"/>
        <v>1.1702885914264397E-4</v>
      </c>
      <c r="AQ72" s="4">
        <v>13</v>
      </c>
      <c r="AR72" s="4">
        <f t="shared" si="7"/>
        <v>-0.875</v>
      </c>
      <c r="AS72" s="4">
        <f t="shared" si="16"/>
        <v>6.5000000000000002E-2</v>
      </c>
    </row>
    <row r="73" spans="1:48">
      <c r="A73" s="56">
        <v>37955</v>
      </c>
      <c r="B73" s="202">
        <v>0.98302097016925605</v>
      </c>
      <c r="C73" s="321" t="s">
        <v>0</v>
      </c>
      <c r="D73" s="60">
        <f>(B213*B214*B215)-1</f>
        <v>1.5884928350960781E-2</v>
      </c>
      <c r="E73" s="60">
        <f t="shared" si="19"/>
        <v>1.5884928350960781E-2</v>
      </c>
      <c r="F73" s="59"/>
      <c r="G73" s="311">
        <v>3.8241436630663799E-3</v>
      </c>
      <c r="H73" s="312">
        <f t="shared" si="20"/>
        <v>1.0038241436630664</v>
      </c>
      <c r="I73" s="5">
        <f>(H213*H214*H215)-1</f>
        <v>-4.9328878917196728E-2</v>
      </c>
      <c r="J73" s="281">
        <f t="shared" si="21"/>
        <v>-4.9328878917196728E-2</v>
      </c>
      <c r="K73" s="105"/>
      <c r="L73" s="105">
        <v>1.8835815141568398E-2</v>
      </c>
      <c r="M73" s="58">
        <v>1.0188358151415684</v>
      </c>
      <c r="N73" s="332" t="s">
        <v>0</v>
      </c>
      <c r="O73" s="106">
        <f>(M213*M214*M215)-1</f>
        <v>-6.3015864736086447E-2</v>
      </c>
      <c r="P73" s="106">
        <f t="shared" si="22"/>
        <v>-6.3015864736086447E-2</v>
      </c>
      <c r="Q73" s="106"/>
      <c r="R73" s="105"/>
      <c r="S73" s="316"/>
      <c r="T73" s="105"/>
      <c r="U73" s="320" t="s">
        <v>0</v>
      </c>
      <c r="V73" s="4">
        <v>7235740</v>
      </c>
      <c r="W73" s="40">
        <v>219621</v>
      </c>
      <c r="X73" s="4">
        <f t="shared" si="17"/>
        <v>7016119</v>
      </c>
      <c r="Y73" s="4">
        <f t="shared" si="23"/>
        <v>3.1302348207035827E-2</v>
      </c>
      <c r="Z73" s="4">
        <v>3481641</v>
      </c>
      <c r="AB73" s="4">
        <f t="shared" si="24"/>
        <v>1.5717541349834274E-2</v>
      </c>
      <c r="AC73" s="72">
        <f t="shared" si="25"/>
        <v>1.559530002176544E-2</v>
      </c>
      <c r="AD73" s="107">
        <f t="shared" si="18"/>
        <v>1.5884928350960781E-2</v>
      </c>
      <c r="AK73" s="320" t="s">
        <v>0</v>
      </c>
      <c r="AL73" s="4">
        <f>173+209</f>
        <v>382</v>
      </c>
      <c r="AM73" s="4">
        <f>1074-AL73</f>
        <v>692</v>
      </c>
      <c r="AN73" s="4">
        <f t="shared" si="15"/>
        <v>1074</v>
      </c>
      <c r="AO73" s="72">
        <f t="shared" si="10"/>
        <v>1.5307608095016631E-4</v>
      </c>
      <c r="AQ73" s="4">
        <v>209</v>
      </c>
      <c r="AR73" s="4">
        <f t="shared" si="7"/>
        <v>15.076923076923077</v>
      </c>
      <c r="AS73" s="4">
        <f t="shared" si="16"/>
        <v>0.54712041884816753</v>
      </c>
    </row>
    <row r="74" spans="1:48">
      <c r="A74" s="56">
        <v>37986</v>
      </c>
      <c r="B74" s="202">
        <v>1.0263495067362489</v>
      </c>
      <c r="C74" s="321" t="s">
        <v>1</v>
      </c>
      <c r="D74" s="60">
        <f>(B216*B217*B218)-1</f>
        <v>6.3138631436259196E-2</v>
      </c>
      <c r="E74" s="60">
        <f t="shared" si="19"/>
        <v>6.3138631436259196E-2</v>
      </c>
      <c r="F74" s="59"/>
      <c r="G74" s="311">
        <v>2.35422399128156E-2</v>
      </c>
      <c r="H74" s="312">
        <f t="shared" si="20"/>
        <v>1.0235422399128156</v>
      </c>
      <c r="I74" s="5">
        <f>(H216*H217*H218)-1</f>
        <v>3.554777833051137E-2</v>
      </c>
      <c r="J74" s="281">
        <f t="shared" si="21"/>
        <v>3.554777833051137E-2</v>
      </c>
      <c r="K74" s="105"/>
      <c r="L74" s="105">
        <v>5.2668534190734896E-2</v>
      </c>
      <c r="M74" s="58">
        <v>1.0526685341907349</v>
      </c>
      <c r="N74" s="332" t="s">
        <v>1</v>
      </c>
      <c r="O74" s="106">
        <f>(M216*M217*M218)-1</f>
        <v>2.454117464017247E-2</v>
      </c>
      <c r="P74" s="106">
        <f t="shared" si="22"/>
        <v>2.454117464017247E-2</v>
      </c>
      <c r="Q74" s="106">
        <f>P71+P72+P73+P74</f>
        <v>-1.9036128195570989E-2</v>
      </c>
      <c r="R74" s="105"/>
      <c r="S74" s="316"/>
      <c r="T74" s="105"/>
      <c r="U74" s="320" t="s">
        <v>1</v>
      </c>
      <c r="V74" s="4">
        <v>7656193</v>
      </c>
      <c r="W74" s="4">
        <v>184973</v>
      </c>
      <c r="X74" s="4">
        <f t="shared" si="17"/>
        <v>7471220</v>
      </c>
      <c r="Y74" s="4">
        <f t="shared" si="23"/>
        <v>2.4758071640240818E-2</v>
      </c>
      <c r="Z74" s="4">
        <v>3494640</v>
      </c>
      <c r="AB74" s="4">
        <f t="shared" si="24"/>
        <v>6.3012329180847759E-2</v>
      </c>
      <c r="AC74" s="72">
        <f t="shared" si="25"/>
        <v>6.1106697769357871E-2</v>
      </c>
      <c r="AD74" s="107">
        <f t="shared" si="18"/>
        <v>6.3138631436259196E-2</v>
      </c>
      <c r="AE74" s="124">
        <f>AD74+AD73+AD72+AD71</f>
        <v>0.15046438775775584</v>
      </c>
      <c r="AF74" s="4">
        <f>((1+AC71)*(AC72+1)*(AC73+1)*(AC74+1))-1</f>
        <v>0.14851835285927684</v>
      </c>
      <c r="AK74" s="320" t="s">
        <v>1</v>
      </c>
      <c r="AL74" s="4">
        <f>(615+578)-(AL71+AL72+AL73)</f>
        <v>328</v>
      </c>
      <c r="AM74" s="4">
        <f>3933-SUM(AN71:AN73)-AL74</f>
        <v>792</v>
      </c>
      <c r="AN74" s="4">
        <f t="shared" si="15"/>
        <v>1120</v>
      </c>
      <c r="AO74" s="76">
        <f t="shared" si="10"/>
        <v>1.4990858253404398E-4</v>
      </c>
      <c r="AQ74" s="4">
        <f>578-SUM(AQ71:AQ73)</f>
        <v>252</v>
      </c>
      <c r="AR74" s="4">
        <f t="shared" si="7"/>
        <v>0.20574162679425845</v>
      </c>
      <c r="AS74" s="4">
        <f t="shared" si="16"/>
        <v>0.76829268292682928</v>
      </c>
      <c r="AT74" s="4">
        <f>AQ74+AQ73+AQ72+AQ71</f>
        <v>578</v>
      </c>
      <c r="AU74" s="4">
        <f>AL74+AL73+AL72+AL71</f>
        <v>1193</v>
      </c>
      <c r="AV74" s="4">
        <f>AT74/AU74</f>
        <v>0.4844928751047779</v>
      </c>
    </row>
    <row r="75" spans="1:48">
      <c r="A75" s="56">
        <v>38017</v>
      </c>
      <c r="B75" s="202">
        <v>1.062942782078131</v>
      </c>
      <c r="C75" s="321" t="s">
        <v>47</v>
      </c>
      <c r="D75" s="60">
        <f>(B219*B220*B221)-1</f>
        <v>-4.968047159270339E-2</v>
      </c>
      <c r="E75" s="60">
        <f t="shared" si="19"/>
        <v>-4.968047159270339E-2</v>
      </c>
      <c r="F75" s="59"/>
      <c r="G75" s="311">
        <v>1.23198848062072E-2</v>
      </c>
      <c r="H75" s="312">
        <f t="shared" si="20"/>
        <v>1.0123198848062072</v>
      </c>
      <c r="I75" s="5">
        <f>(H219*H220*H221)-1</f>
        <v>-6.3112429291567462E-3</v>
      </c>
      <c r="J75" s="281">
        <f t="shared" si="21"/>
        <v>-6.3112429291567462E-3</v>
      </c>
      <c r="K75" s="105"/>
      <c r="L75" s="105">
        <v>8.4632127733648092E-3</v>
      </c>
      <c r="M75" s="58">
        <v>1.0084632127733648</v>
      </c>
      <c r="N75" s="332" t="s">
        <v>47</v>
      </c>
      <c r="O75" s="106">
        <f>(M219*M220*M221)-1</f>
        <v>1.6969715311222711E-2</v>
      </c>
      <c r="P75" s="106">
        <f t="shared" si="22"/>
        <v>1.6969715311222711E-2</v>
      </c>
      <c r="Q75" s="106"/>
      <c r="R75" s="105"/>
      <c r="S75" s="316"/>
      <c r="T75" s="105"/>
      <c r="U75" s="320" t="s">
        <v>47</v>
      </c>
      <c r="V75" s="4">
        <v>7304858</v>
      </c>
      <c r="W75" s="4">
        <v>226627</v>
      </c>
      <c r="X75" s="4">
        <f t="shared" si="17"/>
        <v>7078231</v>
      </c>
      <c r="Y75" s="4">
        <f t="shared" si="23"/>
        <v>3.2017463120375698E-2</v>
      </c>
      <c r="Z75" s="4">
        <v>3473840</v>
      </c>
      <c r="AB75" s="4">
        <f t="shared" si="24"/>
        <v>-4.981636198639583E-2</v>
      </c>
      <c r="AC75" s="72">
        <f>LN(AB75+1)</f>
        <v>-5.1100009895986495E-2</v>
      </c>
      <c r="AD75" s="107">
        <f t="shared" si="18"/>
        <v>-4.968047159270339E-2</v>
      </c>
      <c r="AK75" s="320" t="s">
        <v>47</v>
      </c>
      <c r="AL75" s="4">
        <f>170-87</f>
        <v>83</v>
      </c>
      <c r="AM75" s="4">
        <f>752-AL75</f>
        <v>669</v>
      </c>
      <c r="AN75" s="4">
        <f t="shared" si="15"/>
        <v>752</v>
      </c>
      <c r="AO75" s="72">
        <f t="shared" si="10"/>
        <v>1.0624123456835472E-4</v>
      </c>
      <c r="AQ75" s="4">
        <v>-87</v>
      </c>
      <c r="AR75" s="4">
        <f t="shared" si="7"/>
        <v>-1.3452380952380953</v>
      </c>
      <c r="AS75" s="4">
        <f t="shared" si="16"/>
        <v>-1.0481927710843373</v>
      </c>
    </row>
    <row r="76" spans="1:48">
      <c r="A76" s="56">
        <v>38046</v>
      </c>
      <c r="B76" s="202">
        <v>1.0191096665964077</v>
      </c>
      <c r="C76" s="321" t="s">
        <v>2</v>
      </c>
      <c r="D76" s="60">
        <f>(B222*B223*B224)-1</f>
        <v>1.7228710038498907E-2</v>
      </c>
      <c r="E76" s="60">
        <f t="shared" si="19"/>
        <v>1.7228710038498907E-2</v>
      </c>
      <c r="F76" s="59"/>
      <c r="G76" s="311">
        <v>1.5721487601158698E-2</v>
      </c>
      <c r="H76" s="312">
        <f t="shared" si="20"/>
        <v>1.0157214876011587</v>
      </c>
      <c r="I76" s="5">
        <f>(H222*H223*H224)-1</f>
        <v>1.2714067420575459E-2</v>
      </c>
      <c r="J76" s="281">
        <f t="shared" si="21"/>
        <v>1.2714067420575459E-2</v>
      </c>
      <c r="K76" s="105"/>
      <c r="L76" s="105">
        <v>1.51574407425712E-2</v>
      </c>
      <c r="M76" s="58">
        <v>1.0151574407425712</v>
      </c>
      <c r="N76" s="332" t="s">
        <v>2</v>
      </c>
      <c r="O76" s="106">
        <f>(M222*M223*M224)-1</f>
        <v>5.4736187364818889E-3</v>
      </c>
      <c r="P76" s="106">
        <f t="shared" si="22"/>
        <v>5.4736187364818889E-3</v>
      </c>
      <c r="Q76" s="106"/>
      <c r="R76" s="105"/>
      <c r="S76" s="316"/>
      <c r="T76" s="105"/>
      <c r="U76" s="320" t="s">
        <v>2</v>
      </c>
      <c r="V76" s="4">
        <v>7451663</v>
      </c>
      <c r="W76" s="4">
        <v>276719</v>
      </c>
      <c r="X76" s="4">
        <f t="shared" si="17"/>
        <v>7174944</v>
      </c>
      <c r="Y76" s="4">
        <f t="shared" si="23"/>
        <v>3.8567409027861405E-2</v>
      </c>
      <c r="Z76" s="4">
        <v>3449840</v>
      </c>
      <c r="AB76" s="4">
        <f t="shared" si="24"/>
        <v>1.7054119878257668E-2</v>
      </c>
      <c r="AC76" s="72">
        <f t="shared" si="25"/>
        <v>1.6910330870069067E-2</v>
      </c>
      <c r="AD76" s="107">
        <f t="shared" si="18"/>
        <v>1.7228710038498907E-2</v>
      </c>
      <c r="AK76" s="320" t="s">
        <v>2</v>
      </c>
      <c r="AL76" s="4">
        <f>191+169</f>
        <v>360</v>
      </c>
      <c r="AM76" s="4">
        <f>1058-AL76</f>
        <v>698</v>
      </c>
      <c r="AN76" s="4">
        <f t="shared" si="15"/>
        <v>1058</v>
      </c>
      <c r="AO76" s="72">
        <f t="shared" si="10"/>
        <v>1.4745759688159239E-4</v>
      </c>
      <c r="AQ76" s="4">
        <v>169</v>
      </c>
      <c r="AR76" s="4">
        <f t="shared" si="7"/>
        <v>-2.9425287356321839</v>
      </c>
      <c r="AS76" s="4">
        <f t="shared" si="16"/>
        <v>0.46944444444444444</v>
      </c>
    </row>
    <row r="77" spans="1:48">
      <c r="A77" s="56">
        <v>38077</v>
      </c>
      <c r="B77" s="202">
        <v>0.97574490009746018</v>
      </c>
      <c r="C77" s="321" t="s">
        <v>3</v>
      </c>
      <c r="D77" s="60">
        <f>(B225*B226*B227)-1</f>
        <v>-4.1131084587662237E-3</v>
      </c>
      <c r="E77" s="60">
        <f t="shared" si="19"/>
        <v>-4.1131084587662237E-3</v>
      </c>
      <c r="F77" s="59"/>
      <c r="G77" s="311">
        <v>1.05251042500165E-3</v>
      </c>
      <c r="H77" s="312">
        <f t="shared" si="20"/>
        <v>1.0010525104250017</v>
      </c>
      <c r="I77" s="5">
        <f>(H225*H226*H227)-1</f>
        <v>3.9951155214952294E-2</v>
      </c>
      <c r="J77" s="281">
        <f t="shared" si="21"/>
        <v>3.9951155214952294E-2</v>
      </c>
      <c r="K77" s="105"/>
      <c r="L77" s="105">
        <v>4.3057243672572904E-4</v>
      </c>
      <c r="M77" s="58">
        <v>1.0004305724367257</v>
      </c>
      <c r="N77" s="332" t="s">
        <v>3</v>
      </c>
      <c r="O77" s="106">
        <f>(M225*M226*M227)-1</f>
        <v>4.2695058252626872E-2</v>
      </c>
      <c r="P77" s="106">
        <f t="shared" si="22"/>
        <v>4.2695058252626872E-2</v>
      </c>
      <c r="Q77" s="106"/>
      <c r="R77" s="105"/>
      <c r="S77" s="316"/>
      <c r="T77" s="105"/>
      <c r="U77" s="320" t="s">
        <v>3</v>
      </c>
      <c r="V77" s="4">
        <v>7369948</v>
      </c>
      <c r="W77" s="4">
        <v>254398</v>
      </c>
      <c r="X77" s="4">
        <f t="shared" si="17"/>
        <v>7115550</v>
      </c>
      <c r="Y77" s="4">
        <f t="shared" si="23"/>
        <v>3.5752401430669448E-2</v>
      </c>
      <c r="Z77" s="4">
        <v>3420340</v>
      </c>
      <c r="AB77" s="4">
        <f>((X77-(Z77-Z76))/X76)-1</f>
        <v>-4.1664436684104578E-3</v>
      </c>
      <c r="AC77" s="72">
        <f t="shared" si="25"/>
        <v>-4.1751474792024032E-3</v>
      </c>
      <c r="AD77" s="107">
        <f t="shared" si="18"/>
        <v>-4.1131084587662237E-3</v>
      </c>
      <c r="AK77" s="320" t="s">
        <v>3</v>
      </c>
      <c r="AL77" s="4">
        <f>192+171</f>
        <v>363</v>
      </c>
      <c r="AM77" s="4">
        <f>1096-AL77</f>
        <v>733</v>
      </c>
      <c r="AN77" s="4">
        <f t="shared" si="15"/>
        <v>1096</v>
      </c>
      <c r="AO77" s="72">
        <f t="shared" si="10"/>
        <v>1.5402885230235189E-4</v>
      </c>
      <c r="AQ77" s="4">
        <v>171</v>
      </c>
      <c r="AR77" s="4">
        <f>(AQ77/AQ76)-1</f>
        <v>1.1834319526627279E-2</v>
      </c>
      <c r="AS77" s="4">
        <f t="shared" si="16"/>
        <v>0.47107438016528924</v>
      </c>
    </row>
    <row r="78" spans="1:48">
      <c r="A78" s="56">
        <v>38107</v>
      </c>
      <c r="B78" s="202">
        <v>0.97013729014916228</v>
      </c>
      <c r="C78" s="321" t="s">
        <v>5</v>
      </c>
      <c r="D78" s="60">
        <f>(D228*D229*D230)-1</f>
        <v>5.8970928624168195E-2</v>
      </c>
      <c r="E78" s="60">
        <f t="shared" si="19"/>
        <v>5.8970928624168195E-2</v>
      </c>
      <c r="F78" s="59"/>
      <c r="G78" s="311">
        <v>-8.5662321177837307E-3</v>
      </c>
      <c r="H78" s="312">
        <f t="shared" si="20"/>
        <v>0.99143376788221627</v>
      </c>
      <c r="I78" s="4"/>
      <c r="L78" s="4">
        <v>-2.90566308499705E-2</v>
      </c>
      <c r="M78" s="58">
        <v>0.97094336915002954</v>
      </c>
      <c r="N78" s="332" t="s">
        <v>5</v>
      </c>
      <c r="O78" s="106">
        <f>(M228*M229*M230)-1</f>
        <v>-1.6739273807993116E-2</v>
      </c>
      <c r="P78" s="106">
        <f>O78</f>
        <v>-1.6739273807993116E-2</v>
      </c>
      <c r="Q78" s="106">
        <f>P75+P76+P77+P78</f>
        <v>4.8399118492338356E-2</v>
      </c>
      <c r="R78" s="105"/>
      <c r="S78" s="105"/>
      <c r="U78" s="320" t="s">
        <v>5</v>
      </c>
      <c r="V78" s="4">
        <v>7756342</v>
      </c>
      <c r="W78" s="4">
        <v>249579</v>
      </c>
      <c r="X78" s="4">
        <f t="shared" si="17"/>
        <v>7506763</v>
      </c>
      <c r="Y78" s="4">
        <f t="shared" si="23"/>
        <v>3.3247219873599312E-2</v>
      </c>
      <c r="Z78" s="4">
        <v>3393340</v>
      </c>
      <c r="AB78" s="4">
        <f>((X78-(Z78-Z77))/X77)-1</f>
        <v>5.8774514970733049E-2</v>
      </c>
      <c r="AC78" s="72">
        <f>LN(AB78+1)</f>
        <v>5.7112121351938022E-2</v>
      </c>
      <c r="AD78" s="107">
        <f t="shared" si="18"/>
        <v>5.8970928624168195E-2</v>
      </c>
      <c r="AE78" s="124">
        <f>AD78+AD77+AD76+AD75</f>
        <v>2.2406058611197488E-2</v>
      </c>
      <c r="AF78" s="4">
        <f>((1+AC75)*(AC76+1)*(AC77+1)*(AC78+1))-1</f>
        <v>1.579744193279109E-2</v>
      </c>
      <c r="AK78" s="320" t="s">
        <v>5</v>
      </c>
      <c r="AL78" s="4">
        <v>54</v>
      </c>
      <c r="AM78" s="4">
        <v>771</v>
      </c>
      <c r="AN78" s="4">
        <f t="shared" si="15"/>
        <v>825</v>
      </c>
      <c r="AO78" s="72">
        <f t="shared" si="10"/>
        <v>1.0990089869628227E-4</v>
      </c>
      <c r="AQ78" s="4">
        <f>222-SUM(AQ75:AQ77)</f>
        <v>-31</v>
      </c>
      <c r="AR78" s="4">
        <f>(AQ78/AQ77)-1</f>
        <v>-1.1812865497076024</v>
      </c>
      <c r="AS78" s="4">
        <f t="shared" si="16"/>
        <v>-0.57407407407407407</v>
      </c>
      <c r="AT78" s="4">
        <f>AQ78+AQ77+AQ76+AQ75</f>
        <v>222</v>
      </c>
      <c r="AU78" s="4">
        <f>AL78+AL77+AL76+AL75</f>
        <v>860</v>
      </c>
      <c r="AV78" s="4">
        <f>AT78/AU78</f>
        <v>0.25813953488372093</v>
      </c>
    </row>
    <row r="79" spans="1:48">
      <c r="A79" s="56">
        <v>38138</v>
      </c>
      <c r="B79" s="202">
        <v>0.98693963709151222</v>
      </c>
      <c r="C79" s="59"/>
      <c r="D79" s="60"/>
      <c r="E79" s="60"/>
      <c r="F79" s="55"/>
      <c r="G79" s="311">
        <v>-3.0412947229860902E-3</v>
      </c>
      <c r="H79" s="312">
        <f t="shared" si="20"/>
        <v>0.99695870527701391</v>
      </c>
      <c r="I79" s="4"/>
      <c r="L79" s="4">
        <v>8.8216298498775495E-3</v>
      </c>
      <c r="M79" s="58">
        <v>1.0088216298498776</v>
      </c>
      <c r="N79" s="105"/>
      <c r="O79" s="106">
        <f>SUM(O3:O77)</f>
        <v>1.2123639831087025</v>
      </c>
      <c r="P79" s="106">
        <f>SUM(P3:P77)</f>
        <v>1.2123639831087025</v>
      </c>
      <c r="Q79" s="105"/>
      <c r="R79" s="105"/>
      <c r="S79" s="105"/>
      <c r="AM79" s="4">
        <f>SUM(AM15:AM78)</f>
        <v>19911.146000000001</v>
      </c>
      <c r="AS79" s="4">
        <f>AVERAGE(AS15:AS78)</f>
        <v>0.43057128546757389</v>
      </c>
      <c r="AV79" s="4">
        <f>AVERAGE(AV18:AV78)</f>
        <v>0.46552341832763089</v>
      </c>
    </row>
    <row r="80" spans="1:48">
      <c r="A80" s="56">
        <v>38168</v>
      </c>
      <c r="B80" s="202">
        <v>1.0417041620912915</v>
      </c>
      <c r="C80" s="59"/>
      <c r="D80" s="60"/>
      <c r="E80" s="60"/>
      <c r="F80" s="55"/>
      <c r="G80" s="311">
        <v>1.0152173244881E-2</v>
      </c>
      <c r="H80" s="312">
        <f t="shared" si="20"/>
        <v>1.010152173244881</v>
      </c>
      <c r="I80" s="4"/>
      <c r="L80" s="4">
        <v>8.6112880391380191E-3</v>
      </c>
      <c r="M80" s="58">
        <v>1.008611288039138</v>
      </c>
      <c r="N80" s="105"/>
      <c r="O80" s="105"/>
      <c r="P80" s="105"/>
      <c r="Q80" s="105"/>
      <c r="R80" s="105"/>
      <c r="S80" s="105"/>
      <c r="AB80" s="72"/>
      <c r="AC80" s="72"/>
    </row>
    <row r="81" spans="1:29">
      <c r="A81" s="56">
        <v>38199</v>
      </c>
      <c r="B81" s="202">
        <v>0.99724901123363674</v>
      </c>
      <c r="C81" s="59"/>
      <c r="D81" s="60"/>
      <c r="E81" s="60"/>
      <c r="F81" s="55"/>
      <c r="G81" s="311">
        <v>-6.7149191505501103E-3</v>
      </c>
      <c r="H81" s="312">
        <f t="shared" si="20"/>
        <v>0.99328508084944989</v>
      </c>
      <c r="I81" s="4"/>
      <c r="L81" s="4">
        <v>-1.2721342374355E-2</v>
      </c>
      <c r="M81" s="58">
        <v>0.98727865762564504</v>
      </c>
      <c r="N81" s="105"/>
      <c r="O81" s="105"/>
      <c r="P81" s="105"/>
      <c r="Q81" s="105"/>
      <c r="R81" s="105"/>
      <c r="S81" s="105"/>
    </row>
    <row r="82" spans="1:29">
      <c r="A82" s="56">
        <v>38230</v>
      </c>
      <c r="B82" s="202">
        <v>1.0012782670138147</v>
      </c>
      <c r="C82" s="59"/>
      <c r="D82" s="60"/>
      <c r="E82" s="60"/>
      <c r="F82" s="55"/>
      <c r="G82" s="311">
        <v>1.0366095617497101E-2</v>
      </c>
      <c r="H82" s="312">
        <f t="shared" si="20"/>
        <v>1.0103660956174971</v>
      </c>
      <c r="I82" s="4"/>
      <c r="L82" s="4">
        <v>1.4801219781885599E-2</v>
      </c>
      <c r="M82" s="58">
        <v>1.0148012197818856</v>
      </c>
      <c r="N82" s="105"/>
      <c r="O82" s="105"/>
      <c r="P82" s="105"/>
      <c r="Q82" s="105"/>
      <c r="R82" s="105"/>
      <c r="S82" s="105"/>
      <c r="AC82" s="318" t="s">
        <v>233</v>
      </c>
    </row>
    <row r="83" spans="1:29">
      <c r="A83" s="56">
        <v>38260</v>
      </c>
      <c r="B83" s="202">
        <v>0.99493460840575343</v>
      </c>
      <c r="C83" s="59"/>
      <c r="D83" s="60"/>
      <c r="E83" s="60"/>
      <c r="F83" s="55"/>
      <c r="G83" s="311">
        <v>1.05481525421742E-2</v>
      </c>
      <c r="H83" s="312">
        <f t="shared" si="20"/>
        <v>1.0105481525421742</v>
      </c>
      <c r="I83" s="4"/>
      <c r="L83" s="4">
        <v>2.10513647461377E-2</v>
      </c>
      <c r="M83" s="58">
        <v>1.0210513647461377</v>
      </c>
      <c r="N83" s="105"/>
      <c r="O83" s="105"/>
      <c r="P83" s="105"/>
      <c r="Q83" s="105"/>
      <c r="R83" s="105"/>
      <c r="S83" s="105"/>
    </row>
    <row r="84" spans="1:29">
      <c r="A84" s="56">
        <v>38291</v>
      </c>
      <c r="B84" s="202">
        <v>0.97480163641170625</v>
      </c>
      <c r="C84" s="59"/>
      <c r="D84" s="60"/>
      <c r="E84" s="60"/>
      <c r="F84" s="55"/>
      <c r="G84" s="311">
        <v>1.0154076184385699E-2</v>
      </c>
      <c r="H84" s="312">
        <f t="shared" si="20"/>
        <v>1.0101540761843857</v>
      </c>
      <c r="I84" s="4"/>
      <c r="L84" s="4">
        <v>2.6608657264839398E-2</v>
      </c>
      <c r="M84" s="58">
        <v>1.0266086572648394</v>
      </c>
      <c r="N84" s="105"/>
      <c r="O84" s="105"/>
      <c r="P84" s="105"/>
      <c r="Q84" s="105"/>
      <c r="R84" s="105"/>
      <c r="S84" s="105"/>
    </row>
    <row r="85" spans="1:29">
      <c r="A85" s="56">
        <v>38321</v>
      </c>
      <c r="B85" s="202">
        <v>1.0001869233891891</v>
      </c>
      <c r="C85" s="59"/>
      <c r="D85" s="60"/>
      <c r="E85" s="60"/>
      <c r="F85" s="55"/>
      <c r="G85" s="311">
        <v>1.5859683892353E-2</v>
      </c>
      <c r="H85" s="312">
        <f t="shared" si="20"/>
        <v>1.015859683892353</v>
      </c>
      <c r="I85" s="4"/>
      <c r="L85" s="4">
        <v>4.4470457606688593E-2</v>
      </c>
      <c r="M85" s="58">
        <v>1.0444704576066886</v>
      </c>
      <c r="N85" s="105"/>
      <c r="O85" s="105"/>
      <c r="P85" s="105"/>
      <c r="Q85" s="105"/>
      <c r="R85" s="105"/>
      <c r="S85" s="105"/>
    </row>
    <row r="86" spans="1:29">
      <c r="A86" s="56">
        <v>38352</v>
      </c>
      <c r="B86" s="202">
        <v>1.0178064923683963</v>
      </c>
      <c r="C86" s="59"/>
      <c r="D86" s="60"/>
      <c r="E86" s="60"/>
      <c r="F86" s="55"/>
      <c r="G86" s="311">
        <v>1.8500898193467799E-2</v>
      </c>
      <c r="H86" s="312">
        <f t="shared" si="20"/>
        <v>1.0185008981934678</v>
      </c>
      <c r="I86" s="4"/>
      <c r="L86" s="4">
        <v>2.8578265142483298E-2</v>
      </c>
      <c r="M86" s="58">
        <v>1.0285782651424833</v>
      </c>
      <c r="N86" s="105"/>
      <c r="O86" s="105"/>
      <c r="P86" s="105"/>
      <c r="Q86" s="105"/>
      <c r="R86" s="105"/>
      <c r="S86" s="105"/>
    </row>
    <row r="87" spans="1:29">
      <c r="A87" s="56">
        <v>38383</v>
      </c>
      <c r="B87" s="202">
        <v>1.0325590222043914</v>
      </c>
      <c r="C87" s="59"/>
      <c r="D87" s="60"/>
      <c r="E87" s="60"/>
      <c r="F87" s="55"/>
      <c r="G87" s="311">
        <v>5.6048961372911999E-3</v>
      </c>
      <c r="H87" s="312">
        <f t="shared" si="20"/>
        <v>1.0056048961372912</v>
      </c>
      <c r="I87" s="4"/>
      <c r="L87" s="4">
        <v>-1.5645376452341399E-2</v>
      </c>
      <c r="M87" s="58">
        <v>0.98435462354765857</v>
      </c>
      <c r="N87" s="105"/>
      <c r="O87" s="105"/>
      <c r="P87" s="105"/>
      <c r="Q87" s="105"/>
      <c r="R87" s="105"/>
      <c r="S87" s="105"/>
    </row>
    <row r="88" spans="1:29">
      <c r="A88" s="56">
        <v>38411</v>
      </c>
      <c r="B88" s="202">
        <v>0.99314341973622966</v>
      </c>
      <c r="C88" s="59"/>
      <c r="D88" s="60"/>
      <c r="E88" s="60"/>
      <c r="F88" s="55"/>
      <c r="G88" s="311">
        <v>8.6575691123358407E-3</v>
      </c>
      <c r="H88" s="312">
        <f t="shared" si="20"/>
        <v>1.0086575691123358</v>
      </c>
      <c r="I88" s="4"/>
      <c r="L88" s="4">
        <v>1.9014549194151801E-2</v>
      </c>
      <c r="M88" s="58">
        <v>1.0190145491941518</v>
      </c>
      <c r="N88" s="105"/>
      <c r="O88" s="105"/>
      <c r="P88" s="105"/>
      <c r="Q88" s="105"/>
      <c r="R88" s="105"/>
      <c r="S88" s="105"/>
    </row>
    <row r="89" spans="1:29">
      <c r="A89" s="56">
        <v>38442</v>
      </c>
      <c r="B89" s="202">
        <v>1.002071560289308</v>
      </c>
      <c r="C89" s="59"/>
      <c r="D89" s="60"/>
      <c r="E89" s="60"/>
      <c r="F89" s="55"/>
      <c r="G89" s="311">
        <v>-3.9091118102172499E-3</v>
      </c>
      <c r="H89" s="312">
        <f t="shared" si="20"/>
        <v>0.99609088818978275</v>
      </c>
      <c r="I89" s="4"/>
      <c r="L89" s="4">
        <v>-1.7352859921545102E-2</v>
      </c>
      <c r="M89" s="58">
        <v>0.98264714007845488</v>
      </c>
      <c r="N89" s="105"/>
      <c r="O89" s="105"/>
      <c r="P89" s="105"/>
      <c r="Q89" s="105"/>
      <c r="R89" s="105"/>
      <c r="S89" s="105"/>
    </row>
    <row r="90" spans="1:29">
      <c r="A90" s="56">
        <v>38472</v>
      </c>
      <c r="B90" s="202">
        <v>0.99450017191493678</v>
      </c>
      <c r="C90" s="59"/>
      <c r="D90" s="60"/>
      <c r="E90" s="60"/>
      <c r="F90" s="55"/>
      <c r="G90" s="311">
        <v>-1.9974197151921801E-3</v>
      </c>
      <c r="H90" s="312">
        <f t="shared" si="20"/>
        <v>0.99800258028480782</v>
      </c>
      <c r="I90" s="4"/>
      <c r="L90" s="4">
        <v>-2.21306000704269E-3</v>
      </c>
      <c r="M90" s="58">
        <v>0.99778693999295731</v>
      </c>
      <c r="N90" s="105"/>
      <c r="O90" s="105"/>
      <c r="P90" s="105"/>
      <c r="Q90" s="105"/>
      <c r="R90" s="105"/>
      <c r="S90" s="105"/>
    </row>
    <row r="91" spans="1:29">
      <c r="A91" s="56">
        <v>38503</v>
      </c>
      <c r="B91" s="202">
        <v>1.0159600804749223</v>
      </c>
      <c r="C91" s="59"/>
      <c r="D91" s="60"/>
      <c r="E91" s="60"/>
      <c r="F91" s="55"/>
      <c r="G91" s="311">
        <v>2.3931781823808101E-2</v>
      </c>
      <c r="H91" s="312">
        <f t="shared" si="20"/>
        <v>1.0239317818238081</v>
      </c>
      <c r="I91" s="4"/>
      <c r="L91" s="4">
        <v>-2.3565741982991602E-3</v>
      </c>
      <c r="M91" s="58">
        <v>0.99764342580170084</v>
      </c>
      <c r="N91" s="105"/>
      <c r="O91" s="105"/>
      <c r="P91" s="105"/>
      <c r="Q91" s="105"/>
      <c r="R91" s="105"/>
      <c r="S91" s="105"/>
    </row>
    <row r="92" spans="1:29">
      <c r="A92" s="56">
        <v>38533</v>
      </c>
      <c r="B92" s="202">
        <v>1.0238094993031919</v>
      </c>
      <c r="C92" s="59"/>
      <c r="D92" s="60"/>
      <c r="E92" s="60"/>
      <c r="F92" s="55"/>
      <c r="G92" s="311">
        <v>1.6108397477480899E-2</v>
      </c>
      <c r="H92" s="312">
        <f t="shared" si="20"/>
        <v>1.0161083974774809</v>
      </c>
      <c r="I92" s="4"/>
      <c r="L92" s="4">
        <v>3.6631057020790601E-3</v>
      </c>
      <c r="M92" s="58">
        <v>1.0036631057020791</v>
      </c>
      <c r="N92" s="105"/>
      <c r="O92" s="105"/>
      <c r="P92" s="105"/>
      <c r="Q92" s="105"/>
      <c r="R92" s="105"/>
      <c r="S92" s="105"/>
    </row>
    <row r="93" spans="1:29">
      <c r="A93" s="56">
        <v>38564</v>
      </c>
      <c r="B93" s="202">
        <v>1.0022777217497849</v>
      </c>
      <c r="C93" s="59"/>
      <c r="D93" s="60"/>
      <c r="E93" s="60"/>
      <c r="F93" s="55"/>
      <c r="G93" s="311">
        <v>1.32214879510195E-2</v>
      </c>
      <c r="H93" s="312">
        <f t="shared" si="20"/>
        <v>1.0132214879510195</v>
      </c>
      <c r="I93" s="4"/>
      <c r="L93" s="4">
        <v>1.1498763430542999E-2</v>
      </c>
      <c r="M93" s="58">
        <v>1.011498763430543</v>
      </c>
      <c r="N93" s="105"/>
      <c r="O93" s="105"/>
      <c r="P93" s="105"/>
      <c r="Q93" s="105"/>
      <c r="R93" s="105"/>
      <c r="S93" s="105"/>
    </row>
    <row r="94" spans="1:29">
      <c r="A94" s="56">
        <v>38595</v>
      </c>
      <c r="B94" s="202">
        <v>1.0018715951411699</v>
      </c>
      <c r="C94" s="59"/>
      <c r="D94" s="60"/>
      <c r="E94" s="60"/>
      <c r="F94" s="55"/>
      <c r="G94" s="311">
        <v>6.8246114062098196E-3</v>
      </c>
      <c r="H94" s="312">
        <f t="shared" si="20"/>
        <v>1.0068246114062098</v>
      </c>
      <c r="I94" s="4"/>
      <c r="L94" s="4">
        <v>1.5898973608848E-2</v>
      </c>
      <c r="M94" s="58">
        <v>1.015898973608848</v>
      </c>
      <c r="N94" s="105"/>
      <c r="O94" s="105"/>
      <c r="P94" s="105"/>
      <c r="Q94" s="105"/>
      <c r="R94" s="105"/>
      <c r="S94" s="105"/>
    </row>
    <row r="95" spans="1:29">
      <c r="A95" s="56">
        <v>38625</v>
      </c>
      <c r="B95" s="202">
        <v>1.0219444514486702</v>
      </c>
      <c r="C95" s="59"/>
      <c r="D95" s="60"/>
      <c r="E95" s="60"/>
      <c r="F95" s="55"/>
      <c r="G95" s="311">
        <v>1.17046124861711E-2</v>
      </c>
      <c r="H95" s="312">
        <f t="shared" si="20"/>
        <v>1.0117046124861711</v>
      </c>
      <c r="I95" s="4"/>
      <c r="L95" s="4">
        <v>7.1235445836204103E-4</v>
      </c>
      <c r="M95" s="58">
        <v>1.000712354458362</v>
      </c>
      <c r="N95" s="105"/>
      <c r="O95" s="105"/>
      <c r="P95" s="105"/>
      <c r="Q95" s="105"/>
      <c r="R95" s="105"/>
      <c r="S95" s="105"/>
    </row>
    <row r="96" spans="1:29">
      <c r="A96" s="56">
        <v>38656</v>
      </c>
      <c r="B96" s="202">
        <v>0.97726363795314375</v>
      </c>
      <c r="C96" s="59"/>
      <c r="D96" s="60"/>
      <c r="E96" s="60"/>
      <c r="F96" s="55"/>
      <c r="G96" s="311">
        <v>-1.3636681095651399E-2</v>
      </c>
      <c r="H96" s="312">
        <f t="shared" si="20"/>
        <v>0.98636331890434858</v>
      </c>
      <c r="I96" s="4"/>
      <c r="L96" s="4">
        <v>-1.9150804467737398E-2</v>
      </c>
      <c r="M96" s="58">
        <v>0.98084919553226257</v>
      </c>
      <c r="N96" s="105"/>
      <c r="O96" s="105"/>
      <c r="P96" s="105"/>
      <c r="Q96" s="105"/>
      <c r="R96" s="105"/>
      <c r="S96" s="105"/>
    </row>
    <row r="97" spans="1:19">
      <c r="A97" s="56">
        <v>38686</v>
      </c>
      <c r="B97" s="202">
        <v>1.0455298726991693</v>
      </c>
      <c r="C97" s="59"/>
      <c r="D97" s="60"/>
      <c r="E97" s="60"/>
      <c r="F97" s="55"/>
      <c r="G97" s="311">
        <v>2.0728019050048101E-2</v>
      </c>
      <c r="H97" s="312">
        <f t="shared" si="20"/>
        <v>1.0207280190500481</v>
      </c>
      <c r="I97" s="4"/>
      <c r="L97" s="4">
        <v>9.4259813287362899E-3</v>
      </c>
      <c r="M97" s="58">
        <v>1.0094259813287363</v>
      </c>
      <c r="N97" s="105"/>
      <c r="O97" s="105"/>
      <c r="P97" s="105"/>
      <c r="Q97" s="105"/>
      <c r="R97" s="105"/>
      <c r="S97" s="105"/>
    </row>
    <row r="98" spans="1:19">
      <c r="A98" s="56">
        <v>38717</v>
      </c>
      <c r="B98" s="202">
        <v>1.0253810531945584</v>
      </c>
      <c r="C98" s="59"/>
      <c r="D98" s="60"/>
      <c r="E98" s="60"/>
      <c r="F98" s="55"/>
      <c r="G98" s="311">
        <v>1.91075350703886E-2</v>
      </c>
      <c r="H98" s="312">
        <f t="shared" si="20"/>
        <v>1.0191075350703886</v>
      </c>
      <c r="I98" s="4"/>
      <c r="L98" s="4">
        <v>1.9581223866538898E-2</v>
      </c>
      <c r="M98" s="58">
        <v>1.0195812238665389</v>
      </c>
      <c r="N98" s="105"/>
      <c r="O98" s="105"/>
      <c r="P98" s="105"/>
      <c r="Q98" s="105"/>
      <c r="R98" s="105"/>
      <c r="S98" s="105"/>
    </row>
    <row r="99" spans="1:19">
      <c r="A99" s="56">
        <v>38748</v>
      </c>
      <c r="B99" s="202">
        <v>1.0156397166957134</v>
      </c>
      <c r="C99" s="59"/>
      <c r="D99" s="60"/>
      <c r="E99" s="60"/>
      <c r="F99" s="55"/>
      <c r="G99" s="311">
        <v>1.4181070298097599E-2</v>
      </c>
      <c r="H99" s="312">
        <f t="shared" si="20"/>
        <v>1.0141810702980976</v>
      </c>
      <c r="I99" s="4"/>
      <c r="L99" s="4">
        <v>3.2985171974051701E-2</v>
      </c>
      <c r="M99" s="58">
        <v>1.0329851719740517</v>
      </c>
      <c r="N99" s="105"/>
      <c r="O99" s="105"/>
      <c r="P99" s="105"/>
      <c r="Q99" s="105"/>
      <c r="R99" s="105"/>
      <c r="S99" s="105"/>
    </row>
    <row r="100" spans="1:19">
      <c r="A100" s="56">
        <v>38776</v>
      </c>
      <c r="B100" s="202">
        <v>1.0081573970456896</v>
      </c>
      <c r="C100" s="59"/>
      <c r="D100" s="60"/>
      <c r="E100" s="60"/>
      <c r="F100" s="55"/>
      <c r="G100" s="311">
        <v>3.3281275313705701E-3</v>
      </c>
      <c r="H100" s="312">
        <f t="shared" si="20"/>
        <v>1.0033281275313706</v>
      </c>
      <c r="I100" s="4"/>
      <c r="L100" s="4">
        <v>-5.4738207234573703E-3</v>
      </c>
      <c r="M100" s="58">
        <v>0.99452617927654263</v>
      </c>
      <c r="N100" s="105"/>
      <c r="O100" s="105"/>
      <c r="P100" s="105"/>
      <c r="Q100" s="105"/>
      <c r="R100" s="105"/>
      <c r="S100" s="105"/>
    </row>
    <row r="101" spans="1:19">
      <c r="A101" s="56">
        <v>38807</v>
      </c>
      <c r="B101" s="202">
        <v>0.97910793661185225</v>
      </c>
      <c r="C101" s="59"/>
      <c r="D101" s="60"/>
      <c r="E101" s="60"/>
      <c r="F101" s="55"/>
      <c r="G101" s="311">
        <v>4.7450161319262402E-3</v>
      </c>
      <c r="H101" s="312">
        <f t="shared" si="20"/>
        <v>1.0047450161319262</v>
      </c>
      <c r="I101" s="4"/>
      <c r="L101" s="4">
        <v>6.8497135552494405E-3</v>
      </c>
      <c r="M101" s="58">
        <v>1.0068497135552494</v>
      </c>
      <c r="N101" s="105"/>
      <c r="O101" s="105"/>
      <c r="P101" s="105"/>
      <c r="Q101" s="105"/>
      <c r="R101" s="105"/>
      <c r="S101" s="105"/>
    </row>
    <row r="102" spans="1:19">
      <c r="A102" s="56">
        <v>38837</v>
      </c>
      <c r="B102" s="202">
        <v>0.96826555962147853</v>
      </c>
      <c r="C102" s="59"/>
      <c r="D102" s="60"/>
      <c r="E102" s="60"/>
      <c r="F102" s="55"/>
      <c r="G102" s="311">
        <v>8.8331626753457304E-4</v>
      </c>
      <c r="H102" s="312">
        <f t="shared" si="20"/>
        <v>1.0008833162675346</v>
      </c>
      <c r="I102" s="4"/>
      <c r="L102" s="4">
        <v>2.8665581215996799E-2</v>
      </c>
      <c r="M102" s="58">
        <v>1.0286655812159968</v>
      </c>
      <c r="N102" s="105"/>
      <c r="O102" s="105"/>
      <c r="P102" s="105"/>
      <c r="Q102" s="105"/>
      <c r="R102" s="105"/>
      <c r="S102" s="105"/>
    </row>
    <row r="103" spans="1:19">
      <c r="A103" s="56">
        <v>38868</v>
      </c>
      <c r="B103" s="202">
        <v>0.97795158208697008</v>
      </c>
      <c r="C103" s="59"/>
      <c r="D103" s="60"/>
      <c r="E103" s="60"/>
      <c r="F103" s="55"/>
      <c r="G103" s="311">
        <v>-1.7956138350864001E-2</v>
      </c>
      <c r="H103" s="312">
        <f t="shared" si="20"/>
        <v>0.98204386164913604</v>
      </c>
      <c r="I103" s="4"/>
      <c r="L103" s="4">
        <v>-4.9419566909463305E-3</v>
      </c>
      <c r="M103" s="58">
        <v>0.99505804330905367</v>
      </c>
      <c r="N103" s="105"/>
      <c r="O103" s="105"/>
      <c r="P103" s="105"/>
      <c r="Q103" s="105"/>
      <c r="R103" s="105"/>
      <c r="S103" s="105"/>
    </row>
    <row r="104" spans="1:19">
      <c r="A104" s="56">
        <v>38898</v>
      </c>
      <c r="B104" s="202">
        <v>1.0212408134598066</v>
      </c>
      <c r="C104" s="59"/>
      <c r="D104" s="60"/>
      <c r="E104" s="60"/>
      <c r="F104" s="55"/>
      <c r="G104" s="311">
        <v>1.647159666329E-3</v>
      </c>
      <c r="H104" s="312">
        <f t="shared" si="20"/>
        <v>1.001647159666329</v>
      </c>
      <c r="I104" s="4"/>
      <c r="L104" s="4">
        <v>-3.5902435061674299E-3</v>
      </c>
      <c r="M104" s="58">
        <v>0.99640975649383257</v>
      </c>
      <c r="N104" s="105"/>
      <c r="O104" s="105"/>
      <c r="P104" s="105"/>
      <c r="Q104" s="105"/>
      <c r="R104" s="105"/>
      <c r="S104" s="105"/>
    </row>
    <row r="105" spans="1:19">
      <c r="A105" s="56">
        <v>38929</v>
      </c>
      <c r="B105" s="202">
        <v>0.99998761623625343</v>
      </c>
      <c r="C105" s="59"/>
      <c r="D105" s="60"/>
      <c r="E105" s="60"/>
      <c r="F105" s="55"/>
      <c r="G105" s="311">
        <v>8.7266934076726307E-3</v>
      </c>
      <c r="H105" s="312">
        <f t="shared" si="20"/>
        <v>1.0087266934076726</v>
      </c>
      <c r="I105" s="4"/>
      <c r="L105" s="4">
        <v>8.9459720612112808E-3</v>
      </c>
      <c r="M105" s="58">
        <v>1.0089459720612113</v>
      </c>
      <c r="N105" s="105"/>
      <c r="O105" s="105"/>
      <c r="P105" s="105"/>
      <c r="Q105" s="105"/>
      <c r="R105" s="105"/>
      <c r="S105" s="105"/>
    </row>
    <row r="106" spans="1:19">
      <c r="A106" s="56">
        <v>38960</v>
      </c>
      <c r="B106" s="202">
        <v>1.0433896334994881</v>
      </c>
      <c r="C106" s="59"/>
      <c r="D106" s="60"/>
      <c r="E106" s="60"/>
      <c r="F106" s="55"/>
      <c r="G106" s="311">
        <v>1.8301847304370299E-2</v>
      </c>
      <c r="H106" s="312">
        <f t="shared" si="20"/>
        <v>1.0183018473043703</v>
      </c>
      <c r="I106" s="4"/>
      <c r="L106" s="4">
        <v>2.0642852455758698E-2</v>
      </c>
      <c r="M106" s="58">
        <v>1.0206428524557587</v>
      </c>
      <c r="N106" s="105"/>
      <c r="O106" s="105"/>
      <c r="P106" s="105"/>
      <c r="Q106" s="105"/>
      <c r="R106" s="105"/>
      <c r="S106" s="105"/>
    </row>
    <row r="107" spans="1:19">
      <c r="A107" s="56">
        <v>38990</v>
      </c>
      <c r="B107" s="202">
        <v>1.0379496520136657</v>
      </c>
      <c r="C107" s="59"/>
      <c r="D107" s="60"/>
      <c r="E107" s="60"/>
      <c r="F107" s="55"/>
      <c r="G107" s="311">
        <v>1.1915242975767E-2</v>
      </c>
      <c r="H107" s="312">
        <f t="shared" si="20"/>
        <v>1.011915242975767</v>
      </c>
      <c r="I107" s="4"/>
      <c r="L107" s="4">
        <v>3.8988081912296703E-3</v>
      </c>
      <c r="M107" s="58">
        <v>1.0038988081912297</v>
      </c>
      <c r="N107" s="105"/>
      <c r="O107" s="105"/>
      <c r="P107" s="105"/>
      <c r="Q107" s="105"/>
      <c r="R107" s="105"/>
      <c r="S107" s="105"/>
    </row>
    <row r="108" spans="1:19">
      <c r="A108" s="56">
        <v>39021</v>
      </c>
      <c r="B108" s="202">
        <v>1.0255592650342167</v>
      </c>
      <c r="C108" s="59"/>
      <c r="D108" s="60"/>
      <c r="E108" s="60"/>
      <c r="F108" s="55"/>
      <c r="G108" s="311">
        <v>1.48815707351988E-2</v>
      </c>
      <c r="H108" s="312">
        <f t="shared" si="20"/>
        <v>1.0148815707351988</v>
      </c>
      <c r="I108" s="4"/>
      <c r="L108" s="4">
        <v>2.2062835370289902E-2</v>
      </c>
      <c r="M108" s="58">
        <v>1.0220628353702899</v>
      </c>
      <c r="N108" s="105"/>
      <c r="O108" s="105"/>
      <c r="P108" s="105"/>
      <c r="Q108" s="105"/>
      <c r="R108" s="105"/>
      <c r="S108" s="105"/>
    </row>
    <row r="109" spans="1:19">
      <c r="A109" s="56">
        <v>39051</v>
      </c>
      <c r="B109" s="202">
        <v>0.97113787058686674</v>
      </c>
      <c r="C109" s="59"/>
      <c r="D109" s="60"/>
      <c r="E109" s="60"/>
      <c r="F109" s="55"/>
      <c r="G109" s="311">
        <v>9.3161049670400509E-3</v>
      </c>
      <c r="H109" s="312">
        <f t="shared" si="20"/>
        <v>1.0093161049670401</v>
      </c>
      <c r="I109" s="4"/>
      <c r="L109" s="4">
        <v>3.1371297804847702E-2</v>
      </c>
      <c r="M109" s="58">
        <v>1.0313712978048477</v>
      </c>
      <c r="N109" s="105"/>
      <c r="O109" s="105"/>
      <c r="P109" s="105"/>
      <c r="Q109" s="105"/>
      <c r="R109" s="105"/>
      <c r="S109" s="105"/>
    </row>
    <row r="110" spans="1:19">
      <c r="A110" s="56">
        <v>39082</v>
      </c>
      <c r="B110" s="202">
        <v>1.0126551140717488</v>
      </c>
      <c r="C110" s="59"/>
      <c r="D110" s="60"/>
      <c r="E110" s="60"/>
      <c r="F110" s="55"/>
      <c r="G110" s="311">
        <v>7.0064169051557998E-3</v>
      </c>
      <c r="H110" s="312">
        <f t="shared" si="20"/>
        <v>1.0070064169051558</v>
      </c>
      <c r="I110" s="4"/>
      <c r="L110" s="4">
        <v>1.6931612922814802E-3</v>
      </c>
      <c r="M110" s="58">
        <v>1.0016931612922815</v>
      </c>
      <c r="N110" s="105"/>
      <c r="O110" s="105"/>
      <c r="P110" s="105"/>
      <c r="Q110" s="105"/>
      <c r="R110" s="105"/>
      <c r="S110" s="105"/>
    </row>
    <row r="111" spans="1:19">
      <c r="A111" s="56">
        <v>39113</v>
      </c>
      <c r="B111" s="202">
        <v>1.0026739517321481</v>
      </c>
      <c r="C111" s="59"/>
      <c r="D111" s="60"/>
      <c r="E111" s="60"/>
      <c r="F111" s="55"/>
      <c r="G111" s="311">
        <v>5.0369145781632403E-3</v>
      </c>
      <c r="H111" s="312">
        <f t="shared" si="20"/>
        <v>1.0050369145781632</v>
      </c>
      <c r="I111" s="4"/>
      <c r="L111" s="4">
        <v>-3.2253545523915901E-3</v>
      </c>
      <c r="M111" s="58">
        <v>0.99677464544760841</v>
      </c>
      <c r="N111" s="105"/>
      <c r="O111" s="105"/>
      <c r="P111" s="105"/>
      <c r="Q111" s="105"/>
      <c r="R111" s="105"/>
      <c r="S111" s="105"/>
    </row>
    <row r="112" spans="1:19">
      <c r="A112" s="56">
        <v>39141</v>
      </c>
      <c r="B112" s="202">
        <v>0.99298984646281052</v>
      </c>
      <c r="C112" s="59"/>
      <c r="D112" s="60"/>
      <c r="E112" s="60"/>
      <c r="F112" s="55"/>
      <c r="G112" s="311">
        <v>3.6194249071290802E-3</v>
      </c>
      <c r="H112" s="312">
        <f t="shared" si="20"/>
        <v>1.0036194249071291</v>
      </c>
      <c r="I112" s="4"/>
      <c r="L112" s="4">
        <v>1.23949449982297E-2</v>
      </c>
      <c r="M112" s="58">
        <v>1.0123949449982297</v>
      </c>
      <c r="N112" s="105"/>
      <c r="O112" s="105"/>
      <c r="P112" s="105"/>
      <c r="Q112" s="105"/>
      <c r="R112" s="105"/>
      <c r="S112" s="105"/>
    </row>
    <row r="113" spans="1:19">
      <c r="A113" s="56">
        <v>39172</v>
      </c>
      <c r="B113" s="202">
        <v>1.003854852320772</v>
      </c>
      <c r="C113" s="59"/>
      <c r="D113" s="60"/>
      <c r="E113" s="60"/>
      <c r="F113" s="55"/>
      <c r="G113" s="311">
        <v>6.0821217165776299E-3</v>
      </c>
      <c r="H113" s="312">
        <f t="shared" si="20"/>
        <v>1.0060821217165776</v>
      </c>
      <c r="I113" s="4"/>
      <c r="L113" s="4">
        <v>1.02768526128916E-2</v>
      </c>
      <c r="M113" s="58">
        <v>1.0102768526128916</v>
      </c>
      <c r="N113" s="105"/>
      <c r="O113" s="105"/>
      <c r="P113" s="105"/>
      <c r="Q113" s="105"/>
      <c r="R113" s="105"/>
      <c r="S113" s="105"/>
    </row>
    <row r="114" spans="1:19">
      <c r="A114" s="56">
        <v>39202</v>
      </c>
      <c r="B114" s="202">
        <v>1.0046917912204318</v>
      </c>
      <c r="C114" s="59"/>
      <c r="D114" s="60"/>
      <c r="E114" s="60"/>
      <c r="F114" s="55"/>
      <c r="G114" s="311">
        <v>1.6833189389364098E-2</v>
      </c>
      <c r="H114" s="312">
        <f t="shared" si="20"/>
        <v>1.0168331893893641</v>
      </c>
      <c r="I114" s="4"/>
      <c r="L114" s="4">
        <v>3.1171725691045097E-2</v>
      </c>
      <c r="M114" s="58">
        <v>1.0311717256910451</v>
      </c>
      <c r="N114" s="105"/>
      <c r="O114" s="105"/>
      <c r="P114" s="105"/>
      <c r="Q114" s="105"/>
      <c r="R114" s="105"/>
      <c r="S114" s="105"/>
    </row>
    <row r="115" spans="1:19">
      <c r="A115" s="56">
        <v>39233</v>
      </c>
      <c r="B115" s="202">
        <v>1.0168007344108179</v>
      </c>
      <c r="C115" s="59"/>
      <c r="D115" s="60"/>
      <c r="E115" s="60"/>
      <c r="F115" s="55"/>
      <c r="G115" s="311">
        <v>9.9845000585947492E-3</v>
      </c>
      <c r="H115" s="312">
        <f t="shared" si="20"/>
        <v>1.0099845000585947</v>
      </c>
      <c r="I115" s="4"/>
      <c r="L115" s="4">
        <v>1.84220865919138E-3</v>
      </c>
      <c r="M115" s="58">
        <v>1.0018422086591914</v>
      </c>
      <c r="N115" s="105"/>
      <c r="O115" s="105"/>
      <c r="P115" s="105"/>
      <c r="Q115" s="105"/>
      <c r="R115" s="105"/>
      <c r="S115" s="105"/>
    </row>
    <row r="116" spans="1:19">
      <c r="A116" s="56">
        <v>39263</v>
      </c>
      <c r="B116" s="202">
        <v>0.97702894403696516</v>
      </c>
      <c r="C116" s="59"/>
      <c r="D116" s="60"/>
      <c r="E116" s="60"/>
      <c r="F116" s="55"/>
      <c r="G116" s="311">
        <v>-4.53457455984441E-3</v>
      </c>
      <c r="H116" s="312">
        <f t="shared" si="20"/>
        <v>0.99546542544015559</v>
      </c>
      <c r="I116" s="4"/>
      <c r="L116" s="4">
        <v>-1.49952838068712E-3</v>
      </c>
      <c r="M116" s="58">
        <v>0.99850047161931288</v>
      </c>
      <c r="N116" s="105"/>
      <c r="O116" s="105"/>
      <c r="P116" s="105"/>
      <c r="Q116" s="105"/>
      <c r="R116" s="105"/>
      <c r="S116" s="105"/>
    </row>
    <row r="117" spans="1:19">
      <c r="A117" s="56">
        <v>39294</v>
      </c>
      <c r="B117" s="202">
        <v>0.99055836998631119</v>
      </c>
      <c r="C117" s="59"/>
      <c r="D117" s="60"/>
      <c r="E117" s="60"/>
      <c r="F117" s="55"/>
      <c r="G117" s="311">
        <v>-5.23022449357613E-3</v>
      </c>
      <c r="H117" s="312">
        <f t="shared" si="20"/>
        <v>0.99476977550642387</v>
      </c>
      <c r="I117" s="4"/>
      <c r="L117" s="4">
        <v>4.8061739718765501E-3</v>
      </c>
      <c r="M117" s="58">
        <v>1.0048061739718765</v>
      </c>
      <c r="N117" s="105"/>
      <c r="O117" s="105"/>
      <c r="P117" s="105"/>
      <c r="Q117" s="105"/>
      <c r="R117" s="105"/>
      <c r="S117" s="105"/>
    </row>
    <row r="118" spans="1:19">
      <c r="A118" s="56">
        <v>39325</v>
      </c>
      <c r="B118" s="202">
        <v>0.99891120373265707</v>
      </c>
      <c r="C118" s="59"/>
      <c r="D118" s="60"/>
      <c r="E118" s="60"/>
      <c r="F118" s="55"/>
      <c r="G118" s="311">
        <v>1.1769403769483801E-3</v>
      </c>
      <c r="H118" s="312">
        <f t="shared" si="20"/>
        <v>1.0011769403769484</v>
      </c>
      <c r="I118" s="4"/>
      <c r="L118" s="4">
        <v>-1.0030101073890102E-3</v>
      </c>
      <c r="M118" s="58">
        <v>0.99899698989261099</v>
      </c>
      <c r="N118" s="105"/>
      <c r="O118" s="105"/>
      <c r="P118" s="105"/>
      <c r="Q118" s="105"/>
      <c r="R118" s="105"/>
      <c r="S118" s="105"/>
    </row>
    <row r="119" spans="1:19">
      <c r="A119" s="56">
        <v>39355</v>
      </c>
      <c r="B119" s="202">
        <v>0.96816749198387841</v>
      </c>
      <c r="C119" s="59"/>
      <c r="D119" s="60"/>
      <c r="E119" s="60"/>
      <c r="F119" s="55"/>
      <c r="G119" s="311">
        <v>1.5578721891717801E-2</v>
      </c>
      <c r="H119" s="312">
        <f t="shared" si="20"/>
        <v>1.0155787218917178</v>
      </c>
      <c r="I119" s="4"/>
      <c r="L119" s="4">
        <v>3.9562534940170299E-2</v>
      </c>
      <c r="M119" s="58">
        <v>1.0395625349401703</v>
      </c>
      <c r="N119" s="105"/>
      <c r="O119" s="105"/>
      <c r="P119" s="105"/>
      <c r="Q119" s="105"/>
      <c r="R119" s="105"/>
      <c r="S119" s="105"/>
    </row>
    <row r="120" spans="1:19">
      <c r="A120" s="56">
        <v>39386</v>
      </c>
      <c r="B120" s="202">
        <v>1.0239821624080696</v>
      </c>
      <c r="C120" s="59"/>
      <c r="D120" s="60"/>
      <c r="E120" s="60"/>
      <c r="F120" s="55"/>
      <c r="G120" s="311">
        <v>1.7586640703431501E-2</v>
      </c>
      <c r="H120" s="312">
        <f t="shared" si="20"/>
        <v>1.0175866407034315</v>
      </c>
      <c r="I120" s="4"/>
      <c r="L120" s="4">
        <v>2.9851016928442099E-2</v>
      </c>
      <c r="M120" s="58">
        <v>1.0298510169284421</v>
      </c>
      <c r="N120" s="105"/>
      <c r="O120" s="105"/>
      <c r="P120" s="105"/>
      <c r="Q120" s="105"/>
      <c r="R120" s="105"/>
      <c r="S120" s="105"/>
    </row>
    <row r="121" spans="1:19">
      <c r="A121" s="56">
        <v>39416</v>
      </c>
      <c r="B121" s="202">
        <v>1.0142349169914904</v>
      </c>
      <c r="C121" s="59"/>
      <c r="D121" s="60"/>
      <c r="E121" s="60"/>
      <c r="F121" s="55"/>
      <c r="G121" s="311">
        <v>-1.8658847314694599E-2</v>
      </c>
      <c r="H121" s="312">
        <f t="shared" si="20"/>
        <v>0.98134115268530542</v>
      </c>
      <c r="I121" s="4"/>
      <c r="L121" s="4">
        <v>-1.3851391418768299E-2</v>
      </c>
      <c r="M121" s="58">
        <v>0.98614860858123166</v>
      </c>
      <c r="N121" s="105"/>
      <c r="O121" s="105"/>
      <c r="P121" s="105"/>
      <c r="Q121" s="105"/>
      <c r="R121" s="105"/>
      <c r="S121" s="105"/>
    </row>
    <row r="122" spans="1:19">
      <c r="A122" s="56">
        <v>39447</v>
      </c>
      <c r="B122" s="202">
        <v>0.9682906399468022</v>
      </c>
      <c r="C122" s="59"/>
      <c r="D122" s="60"/>
      <c r="E122" s="60"/>
      <c r="F122" s="55"/>
      <c r="G122" s="311">
        <v>-5.0336039775491503E-3</v>
      </c>
      <c r="H122" s="312">
        <f t="shared" si="20"/>
        <v>0.99496639602245085</v>
      </c>
      <c r="I122" s="4"/>
      <c r="L122" s="4">
        <v>-1.1192801009047499E-2</v>
      </c>
      <c r="M122" s="58">
        <v>0.98880719899095249</v>
      </c>
      <c r="N122" s="105"/>
      <c r="O122" s="105"/>
      <c r="P122" s="105"/>
      <c r="Q122" s="105"/>
      <c r="R122" s="105"/>
      <c r="S122" s="105"/>
    </row>
    <row r="123" spans="1:19">
      <c r="A123" s="56">
        <v>39478</v>
      </c>
      <c r="B123" s="202">
        <v>0.97532232277486519</v>
      </c>
      <c r="C123" s="59"/>
      <c r="D123" s="60"/>
      <c r="E123" s="60"/>
      <c r="F123" s="55"/>
      <c r="G123" s="311">
        <v>-3.4919911736459502E-2</v>
      </c>
      <c r="H123" s="312">
        <f t="shared" si="20"/>
        <v>0.96508008826354053</v>
      </c>
      <c r="I123" s="4"/>
      <c r="L123" s="4">
        <v>-2.6730025119162303E-2</v>
      </c>
      <c r="M123" s="58">
        <v>0.97326997488083766</v>
      </c>
      <c r="N123" s="105"/>
      <c r="O123" s="105"/>
      <c r="P123" s="105"/>
      <c r="Q123" s="105"/>
      <c r="R123" s="105"/>
      <c r="S123" s="105"/>
    </row>
    <row r="124" spans="1:19">
      <c r="A124" s="56">
        <v>39507</v>
      </c>
      <c r="B124" s="202">
        <v>0.96978974164317799</v>
      </c>
      <c r="C124" s="59"/>
      <c r="D124" s="60"/>
      <c r="E124" s="60"/>
      <c r="F124" s="55"/>
      <c r="G124" s="311">
        <v>-3.0252005349757898E-3</v>
      </c>
      <c r="H124" s="312">
        <f t="shared" si="20"/>
        <v>0.99697479946502421</v>
      </c>
      <c r="I124" s="4"/>
      <c r="L124" s="4">
        <v>1.1630370707505399E-2</v>
      </c>
      <c r="M124" s="58">
        <v>1.0116303707075054</v>
      </c>
      <c r="N124" s="105"/>
      <c r="O124" s="105"/>
      <c r="P124" s="105"/>
      <c r="Q124" s="105"/>
      <c r="R124" s="105"/>
      <c r="S124" s="105"/>
    </row>
    <row r="125" spans="1:19">
      <c r="A125" s="56">
        <v>39538</v>
      </c>
      <c r="B125" s="202">
        <v>0.97448443253804995</v>
      </c>
      <c r="C125" s="59"/>
      <c r="D125" s="60"/>
      <c r="E125" s="60"/>
      <c r="F125" s="55"/>
      <c r="G125" s="311">
        <v>-1.9094939050364901E-2</v>
      </c>
      <c r="H125" s="312">
        <f t="shared" si="20"/>
        <v>0.98090506094963514</v>
      </c>
      <c r="I125" s="4"/>
      <c r="L125" s="4">
        <v>2.7636566667044198E-4</v>
      </c>
      <c r="M125" s="58">
        <v>1.0002763656666704</v>
      </c>
      <c r="N125" s="105"/>
      <c r="O125" s="105"/>
      <c r="P125" s="105"/>
      <c r="Q125" s="105"/>
      <c r="R125" s="105"/>
      <c r="S125" s="105"/>
    </row>
    <row r="126" spans="1:19">
      <c r="A126" s="56">
        <v>39568</v>
      </c>
      <c r="B126" s="202">
        <v>1.022680963815781</v>
      </c>
      <c r="C126" s="59"/>
      <c r="D126" s="60"/>
      <c r="E126" s="60"/>
      <c r="F126" s="55"/>
      <c r="G126" s="311">
        <v>2.76424459516551E-2</v>
      </c>
      <c r="H126" s="312">
        <f t="shared" si="20"/>
        <v>1.0276424459516551</v>
      </c>
      <c r="I126" s="4"/>
      <c r="L126" s="4">
        <v>1.7027199191946202E-2</v>
      </c>
      <c r="M126" s="58">
        <v>1.0170271991919462</v>
      </c>
      <c r="N126" s="105"/>
      <c r="O126" s="105"/>
      <c r="P126" s="105"/>
      <c r="Q126" s="105"/>
      <c r="R126" s="105"/>
      <c r="S126" s="105"/>
    </row>
    <row r="127" spans="1:19">
      <c r="A127" s="56">
        <v>39599</v>
      </c>
      <c r="B127" s="202">
        <v>1.0029188670624882</v>
      </c>
      <c r="C127" s="59"/>
      <c r="D127" s="60"/>
      <c r="E127" s="60"/>
      <c r="F127" s="55"/>
      <c r="G127" s="311">
        <v>5.5456636845532302E-3</v>
      </c>
      <c r="H127" s="312">
        <f t="shared" si="20"/>
        <v>1.0055456636845532</v>
      </c>
      <c r="I127" s="4"/>
      <c r="L127" s="4">
        <v>4.4323953294231897E-3</v>
      </c>
      <c r="M127" s="58">
        <v>1.0044323953294232</v>
      </c>
      <c r="N127" s="105"/>
      <c r="O127" s="105"/>
      <c r="P127" s="105"/>
      <c r="Q127" s="105"/>
      <c r="R127" s="105"/>
      <c r="S127" s="105"/>
    </row>
    <row r="128" spans="1:19">
      <c r="A128" s="56">
        <v>39629</v>
      </c>
      <c r="B128" s="202">
        <v>0.95381704441529203</v>
      </c>
      <c r="C128" s="59"/>
      <c r="D128" s="60"/>
      <c r="E128" s="60"/>
      <c r="F128" s="55"/>
      <c r="G128" s="311">
        <v>-5.0347299055037202E-2</v>
      </c>
      <c r="H128" s="312">
        <f t="shared" si="20"/>
        <v>0.94965270094496279</v>
      </c>
      <c r="I128" s="4"/>
      <c r="L128" s="4">
        <v>-4.4525674008747601E-2</v>
      </c>
      <c r="M128" s="58">
        <v>0.95547432599125237</v>
      </c>
      <c r="N128" s="105"/>
      <c r="O128" s="105"/>
      <c r="P128" s="105"/>
      <c r="Q128" s="105"/>
      <c r="R128" s="105"/>
      <c r="S128" s="105"/>
    </row>
    <row r="129" spans="1:19">
      <c r="A129" s="56">
        <v>39660</v>
      </c>
      <c r="B129" s="202">
        <v>0.9940430576831939</v>
      </c>
      <c r="C129" s="59"/>
      <c r="D129" s="60"/>
      <c r="E129" s="60"/>
      <c r="F129" s="55"/>
      <c r="G129" s="311">
        <v>-7.2826380889143803E-3</v>
      </c>
      <c r="H129" s="312">
        <f t="shared" si="20"/>
        <v>0.99271736191108562</v>
      </c>
      <c r="I129" s="4"/>
      <c r="L129" s="4">
        <v>-1.3635305730170199E-2</v>
      </c>
      <c r="M129" s="58">
        <v>0.98636469426982976</v>
      </c>
      <c r="N129" s="105"/>
      <c r="O129" s="105"/>
      <c r="P129" s="105"/>
      <c r="Q129" s="105"/>
      <c r="R129" s="105"/>
      <c r="S129" s="105"/>
    </row>
    <row r="130" spans="1:19">
      <c r="A130" s="56">
        <v>39691</v>
      </c>
      <c r="B130" s="202">
        <v>1.0259010844900294</v>
      </c>
      <c r="C130" s="59"/>
      <c r="D130" s="60"/>
      <c r="E130" s="60"/>
      <c r="F130" s="55"/>
      <c r="G130" s="311">
        <v>1.11309606159675E-2</v>
      </c>
      <c r="H130" s="312">
        <f t="shared" si="20"/>
        <v>1.0111309606159675</v>
      </c>
      <c r="I130" s="4"/>
      <c r="L130" s="4">
        <v>-2.6391647538128699E-2</v>
      </c>
      <c r="M130" s="58">
        <v>0.97360835246187127</v>
      </c>
      <c r="N130" s="105"/>
      <c r="O130" s="105"/>
      <c r="P130" s="105"/>
      <c r="Q130" s="105"/>
      <c r="R130" s="105"/>
      <c r="S130" s="105"/>
    </row>
    <row r="131" spans="1:19">
      <c r="A131" s="56">
        <v>39721</v>
      </c>
      <c r="B131" s="202">
        <v>0.98116413817323067</v>
      </c>
      <c r="C131" s="59"/>
      <c r="D131" s="60"/>
      <c r="E131" s="60"/>
      <c r="F131" s="55"/>
      <c r="G131" s="311">
        <v>-8.0327754743751104E-2</v>
      </c>
      <c r="H131" s="312">
        <f t="shared" si="20"/>
        <v>0.91967224525624891</v>
      </c>
      <c r="I131" s="4"/>
      <c r="L131" s="4">
        <v>-0.10239321574491</v>
      </c>
      <c r="M131" s="58">
        <v>0.89760678425509</v>
      </c>
      <c r="N131" s="105"/>
      <c r="O131" s="105"/>
      <c r="P131" s="105"/>
      <c r="Q131" s="105"/>
      <c r="R131" s="105"/>
      <c r="S131" s="105"/>
    </row>
    <row r="132" spans="1:19">
      <c r="A132" s="56">
        <v>39752</v>
      </c>
      <c r="B132" s="202">
        <v>0.96489726157712918</v>
      </c>
      <c r="C132" s="59"/>
      <c r="D132" s="60"/>
      <c r="E132" s="60"/>
      <c r="F132" s="55"/>
      <c r="G132" s="311">
        <v>-0.10454813564835599</v>
      </c>
      <c r="H132" s="312">
        <f t="shared" ref="H132:H195" si="26">G132+1</f>
        <v>0.89545186435164403</v>
      </c>
      <c r="I132" s="4"/>
      <c r="L132" s="4">
        <v>-0.15261547790878699</v>
      </c>
      <c r="M132" s="58">
        <v>0.84738452209121307</v>
      </c>
      <c r="N132" s="105"/>
      <c r="O132" s="105"/>
      <c r="P132" s="105"/>
      <c r="Q132" s="105"/>
      <c r="R132" s="105"/>
      <c r="S132" s="105"/>
    </row>
    <row r="133" spans="1:19">
      <c r="A133" s="56">
        <v>39782</v>
      </c>
      <c r="B133" s="202">
        <v>1.0126841358732483</v>
      </c>
      <c r="C133" s="59"/>
      <c r="D133" s="60"/>
      <c r="E133" s="60"/>
      <c r="F133" s="55"/>
      <c r="G133" s="311">
        <v>-1.9462941049269902E-2</v>
      </c>
      <c r="H133" s="312">
        <f t="shared" si="26"/>
        <v>0.98053705895073007</v>
      </c>
      <c r="I133" s="4"/>
      <c r="L133" s="4">
        <v>-2.7038177331989401E-2</v>
      </c>
      <c r="M133" s="58">
        <v>0.97296182266801057</v>
      </c>
      <c r="N133" s="105"/>
      <c r="O133" s="105"/>
      <c r="P133" s="105"/>
      <c r="Q133" s="105"/>
      <c r="R133" s="105"/>
      <c r="S133" s="105"/>
    </row>
    <row r="134" spans="1:19">
      <c r="A134" s="56">
        <v>39813</v>
      </c>
      <c r="B134" s="202">
        <v>1.0586884290541689</v>
      </c>
      <c r="C134" s="59"/>
      <c r="D134" s="60"/>
      <c r="E134" s="60"/>
      <c r="F134" s="55"/>
      <c r="G134" s="311">
        <v>2.16422707936113E-2</v>
      </c>
      <c r="H134" s="312">
        <f t="shared" si="26"/>
        <v>1.0216422707936113</v>
      </c>
      <c r="I134" s="4"/>
      <c r="L134" s="4">
        <v>5.9436848488883899E-2</v>
      </c>
      <c r="M134" s="58">
        <v>1.0594368484888839</v>
      </c>
      <c r="N134" s="105"/>
      <c r="O134" s="105"/>
      <c r="P134" s="105"/>
      <c r="Q134" s="105"/>
      <c r="R134" s="105"/>
      <c r="S134" s="105"/>
    </row>
    <row r="135" spans="1:19">
      <c r="A135" s="56">
        <v>39844</v>
      </c>
      <c r="B135" s="202">
        <v>0.91661083908444341</v>
      </c>
      <c r="C135" s="59"/>
      <c r="D135" s="60"/>
      <c r="E135" s="60"/>
      <c r="F135" s="55"/>
      <c r="G135" s="311">
        <v>-3.7173809434537103E-2</v>
      </c>
      <c r="H135" s="312">
        <f t="shared" si="26"/>
        <v>0.96282619056546292</v>
      </c>
      <c r="I135" s="4"/>
      <c r="L135" s="4">
        <v>-7.1353533484314599E-2</v>
      </c>
      <c r="M135" s="58">
        <v>0.92864646651568539</v>
      </c>
      <c r="N135" s="105"/>
      <c r="O135" s="105"/>
      <c r="P135" s="105"/>
      <c r="Q135" s="105"/>
      <c r="R135" s="105"/>
      <c r="S135" s="105"/>
    </row>
    <row r="136" spans="1:19">
      <c r="A136" s="56">
        <v>39872</v>
      </c>
      <c r="B136" s="202">
        <v>0.96098080913845763</v>
      </c>
      <c r="C136" s="59"/>
      <c r="D136" s="60"/>
      <c r="E136" s="60"/>
      <c r="F136" s="55"/>
      <c r="G136" s="311">
        <v>-4.5716198661703199E-2</v>
      </c>
      <c r="H136" s="312">
        <f t="shared" si="26"/>
        <v>0.95428380133829682</v>
      </c>
      <c r="I136" s="4"/>
      <c r="L136" s="4">
        <v>-5.8018690885497499E-2</v>
      </c>
      <c r="M136" s="58">
        <v>0.94198130911450251</v>
      </c>
      <c r="N136" s="105"/>
      <c r="O136" s="105"/>
      <c r="P136" s="105"/>
      <c r="Q136" s="105"/>
      <c r="R136" s="105"/>
      <c r="S136" s="105"/>
    </row>
    <row r="137" spans="1:19">
      <c r="A137" s="56">
        <v>39903</v>
      </c>
      <c r="B137" s="202">
        <v>1.0140922921625926</v>
      </c>
      <c r="C137" s="59"/>
      <c r="D137" s="60"/>
      <c r="E137" s="60"/>
      <c r="F137" s="55"/>
      <c r="G137" s="311">
        <v>3.6045283785176997E-2</v>
      </c>
      <c r="H137" s="312">
        <f t="shared" si="26"/>
        <v>1.036045283785177</v>
      </c>
      <c r="I137" s="4"/>
      <c r="L137" s="4">
        <v>5.8946287668340001E-2</v>
      </c>
      <c r="M137" s="58">
        <v>1.05894628766834</v>
      </c>
      <c r="N137" s="105"/>
      <c r="O137" s="105"/>
      <c r="P137" s="105"/>
      <c r="Q137" s="105"/>
      <c r="R137" s="105"/>
      <c r="S137" s="105"/>
    </row>
    <row r="138" spans="1:19">
      <c r="A138" s="56">
        <v>39933</v>
      </c>
      <c r="B138" s="202">
        <v>1.0516512389739898</v>
      </c>
      <c r="C138" s="59"/>
      <c r="D138" s="60"/>
      <c r="E138" s="60"/>
      <c r="F138" s="55"/>
      <c r="G138" s="311">
        <v>7.1335106429354103E-2</v>
      </c>
      <c r="H138" s="312">
        <f t="shared" si="26"/>
        <v>1.0713351064293541</v>
      </c>
      <c r="I138" s="4"/>
      <c r="L138" s="4">
        <v>7.9739727463339294E-2</v>
      </c>
      <c r="M138" s="58">
        <v>1.0797397274633393</v>
      </c>
      <c r="N138" s="105"/>
      <c r="O138" s="105"/>
      <c r="P138" s="105"/>
      <c r="Q138" s="105"/>
      <c r="R138" s="105"/>
      <c r="S138" s="105"/>
    </row>
    <row r="139" spans="1:19">
      <c r="A139" s="56">
        <v>39964</v>
      </c>
      <c r="B139" s="202">
        <v>1.0449331999581366</v>
      </c>
      <c r="C139" s="59"/>
      <c r="D139" s="60"/>
      <c r="E139" s="60"/>
      <c r="F139" s="55"/>
      <c r="G139" s="311">
        <v>4.4168589740466897E-2</v>
      </c>
      <c r="H139" s="312">
        <f t="shared" si="26"/>
        <v>1.0441685897404669</v>
      </c>
      <c r="I139" s="4"/>
      <c r="L139" s="4">
        <v>9.2389769560813614E-2</v>
      </c>
      <c r="M139" s="58">
        <v>1.0923897695608136</v>
      </c>
      <c r="N139" s="105"/>
      <c r="O139" s="105"/>
      <c r="P139" s="105"/>
      <c r="Q139" s="105"/>
      <c r="R139" s="105"/>
      <c r="S139" s="105"/>
    </row>
    <row r="140" spans="1:19">
      <c r="A140" s="56">
        <v>39994</v>
      </c>
      <c r="B140" s="202">
        <v>1.0270071027074037</v>
      </c>
      <c r="C140" s="59"/>
      <c r="D140" s="60"/>
      <c r="E140" s="60"/>
      <c r="F140" s="55"/>
      <c r="G140" s="311">
        <v>7.2029292040680596E-3</v>
      </c>
      <c r="H140" s="312">
        <f t="shared" si="26"/>
        <v>1.0072029292040681</v>
      </c>
      <c r="I140" s="4"/>
      <c r="L140" s="4">
        <v>3.7434543904109104E-3</v>
      </c>
      <c r="M140" s="58">
        <v>1.0037434543904109</v>
      </c>
      <c r="N140" s="105"/>
      <c r="O140" s="105"/>
      <c r="P140" s="105"/>
      <c r="Q140" s="105"/>
      <c r="R140" s="105"/>
      <c r="S140" s="105"/>
    </row>
    <row r="141" spans="1:19">
      <c r="A141" s="56">
        <v>40025</v>
      </c>
      <c r="B141" s="202">
        <v>1.0259430348785064</v>
      </c>
      <c r="C141" s="59"/>
      <c r="D141" s="60"/>
      <c r="E141" s="60"/>
      <c r="F141" s="55"/>
      <c r="G141" s="311">
        <v>6.2548717812252602E-2</v>
      </c>
      <c r="H141" s="312">
        <f t="shared" si="26"/>
        <v>1.0625487178122526</v>
      </c>
      <c r="I141" s="4"/>
      <c r="L141" s="4">
        <v>7.271619765546071E-2</v>
      </c>
      <c r="M141" s="58">
        <v>1.0727161976554607</v>
      </c>
      <c r="N141" s="105"/>
      <c r="O141" s="105"/>
      <c r="P141" s="105"/>
      <c r="Q141" s="105"/>
      <c r="R141" s="105"/>
      <c r="S141" s="105"/>
    </row>
    <row r="142" spans="1:19">
      <c r="A142" s="56">
        <v>40056</v>
      </c>
      <c r="B142" s="202">
        <v>1.0145985975922005</v>
      </c>
      <c r="C142" s="59"/>
      <c r="D142" s="60"/>
      <c r="E142" s="60"/>
      <c r="F142" s="55"/>
      <c r="G142" s="311">
        <v>3.6053600029800202E-2</v>
      </c>
      <c r="H142" s="312">
        <f t="shared" si="26"/>
        <v>1.0360536000298002</v>
      </c>
      <c r="I142" s="4"/>
      <c r="L142" s="4">
        <v>4.0302392970756405E-2</v>
      </c>
      <c r="M142" s="58">
        <v>1.0403023929707564</v>
      </c>
      <c r="N142" s="105"/>
      <c r="O142" s="105"/>
      <c r="P142" s="105"/>
      <c r="Q142" s="105"/>
      <c r="R142" s="105"/>
      <c r="S142" s="105"/>
    </row>
    <row r="143" spans="1:19">
      <c r="A143" s="56">
        <v>40086</v>
      </c>
      <c r="B143" s="202">
        <v>1.0064586205545407</v>
      </c>
      <c r="C143" s="59"/>
      <c r="D143" s="60"/>
      <c r="E143" s="60"/>
      <c r="F143" s="55"/>
      <c r="G143" s="311">
        <v>3.1105564406162599E-2</v>
      </c>
      <c r="H143" s="312">
        <f t="shared" si="26"/>
        <v>1.0311055644061626</v>
      </c>
      <c r="I143" s="4"/>
      <c r="L143" s="4">
        <v>4.14105210150029E-2</v>
      </c>
      <c r="M143" s="58">
        <v>1.0414105210150029</v>
      </c>
      <c r="N143" s="105"/>
      <c r="O143" s="105"/>
      <c r="P143" s="105"/>
      <c r="Q143" s="105"/>
      <c r="R143" s="105"/>
      <c r="S143" s="105"/>
    </row>
    <row r="144" spans="1:19">
      <c r="A144" s="56">
        <v>40117</v>
      </c>
      <c r="B144" s="202">
        <v>0.97722519301590005</v>
      </c>
      <c r="C144" s="59"/>
      <c r="D144" s="60"/>
      <c r="E144" s="60"/>
      <c r="F144" s="55"/>
      <c r="G144" s="311">
        <v>-1.24740844576673E-2</v>
      </c>
      <c r="H144" s="312">
        <f t="shared" si="26"/>
        <v>0.98752591554233271</v>
      </c>
      <c r="I144" s="4"/>
      <c r="L144" s="4">
        <v>-4.8695594102815499E-3</v>
      </c>
      <c r="M144" s="58">
        <v>0.99513044058971845</v>
      </c>
      <c r="N144" s="105"/>
      <c r="O144" s="105"/>
      <c r="P144" s="105"/>
      <c r="Q144" s="105"/>
      <c r="R144" s="105"/>
      <c r="S144" s="105"/>
    </row>
    <row r="145" spans="1:19">
      <c r="A145" s="56">
        <v>40147</v>
      </c>
      <c r="B145" s="202">
        <v>1.0269363555486115</v>
      </c>
      <c r="C145" s="59"/>
      <c r="D145" s="60"/>
      <c r="E145" s="60"/>
      <c r="F145" s="55"/>
      <c r="G145" s="311">
        <v>1.9771868623780699E-2</v>
      </c>
      <c r="H145" s="312">
        <f t="shared" si="26"/>
        <v>1.0197718686237807</v>
      </c>
      <c r="I145" s="4"/>
      <c r="L145" s="4">
        <v>3.0390339557729403E-2</v>
      </c>
      <c r="M145" s="58">
        <v>1.0303903395577294</v>
      </c>
      <c r="N145" s="105"/>
      <c r="O145" s="105"/>
      <c r="P145" s="105"/>
      <c r="Q145" s="105"/>
      <c r="R145" s="105"/>
      <c r="S145" s="105"/>
    </row>
    <row r="146" spans="1:19">
      <c r="A146" s="56">
        <v>40178</v>
      </c>
      <c r="B146" s="202">
        <v>1.0178614885496817</v>
      </c>
      <c r="C146" s="59"/>
      <c r="D146" s="60"/>
      <c r="E146" s="60"/>
      <c r="F146" s="55"/>
      <c r="G146" s="311">
        <v>2.4568532572222201E-2</v>
      </c>
      <c r="H146" s="312">
        <f t="shared" si="26"/>
        <v>1.0245685325722222</v>
      </c>
      <c r="I146" s="4"/>
      <c r="L146" s="4">
        <v>5.9406958453345194E-4</v>
      </c>
      <c r="M146" s="58">
        <v>1.0005940695845335</v>
      </c>
      <c r="N146" s="105"/>
      <c r="O146" s="105"/>
      <c r="P146" s="105"/>
      <c r="Q146" s="105"/>
      <c r="R146" s="105"/>
      <c r="S146" s="105"/>
    </row>
    <row r="147" spans="1:19">
      <c r="A147" s="56">
        <v>40209</v>
      </c>
      <c r="B147" s="202">
        <v>0.99111891924244444</v>
      </c>
      <c r="C147" s="59"/>
      <c r="D147" s="60"/>
      <c r="E147" s="60"/>
      <c r="F147" s="55"/>
      <c r="G147" s="311">
        <v>-1.5767044854325001E-2</v>
      </c>
      <c r="H147" s="312">
        <f t="shared" si="26"/>
        <v>0.98423295514567499</v>
      </c>
      <c r="I147" s="4"/>
      <c r="L147" s="4">
        <v>-2.8514940455285596E-2</v>
      </c>
      <c r="M147" s="58">
        <v>0.97148505954471442</v>
      </c>
      <c r="N147" s="105"/>
      <c r="O147" s="105"/>
      <c r="P147" s="105"/>
      <c r="Q147" s="105"/>
      <c r="R147" s="105"/>
      <c r="S147" s="105"/>
    </row>
    <row r="148" spans="1:19">
      <c r="A148" s="56">
        <v>40237</v>
      </c>
      <c r="B148" s="202">
        <v>1.0011390361976511</v>
      </c>
      <c r="C148" s="59"/>
      <c r="D148" s="60"/>
      <c r="E148" s="60"/>
      <c r="F148" s="55"/>
      <c r="G148" s="311">
        <v>9.3288624161569408E-3</v>
      </c>
      <c r="H148" s="312">
        <f t="shared" si="26"/>
        <v>1.0093288624161569</v>
      </c>
      <c r="I148" s="4"/>
      <c r="L148" s="4">
        <v>-1.7235630480476598E-3</v>
      </c>
      <c r="M148" s="58">
        <v>0.99827643695195234</v>
      </c>
      <c r="N148" s="105"/>
      <c r="O148" s="105"/>
      <c r="P148" s="105"/>
      <c r="Q148" s="105"/>
      <c r="R148" s="105"/>
      <c r="S148" s="105"/>
    </row>
    <row r="149" spans="1:19">
      <c r="A149" s="56">
        <v>40268</v>
      </c>
      <c r="B149" s="202">
        <v>1.0471443578575468</v>
      </c>
      <c r="C149" s="59"/>
      <c r="D149" s="60"/>
      <c r="E149" s="60"/>
      <c r="F149" s="55"/>
      <c r="G149" s="311">
        <v>4.5563168626044898E-2</v>
      </c>
      <c r="H149" s="312">
        <f t="shared" si="26"/>
        <v>1.0455631686260449</v>
      </c>
      <c r="I149" s="4"/>
      <c r="L149" s="4">
        <v>4.2689888285987895E-2</v>
      </c>
      <c r="M149" s="58">
        <v>1.0426898882859879</v>
      </c>
      <c r="N149" s="105"/>
      <c r="O149" s="105"/>
      <c r="P149" s="105"/>
      <c r="Q149" s="105"/>
      <c r="R149" s="105"/>
      <c r="S149" s="105"/>
    </row>
    <row r="150" spans="1:19">
      <c r="A150" s="56">
        <v>40298</v>
      </c>
      <c r="B150" s="202">
        <v>0.99461468811961362</v>
      </c>
      <c r="C150" s="59"/>
      <c r="D150" s="60"/>
      <c r="E150" s="60"/>
      <c r="F150" s="55"/>
      <c r="G150" s="311">
        <v>4.7157912929329804E-3</v>
      </c>
      <c r="H150" s="312">
        <f t="shared" si="26"/>
        <v>1.004715791292933</v>
      </c>
      <c r="I150" s="4"/>
      <c r="L150" s="4">
        <v>-2.3125700299908602E-4</v>
      </c>
      <c r="M150" s="58">
        <v>0.99976874299700091</v>
      </c>
      <c r="N150" s="105"/>
      <c r="O150" s="105"/>
      <c r="P150" s="105"/>
      <c r="Q150" s="105"/>
      <c r="R150" s="105"/>
      <c r="S150" s="105"/>
    </row>
    <row r="151" spans="1:19">
      <c r="A151" s="56">
        <v>40329</v>
      </c>
      <c r="B151" s="202">
        <v>1.0120997032272916</v>
      </c>
      <c r="C151" s="59"/>
      <c r="D151" s="60"/>
      <c r="E151" s="60"/>
      <c r="F151" s="55"/>
      <c r="G151" s="311">
        <v>-4.0842910509123503E-2</v>
      </c>
      <c r="H151" s="312">
        <f t="shared" si="26"/>
        <v>0.95915708949087652</v>
      </c>
      <c r="I151" s="4"/>
      <c r="L151" s="4">
        <v>-7.84111213440946E-2</v>
      </c>
      <c r="M151" s="58">
        <v>0.92158887865590544</v>
      </c>
      <c r="N151" s="105"/>
      <c r="O151" s="105"/>
      <c r="P151" s="105"/>
      <c r="Q151" s="105"/>
      <c r="R151" s="105"/>
      <c r="S151" s="105"/>
    </row>
    <row r="152" spans="1:19">
      <c r="A152" s="56">
        <v>40359</v>
      </c>
      <c r="B152" s="202">
        <v>0.99113258275545457</v>
      </c>
      <c r="C152" s="59"/>
      <c r="D152" s="60"/>
      <c r="E152" s="60"/>
      <c r="F152" s="55"/>
      <c r="G152" s="311">
        <v>-1.8135184636985401E-2</v>
      </c>
      <c r="H152" s="312">
        <f t="shared" si="26"/>
        <v>0.98186481536301462</v>
      </c>
      <c r="I152" s="4"/>
      <c r="L152" s="4">
        <v>-1.1626003429374801E-2</v>
      </c>
      <c r="M152" s="58">
        <v>0.98837399657062519</v>
      </c>
      <c r="N152" s="105"/>
      <c r="O152" s="105"/>
      <c r="P152" s="105"/>
      <c r="Q152" s="105"/>
      <c r="R152" s="105"/>
      <c r="S152" s="105"/>
    </row>
    <row r="153" spans="1:19">
      <c r="A153" s="56">
        <v>40390</v>
      </c>
      <c r="B153" s="202">
        <v>1.003403195756815</v>
      </c>
      <c r="C153" s="59"/>
      <c r="D153" s="60"/>
      <c r="E153" s="60"/>
      <c r="F153" s="55"/>
      <c r="G153" s="311">
        <v>3.95478230531787E-2</v>
      </c>
      <c r="H153" s="312">
        <f t="shared" si="26"/>
        <v>1.0395478230531787</v>
      </c>
      <c r="I153" s="4"/>
      <c r="L153" s="4">
        <v>7.4421071326285601E-2</v>
      </c>
      <c r="M153" s="58">
        <v>1.0744210713262856</v>
      </c>
      <c r="N153" s="105"/>
      <c r="O153" s="105"/>
      <c r="P153" s="105"/>
      <c r="Q153" s="105"/>
      <c r="R153" s="105"/>
      <c r="S153" s="105"/>
    </row>
    <row r="154" spans="1:19">
      <c r="A154" s="56">
        <v>40421</v>
      </c>
      <c r="B154" s="202">
        <v>1.0174798945159342</v>
      </c>
      <c r="C154" s="59"/>
      <c r="D154" s="60"/>
      <c r="E154" s="60"/>
      <c r="F154" s="55"/>
      <c r="G154" s="311">
        <v>-8.4983129534008696E-3</v>
      </c>
      <c r="H154" s="312">
        <f t="shared" si="26"/>
        <v>0.99150168704659913</v>
      </c>
      <c r="I154" s="4"/>
      <c r="L154" s="4">
        <v>-1.8143582283154699E-2</v>
      </c>
      <c r="M154" s="58">
        <v>0.98185641771684529</v>
      </c>
      <c r="N154" s="105"/>
      <c r="O154" s="105"/>
      <c r="P154" s="105"/>
      <c r="Q154" s="105"/>
      <c r="R154" s="105"/>
      <c r="S154" s="105"/>
    </row>
    <row r="155" spans="1:19">
      <c r="A155" s="56">
        <v>40451</v>
      </c>
      <c r="B155" s="202">
        <v>1.0029113682314845</v>
      </c>
      <c r="C155" s="59"/>
      <c r="D155" s="60"/>
      <c r="E155" s="60"/>
      <c r="F155" s="55"/>
      <c r="G155" s="311">
        <v>4.0595908045838E-2</v>
      </c>
      <c r="H155" s="312">
        <f t="shared" si="26"/>
        <v>1.040595908045838</v>
      </c>
      <c r="I155" s="4"/>
      <c r="L155" s="4">
        <v>7.7827453411782904E-2</v>
      </c>
      <c r="M155" s="58">
        <v>1.0778274534117829</v>
      </c>
      <c r="N155" s="105"/>
      <c r="O155" s="105"/>
      <c r="P155" s="105"/>
      <c r="Q155" s="105"/>
      <c r="R155" s="105"/>
      <c r="S155" s="105"/>
    </row>
    <row r="156" spans="1:19">
      <c r="A156" s="56">
        <v>40482</v>
      </c>
      <c r="B156" s="202">
        <v>1.0337027653485609</v>
      </c>
      <c r="C156" s="59"/>
      <c r="D156" s="60"/>
      <c r="E156" s="60"/>
      <c r="F156" s="55"/>
      <c r="G156" s="311">
        <v>1.7173840197597399E-2</v>
      </c>
      <c r="H156" s="312">
        <f t="shared" si="26"/>
        <v>1.0171738401975974</v>
      </c>
      <c r="I156" s="4"/>
      <c r="L156" s="4">
        <v>2.7927889564490802E-2</v>
      </c>
      <c r="M156" s="58">
        <v>1.0279278895644908</v>
      </c>
      <c r="N156" s="105"/>
      <c r="O156" s="105"/>
      <c r="P156" s="105"/>
      <c r="Q156" s="105"/>
      <c r="R156" s="105"/>
      <c r="S156" s="105"/>
    </row>
    <row r="157" spans="1:19">
      <c r="A157" s="56">
        <v>40512</v>
      </c>
      <c r="B157" s="202">
        <v>1.0113468591896564</v>
      </c>
      <c r="C157" s="59"/>
      <c r="D157" s="60"/>
      <c r="E157" s="60"/>
      <c r="F157" s="55"/>
      <c r="G157" s="311">
        <v>-1.10807653408338E-2</v>
      </c>
      <c r="H157" s="312">
        <f t="shared" si="26"/>
        <v>0.9889192346591662</v>
      </c>
      <c r="I157" s="4"/>
      <c r="L157" s="4">
        <v>-4.0929648724850595E-2</v>
      </c>
      <c r="M157" s="58">
        <v>0.95907035127514939</v>
      </c>
      <c r="N157" s="105"/>
      <c r="O157" s="105"/>
      <c r="P157" s="105"/>
      <c r="Q157" s="105"/>
      <c r="R157" s="105"/>
      <c r="S157" s="105"/>
    </row>
    <row r="158" spans="1:19">
      <c r="A158" s="56">
        <v>40543</v>
      </c>
      <c r="B158" s="202">
        <v>0.98665991448481416</v>
      </c>
      <c r="C158" s="59"/>
      <c r="D158" s="60"/>
      <c r="E158" s="60"/>
      <c r="F158" s="55"/>
      <c r="G158" s="311">
        <v>3.3828341628525403E-2</v>
      </c>
      <c r="H158" s="312">
        <f t="shared" si="26"/>
        <v>1.0338283416285254</v>
      </c>
      <c r="I158" s="4"/>
      <c r="L158" s="4">
        <v>5.4151696334132395E-2</v>
      </c>
      <c r="M158" s="58">
        <v>1.0541516963341324</v>
      </c>
      <c r="N158" s="105"/>
      <c r="O158" s="105"/>
      <c r="P158" s="105"/>
      <c r="Q158" s="105"/>
      <c r="R158" s="105"/>
      <c r="S158" s="105"/>
    </row>
    <row r="159" spans="1:19">
      <c r="A159" s="56">
        <v>40574</v>
      </c>
      <c r="B159" s="202">
        <v>1.011497182257433</v>
      </c>
      <c r="C159" s="59"/>
      <c r="D159" s="60"/>
      <c r="E159" s="60"/>
      <c r="F159" s="55"/>
      <c r="G159" s="311">
        <v>8.5563060926034905E-3</v>
      </c>
      <c r="H159" s="312">
        <f t="shared" si="26"/>
        <v>1.0085563060926035</v>
      </c>
      <c r="I159" s="4"/>
      <c r="L159" s="4">
        <v>1.7897899370896499E-2</v>
      </c>
      <c r="M159" s="58">
        <v>1.0178978993708965</v>
      </c>
      <c r="N159" s="105"/>
      <c r="O159" s="105"/>
      <c r="P159" s="105"/>
      <c r="Q159" s="105"/>
      <c r="R159" s="105"/>
      <c r="S159" s="105"/>
    </row>
    <row r="160" spans="1:19">
      <c r="A160" s="56">
        <v>40602</v>
      </c>
      <c r="B160" s="202">
        <v>0.99162390030602365</v>
      </c>
      <c r="C160" s="59"/>
      <c r="D160" s="60"/>
      <c r="E160" s="60"/>
      <c r="F160" s="55"/>
      <c r="G160" s="311">
        <v>1.5916677302065401E-2</v>
      </c>
      <c r="H160" s="312">
        <f t="shared" si="26"/>
        <v>1.0159166773020654</v>
      </c>
      <c r="I160" s="4"/>
      <c r="L160" s="4">
        <v>2.27347113026342E-2</v>
      </c>
      <c r="M160" s="58">
        <v>1.0227347113026342</v>
      </c>
      <c r="N160" s="105"/>
      <c r="O160" s="105"/>
      <c r="P160" s="105"/>
      <c r="Q160" s="105"/>
      <c r="R160" s="105"/>
      <c r="S160" s="105"/>
    </row>
    <row r="161" spans="1:19">
      <c r="A161" s="56">
        <v>40633</v>
      </c>
      <c r="B161" s="202">
        <v>0.992520833035621</v>
      </c>
      <c r="C161" s="59"/>
      <c r="D161" s="60"/>
      <c r="E161" s="60"/>
      <c r="F161" s="55"/>
      <c r="G161" s="311">
        <v>-3.8791255801670101E-3</v>
      </c>
      <c r="H161" s="312">
        <f t="shared" si="26"/>
        <v>0.99612087441983299</v>
      </c>
      <c r="I161" s="4"/>
      <c r="L161" s="4">
        <v>4.8112794699213301E-3</v>
      </c>
      <c r="M161" s="58">
        <v>1.0048112794699213</v>
      </c>
      <c r="N161" s="105"/>
      <c r="O161" s="105"/>
      <c r="P161" s="105"/>
      <c r="Q161" s="105"/>
      <c r="R161" s="105"/>
      <c r="S161" s="105"/>
    </row>
    <row r="162" spans="1:19">
      <c r="A162" s="56">
        <v>40663</v>
      </c>
      <c r="B162" s="202">
        <v>0.99147710710114123</v>
      </c>
      <c r="C162" s="59"/>
      <c r="D162" s="60"/>
      <c r="E162" s="60"/>
      <c r="F162" s="55"/>
      <c r="G162" s="311">
        <v>1.8645145792746301E-2</v>
      </c>
      <c r="H162" s="312">
        <f t="shared" si="26"/>
        <v>1.0186451457927463</v>
      </c>
      <c r="I162" s="4"/>
      <c r="L162" s="4">
        <v>4.6869849916824302E-2</v>
      </c>
      <c r="M162" s="58">
        <v>1.0468698499168243</v>
      </c>
      <c r="N162" s="105"/>
      <c r="O162" s="105"/>
      <c r="P162" s="105"/>
      <c r="Q162" s="105"/>
      <c r="R162" s="105"/>
      <c r="S162" s="105"/>
    </row>
    <row r="163" spans="1:19">
      <c r="A163" s="56">
        <v>40694</v>
      </c>
      <c r="B163" s="202">
        <v>1.0116219742220287</v>
      </c>
      <c r="C163" s="59"/>
      <c r="D163" s="60"/>
      <c r="E163" s="60"/>
      <c r="F163" s="55"/>
      <c r="G163" s="311">
        <v>-3.6173572491109401E-3</v>
      </c>
      <c r="H163" s="312">
        <f t="shared" si="26"/>
        <v>0.99638264275088906</v>
      </c>
      <c r="I163" s="4"/>
      <c r="L163" s="4">
        <v>-1.76932008659378E-2</v>
      </c>
      <c r="M163" s="58">
        <v>0.98230679913406216</v>
      </c>
      <c r="N163" s="105"/>
      <c r="O163" s="105"/>
      <c r="P163" s="105"/>
      <c r="Q163" s="105"/>
      <c r="R163" s="105"/>
      <c r="S163" s="105"/>
    </row>
    <row r="164" spans="1:19">
      <c r="A164" s="56">
        <v>40724</v>
      </c>
      <c r="B164" s="202">
        <v>0.98315363358912211</v>
      </c>
      <c r="C164" s="59"/>
      <c r="D164" s="60"/>
      <c r="E164" s="60"/>
      <c r="F164" s="55"/>
      <c r="G164" s="311">
        <v>-1.18600569232559E-2</v>
      </c>
      <c r="H164" s="312">
        <f t="shared" si="26"/>
        <v>0.98813994307674413</v>
      </c>
      <c r="I164" s="4"/>
      <c r="L164" s="4">
        <v>-1.13583921820629E-2</v>
      </c>
      <c r="M164" s="58">
        <v>0.98864160781793708</v>
      </c>
      <c r="N164" s="105"/>
      <c r="O164" s="105"/>
      <c r="P164" s="105"/>
      <c r="Q164" s="105"/>
      <c r="R164" s="105"/>
      <c r="S164" s="105"/>
    </row>
    <row r="165" spans="1:19">
      <c r="A165" s="56">
        <v>40755</v>
      </c>
      <c r="B165" s="202">
        <v>0.99696102230311279</v>
      </c>
      <c r="C165" s="59"/>
      <c r="D165" s="60"/>
      <c r="E165" s="60"/>
      <c r="F165" s="55"/>
      <c r="G165" s="311">
        <v>-1.42618606748791E-2</v>
      </c>
      <c r="H165" s="312">
        <f t="shared" si="26"/>
        <v>0.98573813932512089</v>
      </c>
      <c r="I165" s="4"/>
      <c r="L165" s="4">
        <v>-8.6741876562540492E-3</v>
      </c>
      <c r="M165" s="58">
        <v>0.99132581234374595</v>
      </c>
      <c r="N165" s="105"/>
      <c r="O165" s="105"/>
      <c r="P165" s="105"/>
      <c r="Q165" s="105"/>
      <c r="R165" s="105"/>
      <c r="S165" s="105"/>
    </row>
    <row r="166" spans="1:19">
      <c r="A166" s="56">
        <v>40786</v>
      </c>
      <c r="B166" s="202">
        <v>0.94580163800137551</v>
      </c>
      <c r="C166" s="59"/>
      <c r="D166" s="60"/>
      <c r="E166" s="60"/>
      <c r="F166" s="55"/>
      <c r="G166" s="311">
        <v>-4.2750132692811499E-2</v>
      </c>
      <c r="H166" s="312">
        <f t="shared" si="26"/>
        <v>0.95724986730718853</v>
      </c>
      <c r="I166" s="4"/>
      <c r="L166" s="4">
        <v>-4.5896737974663898E-2</v>
      </c>
      <c r="M166" s="58">
        <v>0.95410326202533613</v>
      </c>
      <c r="N166" s="105"/>
      <c r="O166" s="105"/>
      <c r="P166" s="105"/>
      <c r="Q166" s="105"/>
      <c r="R166" s="105"/>
      <c r="S166" s="105"/>
    </row>
    <row r="167" spans="1:19">
      <c r="A167" s="56">
        <v>40816</v>
      </c>
      <c r="B167" s="202">
        <v>1.0149348579570254</v>
      </c>
      <c r="C167" s="59"/>
      <c r="D167" s="60"/>
      <c r="E167" s="60"/>
      <c r="F167" s="55"/>
      <c r="G167" s="311">
        <v>-3.3481300066361998E-2</v>
      </c>
      <c r="H167" s="312">
        <f t="shared" si="26"/>
        <v>0.96651869993363804</v>
      </c>
      <c r="I167" s="4"/>
      <c r="L167" s="4">
        <v>-7.5304623537365292E-2</v>
      </c>
      <c r="M167" s="58">
        <v>0.92469537646263467</v>
      </c>
      <c r="N167" s="105"/>
      <c r="O167" s="105"/>
      <c r="P167" s="105"/>
      <c r="Q167" s="105"/>
      <c r="R167" s="105"/>
      <c r="S167" s="105"/>
    </row>
    <row r="168" spans="1:19">
      <c r="A168" s="56">
        <v>40847</v>
      </c>
      <c r="B168" s="202">
        <v>1.0088890714223002</v>
      </c>
      <c r="C168" s="59"/>
      <c r="D168" s="60"/>
      <c r="E168" s="60"/>
      <c r="F168" s="55"/>
      <c r="G168" s="311">
        <v>4.7769579024966598E-2</v>
      </c>
      <c r="H168" s="312">
        <f t="shared" si="26"/>
        <v>1.0477695790249666</v>
      </c>
      <c r="I168" s="4"/>
      <c r="L168" s="4">
        <v>7.4121215773164092E-2</v>
      </c>
      <c r="M168" s="58">
        <v>1.0741212157731641</v>
      </c>
      <c r="N168" s="105"/>
      <c r="O168" s="105"/>
      <c r="P168" s="105"/>
      <c r="Q168" s="105"/>
      <c r="R168" s="105"/>
      <c r="S168" s="105"/>
    </row>
    <row r="169" spans="1:19">
      <c r="A169" s="56">
        <v>40877</v>
      </c>
      <c r="B169" s="202">
        <v>1.0121252540730388</v>
      </c>
      <c r="C169" s="59"/>
      <c r="D169" s="60"/>
      <c r="E169" s="60"/>
      <c r="F169" s="55"/>
      <c r="G169" s="311">
        <v>-1.2409044492588599E-2</v>
      </c>
      <c r="H169" s="312">
        <f t="shared" si="26"/>
        <v>0.98759095550741138</v>
      </c>
      <c r="I169" s="4"/>
      <c r="L169" s="4">
        <v>-3.24664377278596E-2</v>
      </c>
      <c r="M169" s="58">
        <v>0.96753356227214038</v>
      </c>
      <c r="N169" s="105"/>
      <c r="O169" s="105"/>
      <c r="P169" s="105"/>
      <c r="Q169" s="105"/>
      <c r="R169" s="105"/>
      <c r="S169" s="105"/>
    </row>
    <row r="170" spans="1:19">
      <c r="A170" s="56">
        <v>40908</v>
      </c>
      <c r="B170" s="202">
        <v>1.0278915336533827</v>
      </c>
      <c r="C170" s="59"/>
      <c r="D170" s="60"/>
      <c r="E170" s="60"/>
      <c r="F170" s="55"/>
      <c r="G170" s="311">
        <v>8.8598206462799905E-3</v>
      </c>
      <c r="H170" s="312">
        <f t="shared" si="26"/>
        <v>1.00885982064628</v>
      </c>
      <c r="I170" s="4"/>
      <c r="L170" s="4">
        <v>-6.4435692268026701E-3</v>
      </c>
      <c r="M170" s="58">
        <v>0.99355643077319733</v>
      </c>
      <c r="N170" s="105"/>
      <c r="O170" s="105"/>
      <c r="P170" s="105"/>
      <c r="Q170" s="105"/>
      <c r="R170" s="105"/>
      <c r="S170" s="105"/>
    </row>
    <row r="171" spans="1:19">
      <c r="A171" s="56">
        <v>40939</v>
      </c>
      <c r="B171" s="202">
        <v>1.0265002455364758</v>
      </c>
      <c r="C171" s="59"/>
      <c r="D171" s="60"/>
      <c r="E171" s="60"/>
      <c r="F171" s="55"/>
      <c r="G171" s="311">
        <v>3.5691390569152701E-2</v>
      </c>
      <c r="H171" s="312">
        <f t="shared" si="26"/>
        <v>1.0356913905691527</v>
      </c>
      <c r="I171" s="4"/>
      <c r="L171" s="4">
        <v>4.5748986932522502E-2</v>
      </c>
      <c r="M171" s="58">
        <v>1.0457489869325225</v>
      </c>
      <c r="N171" s="105"/>
      <c r="O171" s="105"/>
      <c r="P171" s="105"/>
      <c r="Q171" s="105"/>
      <c r="R171" s="105"/>
      <c r="S171" s="105"/>
    </row>
    <row r="172" spans="1:19">
      <c r="A172" s="56">
        <v>40968</v>
      </c>
      <c r="B172" s="202">
        <v>0.98606104714099974</v>
      </c>
      <c r="C172" s="59"/>
      <c r="D172" s="60"/>
      <c r="E172" s="60"/>
      <c r="F172" s="55"/>
      <c r="G172" s="311">
        <v>3.0345265827192301E-2</v>
      </c>
      <c r="H172" s="312">
        <f t="shared" si="26"/>
        <v>1.0303452658271923</v>
      </c>
      <c r="I172" s="4"/>
      <c r="L172" s="4">
        <v>3.9349416626636602E-2</v>
      </c>
      <c r="M172" s="58">
        <v>1.0393494166266366</v>
      </c>
      <c r="N172" s="105"/>
      <c r="O172" s="105"/>
      <c r="P172" s="105"/>
      <c r="Q172" s="105"/>
      <c r="R172" s="105"/>
      <c r="S172" s="105"/>
    </row>
    <row r="173" spans="1:19">
      <c r="A173" s="56">
        <v>40999</v>
      </c>
      <c r="B173" s="202">
        <v>1.0249018551279099</v>
      </c>
      <c r="C173" s="59"/>
      <c r="D173" s="60"/>
      <c r="E173" s="60"/>
      <c r="F173" s="55"/>
      <c r="G173" s="311">
        <v>3.77091168575094E-3</v>
      </c>
      <c r="H173" s="312">
        <f t="shared" si="26"/>
        <v>1.0037709116857509</v>
      </c>
      <c r="I173" s="4"/>
      <c r="L173" s="4">
        <v>-1.3852814513999302E-3</v>
      </c>
      <c r="M173" s="58">
        <v>0.99861471854860007</v>
      </c>
      <c r="N173" s="105"/>
      <c r="O173" s="105"/>
      <c r="P173" s="105"/>
      <c r="Q173" s="105"/>
      <c r="R173" s="105"/>
      <c r="S173" s="105"/>
    </row>
    <row r="174" spans="1:19">
      <c r="A174" s="56">
        <v>41029</v>
      </c>
      <c r="B174" s="202">
        <v>0.99760046291741833</v>
      </c>
      <c r="C174" s="59"/>
      <c r="D174" s="60"/>
      <c r="E174" s="60"/>
      <c r="F174" s="55"/>
      <c r="G174" s="311">
        <v>-8.3766893456417302E-3</v>
      </c>
      <c r="H174" s="312">
        <f t="shared" si="26"/>
        <v>0.99162331065435827</v>
      </c>
      <c r="I174" s="4"/>
      <c r="L174" s="4">
        <v>-6.6314173358645902E-3</v>
      </c>
      <c r="M174" s="58">
        <v>0.99336858266413541</v>
      </c>
      <c r="N174" s="105"/>
      <c r="O174" s="105"/>
      <c r="P174" s="105"/>
      <c r="Q174" s="105"/>
      <c r="R174" s="105"/>
      <c r="S174" s="105"/>
    </row>
    <row r="175" spans="1:19">
      <c r="A175" s="56">
        <v>41060</v>
      </c>
      <c r="B175" s="202">
        <v>0.99191669020484108</v>
      </c>
      <c r="C175" s="59"/>
      <c r="D175" s="60"/>
      <c r="E175" s="60"/>
      <c r="F175" s="55"/>
      <c r="G175" s="311">
        <v>-3.4853882897590102E-2</v>
      </c>
      <c r="H175" s="312">
        <f t="shared" si="26"/>
        <v>0.96514611710240994</v>
      </c>
      <c r="I175" s="4"/>
      <c r="L175" s="4">
        <v>-7.0353486582259497E-2</v>
      </c>
      <c r="M175" s="58">
        <v>0.92964651341774052</v>
      </c>
      <c r="N175" s="105"/>
      <c r="O175" s="105"/>
      <c r="P175" s="105"/>
      <c r="Q175" s="105"/>
      <c r="R175" s="105"/>
      <c r="S175" s="105"/>
    </row>
    <row r="176" spans="1:19">
      <c r="A176" s="56">
        <v>41090</v>
      </c>
      <c r="B176" s="202">
        <v>1.0084431685714781</v>
      </c>
      <c r="C176" s="59"/>
      <c r="D176" s="60"/>
      <c r="E176" s="60"/>
      <c r="F176" s="55"/>
      <c r="G176" s="311">
        <v>2.2128077416496701E-2</v>
      </c>
      <c r="H176" s="312">
        <f t="shared" si="26"/>
        <v>1.0221280774164967</v>
      </c>
      <c r="I176" s="4"/>
      <c r="L176" s="4">
        <v>3.68755845313362E-2</v>
      </c>
      <c r="M176" s="58">
        <v>1.0368755845313362</v>
      </c>
      <c r="N176" s="105"/>
      <c r="O176" s="105"/>
      <c r="P176" s="105"/>
      <c r="Q176" s="105"/>
      <c r="R176" s="105"/>
      <c r="S176" s="105"/>
    </row>
    <row r="177" spans="1:19">
      <c r="A177" s="56">
        <v>41121</v>
      </c>
      <c r="B177" s="202">
        <v>1.0219454899580924</v>
      </c>
      <c r="C177" s="59"/>
      <c r="D177" s="60"/>
      <c r="E177" s="60"/>
      <c r="F177" s="55"/>
      <c r="G177" s="311">
        <v>1.6555667952574502E-2</v>
      </c>
      <c r="H177" s="312">
        <f t="shared" si="26"/>
        <v>1.0165556679525745</v>
      </c>
      <c r="I177" s="4"/>
      <c r="L177" s="4">
        <v>9.9422898673975409E-3</v>
      </c>
      <c r="M177" s="58">
        <v>1.0099422898673975</v>
      </c>
      <c r="N177" s="105"/>
      <c r="O177" s="105"/>
      <c r="P177" s="105"/>
      <c r="Q177" s="105"/>
      <c r="R177" s="105"/>
      <c r="S177" s="105"/>
    </row>
    <row r="178" spans="1:19">
      <c r="A178" s="56">
        <v>41152</v>
      </c>
      <c r="B178" s="202">
        <v>0.98646932376043972</v>
      </c>
      <c r="C178" s="59"/>
      <c r="D178" s="60"/>
      <c r="E178" s="60"/>
      <c r="F178" s="55"/>
      <c r="G178" s="311">
        <v>1.4788651162426E-2</v>
      </c>
      <c r="H178" s="312">
        <f t="shared" si="26"/>
        <v>1.014788651162426</v>
      </c>
      <c r="I178" s="4"/>
      <c r="L178" s="4">
        <v>2.43783563834996E-2</v>
      </c>
      <c r="M178" s="58">
        <v>1.0243783563834996</v>
      </c>
      <c r="N178" s="105"/>
      <c r="O178" s="105"/>
      <c r="P178" s="105"/>
      <c r="Q178" s="105"/>
      <c r="R178" s="105"/>
      <c r="S178" s="105"/>
    </row>
    <row r="179" spans="1:19">
      <c r="A179" s="56">
        <v>41182</v>
      </c>
      <c r="B179" s="202">
        <v>1.0146631483945592</v>
      </c>
      <c r="C179" s="59"/>
      <c r="D179" s="60"/>
      <c r="E179" s="60"/>
      <c r="F179" s="55"/>
      <c r="G179" s="311">
        <v>1.53644849144716E-2</v>
      </c>
      <c r="H179" s="312">
        <f t="shared" si="26"/>
        <v>1.0153644849144716</v>
      </c>
      <c r="I179" s="4"/>
      <c r="L179" s="4">
        <v>2.6662291621625901E-2</v>
      </c>
      <c r="M179" s="58">
        <v>1.0266622916216259</v>
      </c>
      <c r="N179" s="105"/>
      <c r="O179" s="105"/>
      <c r="P179" s="105"/>
      <c r="Q179" s="105"/>
      <c r="R179" s="105"/>
      <c r="S179" s="105"/>
    </row>
    <row r="180" spans="1:19">
      <c r="A180" s="56">
        <v>41213</v>
      </c>
      <c r="B180" s="202">
        <v>1.0004624223836431</v>
      </c>
      <c r="C180" s="59"/>
      <c r="D180" s="60"/>
      <c r="E180" s="60"/>
      <c r="F180" s="55"/>
      <c r="G180" s="311">
        <v>3.6983340356595601E-3</v>
      </c>
      <c r="H180" s="312">
        <f t="shared" si="26"/>
        <v>1.0036983340356596</v>
      </c>
      <c r="I180" s="4"/>
      <c r="L180" s="4">
        <v>3.16976112199829E-3</v>
      </c>
      <c r="M180" s="58">
        <v>1.0031697611219983</v>
      </c>
      <c r="N180" s="105"/>
      <c r="O180" s="105"/>
      <c r="P180" s="105"/>
      <c r="Q180" s="105"/>
      <c r="R180" s="105"/>
      <c r="S180" s="105"/>
    </row>
    <row r="181" spans="1:19">
      <c r="A181" s="56">
        <v>41243</v>
      </c>
      <c r="B181" s="202">
        <v>1.0046864819474468</v>
      </c>
      <c r="C181" s="59"/>
      <c r="D181" s="60"/>
      <c r="E181" s="60"/>
      <c r="F181" s="55"/>
      <c r="G181" s="311">
        <v>1.38401370078465E-2</v>
      </c>
      <c r="H181" s="312">
        <f t="shared" si="26"/>
        <v>1.0138401370078465</v>
      </c>
      <c r="I181" s="4"/>
      <c r="L181" s="4">
        <v>1.2829064564294801E-2</v>
      </c>
      <c r="M181" s="58">
        <v>1.0128290645642948</v>
      </c>
      <c r="N181" s="105"/>
      <c r="O181" s="105"/>
      <c r="P181" s="105"/>
      <c r="Q181" s="105"/>
      <c r="R181" s="105"/>
      <c r="S181" s="105"/>
    </row>
    <row r="182" spans="1:19">
      <c r="A182" s="56">
        <v>41274</v>
      </c>
      <c r="B182" s="202">
        <v>1.0024237128049547</v>
      </c>
      <c r="C182" s="59"/>
      <c r="D182" s="60"/>
      <c r="E182" s="60"/>
      <c r="F182" s="55"/>
      <c r="G182" s="311">
        <v>1.54994224711063E-2</v>
      </c>
      <c r="H182" s="312">
        <f t="shared" si="26"/>
        <v>1.0154994224711063</v>
      </c>
      <c r="I182" s="4"/>
      <c r="L182" s="4">
        <v>2.0111688834323804E-2</v>
      </c>
      <c r="M182" s="58">
        <v>1.0201116888343238</v>
      </c>
      <c r="N182" s="105"/>
      <c r="O182" s="105"/>
      <c r="P182" s="105"/>
      <c r="Q182" s="105"/>
      <c r="R182" s="105"/>
      <c r="S182" s="105"/>
    </row>
    <row r="183" spans="1:19">
      <c r="A183" s="56">
        <v>41305</v>
      </c>
      <c r="B183" s="202">
        <v>1.0156252084365993</v>
      </c>
      <c r="C183" s="59"/>
      <c r="D183" s="60"/>
      <c r="E183" s="60"/>
      <c r="F183" s="55"/>
      <c r="G183" s="311">
        <v>3.0214815905522701E-2</v>
      </c>
      <c r="H183" s="312">
        <f t="shared" si="26"/>
        <v>1.0302148159055227</v>
      </c>
      <c r="I183" s="4"/>
      <c r="L183" s="4">
        <v>3.2470511421564402E-2</v>
      </c>
      <c r="M183" s="58">
        <v>1.0324705114215644</v>
      </c>
      <c r="N183" s="105"/>
      <c r="O183" s="105"/>
      <c r="P183" s="105"/>
      <c r="Q183" s="105"/>
      <c r="R183" s="105"/>
      <c r="S183" s="105"/>
    </row>
    <row r="184" spans="1:19">
      <c r="A184" s="56">
        <v>41333</v>
      </c>
      <c r="B184" s="202">
        <v>1.0358034763417017</v>
      </c>
      <c r="C184" s="59"/>
      <c r="D184" s="60"/>
      <c r="E184" s="60"/>
      <c r="F184" s="55"/>
      <c r="G184" s="311">
        <v>1.00028433079291E-2</v>
      </c>
      <c r="H184" s="312">
        <f t="shared" si="26"/>
        <v>1.0100028433079291</v>
      </c>
      <c r="I184" s="4"/>
      <c r="L184" s="4">
        <v>-8.9563694253757004E-3</v>
      </c>
      <c r="M184" s="58">
        <v>0.9910436305746243</v>
      </c>
      <c r="N184" s="105"/>
      <c r="O184" s="105"/>
      <c r="P184" s="105"/>
      <c r="Q184" s="105"/>
      <c r="R184" s="105"/>
      <c r="S184" s="105"/>
    </row>
    <row r="185" spans="1:19">
      <c r="A185" s="56">
        <v>41364</v>
      </c>
      <c r="B185" s="202">
        <v>1.0262471448327484</v>
      </c>
      <c r="C185" s="59"/>
      <c r="D185" s="60"/>
      <c r="E185" s="60"/>
      <c r="F185" s="55"/>
      <c r="G185" s="311">
        <v>1.3423976368830901E-2</v>
      </c>
      <c r="H185" s="312">
        <f t="shared" si="26"/>
        <v>1.0134239763688309</v>
      </c>
      <c r="I185" s="4"/>
      <c r="L185" s="4">
        <v>6.7515282622438999E-3</v>
      </c>
      <c r="M185" s="58">
        <v>1.0067515282622439</v>
      </c>
      <c r="N185" s="105"/>
      <c r="O185" s="105"/>
      <c r="P185" s="105"/>
      <c r="Q185" s="105"/>
      <c r="R185" s="105"/>
      <c r="S185" s="105"/>
    </row>
    <row r="186" spans="1:19">
      <c r="A186" s="56">
        <v>41394</v>
      </c>
      <c r="B186" s="202">
        <v>1.0159740065765404</v>
      </c>
      <c r="C186" s="59"/>
      <c r="D186" s="60"/>
      <c r="E186" s="60"/>
      <c r="F186" s="55"/>
      <c r="G186" s="311">
        <v>1.9974783080428701E-2</v>
      </c>
      <c r="H186" s="312">
        <f t="shared" si="26"/>
        <v>1.0199747830804287</v>
      </c>
      <c r="I186" s="4"/>
      <c r="L186" s="4">
        <v>2.92890270811739E-2</v>
      </c>
      <c r="M186" s="58">
        <v>1.0292890270811739</v>
      </c>
      <c r="N186" s="105"/>
      <c r="O186" s="105"/>
      <c r="P186" s="105"/>
      <c r="Q186" s="105"/>
      <c r="R186" s="105"/>
      <c r="S186" s="105"/>
    </row>
    <row r="187" spans="1:19">
      <c r="A187" s="56">
        <v>41425</v>
      </c>
      <c r="B187" s="202">
        <v>1.0126523682405579</v>
      </c>
      <c r="C187" s="59"/>
      <c r="D187" s="60"/>
      <c r="E187" s="60"/>
      <c r="F187" s="55"/>
      <c r="G187" s="311">
        <v>8.9333455617777204E-3</v>
      </c>
      <c r="H187" s="312">
        <f t="shared" si="26"/>
        <v>1.0089333455617777</v>
      </c>
      <c r="I187" s="4"/>
      <c r="L187" s="4">
        <v>-9.4401759288916792E-3</v>
      </c>
      <c r="M187" s="58">
        <v>0.99055982407110832</v>
      </c>
      <c r="N187" s="105"/>
      <c r="O187" s="105"/>
      <c r="P187" s="105"/>
      <c r="Q187" s="105"/>
      <c r="R187" s="105"/>
      <c r="S187" s="105"/>
    </row>
    <row r="188" spans="1:19">
      <c r="A188" s="56">
        <v>41455</v>
      </c>
      <c r="B188" s="202">
        <v>1.0082594749729918</v>
      </c>
      <c r="C188" s="59"/>
      <c r="D188" s="60"/>
      <c r="E188" s="60"/>
      <c r="F188" s="55"/>
      <c r="G188" s="311">
        <v>-2.7669780400305901E-2</v>
      </c>
      <c r="H188" s="312">
        <f t="shared" si="26"/>
        <v>0.97233021959969412</v>
      </c>
      <c r="I188" s="4"/>
      <c r="L188" s="4">
        <v>-2.8167026640824398E-2</v>
      </c>
      <c r="M188" s="58">
        <v>0.97183297335917562</v>
      </c>
      <c r="N188" s="105"/>
      <c r="O188" s="105"/>
      <c r="P188" s="105"/>
      <c r="Q188" s="105"/>
      <c r="R188" s="105"/>
      <c r="S188" s="105"/>
    </row>
    <row r="189" spans="1:19">
      <c r="A189" s="56">
        <v>41486</v>
      </c>
      <c r="B189" s="202">
        <v>1.0069873742496183</v>
      </c>
      <c r="C189" s="59"/>
      <c r="D189" s="60"/>
      <c r="E189" s="60"/>
      <c r="F189" s="55"/>
      <c r="G189" s="311">
        <v>3.18761682036484E-2</v>
      </c>
      <c r="H189" s="312">
        <f t="shared" si="26"/>
        <v>1.0318761682036484</v>
      </c>
      <c r="I189" s="4"/>
      <c r="L189" s="4">
        <v>3.9679281801283703E-2</v>
      </c>
      <c r="M189" s="58">
        <v>1.0396792818012837</v>
      </c>
      <c r="N189" s="105"/>
      <c r="O189" s="105"/>
      <c r="P189" s="105"/>
      <c r="Q189" s="105"/>
      <c r="R189" s="105"/>
      <c r="S189" s="105"/>
    </row>
    <row r="190" spans="1:19">
      <c r="A190" s="56">
        <v>41517</v>
      </c>
      <c r="B190" s="202">
        <v>1.0215353438068639</v>
      </c>
      <c r="C190" s="59"/>
      <c r="D190" s="60"/>
      <c r="E190" s="60"/>
      <c r="F190" s="55"/>
      <c r="G190" s="311">
        <v>-1.2131532509933001E-2</v>
      </c>
      <c r="H190" s="312">
        <f t="shared" si="26"/>
        <v>0.98786846749006696</v>
      </c>
      <c r="I190" s="4"/>
      <c r="L190" s="4">
        <v>-1.4210475639882002E-2</v>
      </c>
      <c r="M190" s="58">
        <v>0.98578952436011802</v>
      </c>
      <c r="N190" s="105"/>
      <c r="O190" s="105"/>
      <c r="P190" s="105"/>
      <c r="Q190" s="105"/>
      <c r="R190" s="105"/>
      <c r="S190" s="105"/>
    </row>
    <row r="191" spans="1:19">
      <c r="A191" s="56">
        <v>41547</v>
      </c>
      <c r="B191" s="202">
        <v>1.0290824700123067</v>
      </c>
      <c r="C191" s="59"/>
      <c r="D191" s="60"/>
      <c r="E191" s="60"/>
      <c r="F191" s="55"/>
      <c r="G191" s="311">
        <v>2.9958387883010099E-2</v>
      </c>
      <c r="H191" s="312">
        <f t="shared" si="26"/>
        <v>1.0299583878830101</v>
      </c>
      <c r="I191" s="4"/>
      <c r="L191" s="4">
        <v>4.86314864647166E-2</v>
      </c>
      <c r="M191" s="58">
        <v>1.0486314864647166</v>
      </c>
      <c r="N191" s="105"/>
      <c r="O191" s="105"/>
      <c r="P191" s="105"/>
      <c r="Q191" s="105"/>
      <c r="R191" s="105"/>
      <c r="S191" s="105"/>
    </row>
    <row r="192" spans="1:19">
      <c r="A192" s="56">
        <v>41578</v>
      </c>
      <c r="B192" s="202">
        <v>1.0178932886623049</v>
      </c>
      <c r="C192" s="59"/>
      <c r="D192" s="60"/>
      <c r="E192" s="60"/>
      <c r="F192" s="55"/>
      <c r="G192" s="311">
        <v>2.8540135706338201E-2</v>
      </c>
      <c r="H192" s="312">
        <f t="shared" si="26"/>
        <v>1.0285401357063382</v>
      </c>
      <c r="I192" s="4"/>
      <c r="L192" s="4">
        <v>2.9274046713003501E-2</v>
      </c>
      <c r="M192" s="58">
        <v>1.0292740467130035</v>
      </c>
      <c r="N192" s="105"/>
      <c r="O192" s="105"/>
      <c r="P192" s="105"/>
      <c r="Q192" s="105"/>
      <c r="R192" s="105"/>
      <c r="S192" s="105"/>
    </row>
    <row r="193" spans="1:19">
      <c r="A193" s="56">
        <v>41608</v>
      </c>
      <c r="B193" s="202">
        <v>1.0341064042197674</v>
      </c>
      <c r="C193" s="59"/>
      <c r="D193" s="60"/>
      <c r="E193" s="60"/>
      <c r="F193" s="55"/>
      <c r="G193" s="311">
        <v>9.1418580453854793E-3</v>
      </c>
      <c r="H193" s="312">
        <f t="shared" si="26"/>
        <v>1.0091418580453855</v>
      </c>
      <c r="I193" s="4"/>
      <c r="L193" s="4">
        <v>5.6665547785905704E-3</v>
      </c>
      <c r="M193" s="58">
        <v>1.0056665547785906</v>
      </c>
      <c r="N193" s="105"/>
      <c r="O193" s="105"/>
      <c r="P193" s="105"/>
      <c r="Q193" s="105"/>
      <c r="R193" s="105"/>
      <c r="S193" s="105"/>
    </row>
    <row r="194" spans="1:19">
      <c r="A194" s="56">
        <v>41639</v>
      </c>
      <c r="B194" s="202">
        <v>1.0025760269177284</v>
      </c>
      <c r="C194" s="59"/>
      <c r="D194" s="60"/>
      <c r="E194" s="60"/>
      <c r="F194" s="55"/>
      <c r="G194" s="311">
        <v>8.3850409606094408E-3</v>
      </c>
      <c r="H194" s="312">
        <f t="shared" si="26"/>
        <v>1.0083850409606094</v>
      </c>
      <c r="I194" s="4"/>
      <c r="L194" s="4">
        <v>1.0690037140770098E-2</v>
      </c>
      <c r="M194" s="58">
        <v>1.0106900371407701</v>
      </c>
      <c r="N194" s="105"/>
      <c r="O194" s="105"/>
      <c r="P194" s="105"/>
      <c r="Q194" s="105"/>
      <c r="R194" s="105"/>
      <c r="S194" s="105"/>
    </row>
    <row r="195" spans="1:19">
      <c r="A195" s="56">
        <v>41670</v>
      </c>
      <c r="B195" s="202">
        <v>1.0137758709859055</v>
      </c>
      <c r="C195" s="59"/>
      <c r="D195" s="60"/>
      <c r="E195" s="60"/>
      <c r="F195" s="55"/>
      <c r="G195" s="311">
        <v>-1.34946039320188E-2</v>
      </c>
      <c r="H195" s="312">
        <f t="shared" si="26"/>
        <v>0.98650539606798116</v>
      </c>
      <c r="I195" s="4"/>
      <c r="L195" s="4">
        <v>-2.2150937177019499E-2</v>
      </c>
      <c r="M195" s="58">
        <v>0.97784906282298045</v>
      </c>
      <c r="N195" s="105"/>
      <c r="O195" s="105"/>
      <c r="P195" s="105"/>
      <c r="Q195" s="105"/>
      <c r="R195" s="105"/>
      <c r="S195" s="105"/>
    </row>
    <row r="196" spans="1:19">
      <c r="A196" s="56">
        <v>41698</v>
      </c>
      <c r="B196" s="202">
        <v>0.99099957860169074</v>
      </c>
      <c r="C196" s="59"/>
      <c r="D196" s="60"/>
      <c r="E196" s="60"/>
      <c r="F196" s="55"/>
      <c r="G196" s="311">
        <v>2.8480209498229499E-2</v>
      </c>
      <c r="H196" s="312">
        <f t="shared" ref="H196:H227" si="27">G196+1</f>
        <v>1.0284802094982295</v>
      </c>
      <c r="I196" s="4"/>
      <c r="L196" s="4">
        <v>4.0417225756966199E-2</v>
      </c>
      <c r="M196" s="58">
        <v>1.0404172257569662</v>
      </c>
      <c r="N196" s="105"/>
      <c r="O196" s="105"/>
      <c r="P196" s="105"/>
      <c r="Q196" s="105"/>
      <c r="R196" s="105"/>
      <c r="S196" s="105"/>
    </row>
    <row r="197" spans="1:19">
      <c r="A197" s="56">
        <v>41729</v>
      </c>
      <c r="B197" s="202">
        <v>1.0014629846945131</v>
      </c>
      <c r="C197" s="59"/>
      <c r="D197" s="60"/>
      <c r="E197" s="60"/>
      <c r="F197" s="55"/>
      <c r="G197" s="311">
        <v>2.3545179018167302E-3</v>
      </c>
      <c r="H197" s="312">
        <f t="shared" si="27"/>
        <v>1.0023545179018167</v>
      </c>
      <c r="I197" s="4"/>
      <c r="L197" s="4">
        <v>2.1237072188853303E-3</v>
      </c>
      <c r="M197" s="58">
        <v>1.0021237072188853</v>
      </c>
      <c r="N197" s="105"/>
      <c r="O197" s="105"/>
      <c r="P197" s="105"/>
      <c r="Q197" s="105"/>
      <c r="R197" s="105"/>
      <c r="S197" s="105"/>
    </row>
    <row r="198" spans="1:19">
      <c r="A198" s="56">
        <v>41759</v>
      </c>
      <c r="B198" s="202">
        <v>1.0048557256556139</v>
      </c>
      <c r="C198" s="59"/>
      <c r="D198" s="60"/>
      <c r="E198" s="60"/>
      <c r="F198" s="55"/>
      <c r="G198" s="319">
        <v>5.9379864124640101E-3</v>
      </c>
      <c r="H198" s="312">
        <f t="shared" si="27"/>
        <v>1.005937986412464</v>
      </c>
      <c r="I198" s="4"/>
      <c r="L198" s="4">
        <v>1.0077311040184399E-2</v>
      </c>
      <c r="M198" s="58">
        <v>1.0100773110401844</v>
      </c>
      <c r="N198" s="105"/>
      <c r="O198" s="105"/>
      <c r="P198" s="105"/>
      <c r="Q198" s="105"/>
      <c r="R198" s="105"/>
      <c r="S198" s="105"/>
    </row>
    <row r="199" spans="1:19">
      <c r="A199" s="56">
        <v>41790</v>
      </c>
      <c r="B199" s="202">
        <v>1.0174353221049535</v>
      </c>
      <c r="C199" s="59"/>
      <c r="D199" s="60"/>
      <c r="E199" s="60"/>
      <c r="F199" s="55"/>
      <c r="G199" s="319">
        <v>1.88163737239E-2</v>
      </c>
      <c r="H199" s="312">
        <f t="shared" si="27"/>
        <v>1.0188163737239</v>
      </c>
      <c r="I199" s="4"/>
      <c r="L199" s="4">
        <v>1.4471670208305899E-2</v>
      </c>
      <c r="M199" s="58">
        <v>1.0144716702083059</v>
      </c>
      <c r="N199" s="105"/>
      <c r="O199" s="105"/>
      <c r="P199" s="105"/>
      <c r="Q199" s="105"/>
      <c r="R199" s="105"/>
      <c r="S199" s="105"/>
    </row>
    <row r="200" spans="1:19">
      <c r="A200" s="56">
        <v>41820</v>
      </c>
      <c r="B200" s="202">
        <v>1.0398334556999254</v>
      </c>
      <c r="C200" s="59"/>
      <c r="D200" s="60"/>
      <c r="E200" s="60"/>
      <c r="F200" s="55"/>
      <c r="G200" s="319">
        <v>7.4778776056292394E-3</v>
      </c>
      <c r="H200" s="312">
        <f t="shared" si="27"/>
        <v>1.0074778776056292</v>
      </c>
      <c r="I200" s="4"/>
      <c r="L200" s="4">
        <v>1.2246002904601001E-2</v>
      </c>
      <c r="M200" s="58">
        <v>1.012246002904601</v>
      </c>
      <c r="N200" s="105"/>
      <c r="O200" s="105"/>
      <c r="P200" s="105"/>
      <c r="Q200" s="105"/>
      <c r="R200" s="105"/>
      <c r="S200" s="105"/>
    </row>
    <row r="201" spans="1:19">
      <c r="A201" s="56">
        <v>41851</v>
      </c>
      <c r="B201" s="202">
        <v>1.0085695743379828</v>
      </c>
      <c r="C201" s="59"/>
      <c r="D201" s="60"/>
      <c r="E201" s="60"/>
      <c r="F201" s="55"/>
      <c r="G201" s="319">
        <v>-5.7924227923185105E-3</v>
      </c>
      <c r="H201" s="312">
        <f t="shared" si="27"/>
        <v>0.99420757720768149</v>
      </c>
      <c r="I201" s="4"/>
      <c r="L201" s="4">
        <v>-1.73330667412669E-2</v>
      </c>
      <c r="M201" s="58">
        <v>0.98266693325873311</v>
      </c>
      <c r="N201" s="105"/>
      <c r="O201" s="105"/>
      <c r="P201" s="105"/>
      <c r="Q201" s="105"/>
      <c r="R201" s="105"/>
      <c r="S201" s="105"/>
    </row>
    <row r="202" spans="1:19">
      <c r="A202" s="56">
        <v>41882</v>
      </c>
      <c r="B202" s="202">
        <v>0.99156617334424946</v>
      </c>
      <c r="C202" s="59"/>
      <c r="D202" s="60"/>
      <c r="E202" s="60"/>
      <c r="F202" s="55"/>
      <c r="G202" s="319">
        <v>1.7274977923542999E-2</v>
      </c>
      <c r="H202" s="312">
        <f t="shared" si="27"/>
        <v>1.017274977923543</v>
      </c>
      <c r="I202" s="4"/>
      <c r="L202" s="4">
        <v>1.0965055046097101E-2</v>
      </c>
      <c r="M202" s="58">
        <v>1.0109650550460971</v>
      </c>
      <c r="N202" s="105"/>
      <c r="O202" s="105"/>
      <c r="P202" s="105"/>
      <c r="Q202" s="105"/>
      <c r="R202" s="105"/>
      <c r="S202" s="105"/>
    </row>
    <row r="203" spans="1:19">
      <c r="A203" s="56">
        <v>41912</v>
      </c>
      <c r="B203" s="202">
        <v>1.0035764565406584</v>
      </c>
      <c r="C203" s="59"/>
      <c r="D203" s="60"/>
      <c r="E203" s="60"/>
      <c r="F203" s="55"/>
      <c r="G203" s="319">
        <v>-1.0523610125604299E-2</v>
      </c>
      <c r="H203" s="312">
        <f t="shared" si="27"/>
        <v>0.98947638987439568</v>
      </c>
      <c r="I203" s="4"/>
      <c r="L203" s="4">
        <v>-3.4791563217787397E-2</v>
      </c>
      <c r="M203" s="58">
        <v>0.96520843678221258</v>
      </c>
      <c r="N203" s="105"/>
      <c r="O203" s="105"/>
      <c r="P203" s="105"/>
      <c r="Q203" s="105"/>
      <c r="R203" s="105"/>
      <c r="S203" s="105"/>
    </row>
    <row r="204" spans="1:19">
      <c r="A204" s="56">
        <v>41943</v>
      </c>
      <c r="B204" s="202">
        <v>1.0511346908430164</v>
      </c>
      <c r="C204" s="59"/>
      <c r="D204" s="60"/>
      <c r="E204" s="60"/>
      <c r="F204" s="55"/>
      <c r="G204" s="319">
        <v>6.4157291179409706E-3</v>
      </c>
      <c r="H204" s="312">
        <f t="shared" si="27"/>
        <v>1.006415729117941</v>
      </c>
      <c r="I204" s="4"/>
      <c r="L204" s="4">
        <v>2.5971798545798597E-5</v>
      </c>
      <c r="M204" s="58">
        <v>1.0000259717985458</v>
      </c>
      <c r="N204" s="105"/>
      <c r="O204" s="105"/>
      <c r="P204" s="105"/>
      <c r="Q204" s="105"/>
      <c r="R204" s="105"/>
      <c r="S204" s="105"/>
    </row>
    <row r="205" spans="1:19">
      <c r="A205" s="56">
        <v>41973</v>
      </c>
      <c r="B205" s="202">
        <v>1.0471211436094208</v>
      </c>
      <c r="C205" s="59"/>
      <c r="D205" s="60"/>
      <c r="E205" s="60"/>
      <c r="F205" s="55"/>
      <c r="G205" s="319">
        <v>2.0779071508706403E-2</v>
      </c>
      <c r="H205" s="312">
        <f t="shared" si="27"/>
        <v>1.0207790715087064</v>
      </c>
      <c r="I205" s="4"/>
      <c r="L205" s="4">
        <v>9.0302876178052199E-3</v>
      </c>
      <c r="M205" s="58">
        <v>1.0090302876178052</v>
      </c>
      <c r="N205" s="105"/>
      <c r="O205" s="105"/>
      <c r="P205" s="105"/>
      <c r="Q205" s="105"/>
      <c r="R205" s="105"/>
      <c r="S205" s="105"/>
    </row>
    <row r="206" spans="1:19">
      <c r="A206" s="56">
        <v>42004</v>
      </c>
      <c r="B206" s="202">
        <v>1.0514010968309748</v>
      </c>
      <c r="C206" s="59"/>
      <c r="D206" s="60"/>
      <c r="E206" s="60"/>
      <c r="F206" s="55"/>
      <c r="G206" s="311">
        <v>-3.5232642946649902E-3</v>
      </c>
      <c r="H206" s="312">
        <f t="shared" si="27"/>
        <v>0.99647673570533501</v>
      </c>
      <c r="I206" s="4"/>
      <c r="L206" s="4">
        <v>-1.7551283521512598E-2</v>
      </c>
      <c r="M206" s="58">
        <v>0.98244871647848742</v>
      </c>
      <c r="N206" s="105"/>
      <c r="O206" s="105"/>
      <c r="P206" s="105"/>
      <c r="Q206" s="105"/>
      <c r="R206" s="105"/>
      <c r="S206" s="105"/>
    </row>
    <row r="207" spans="1:19">
      <c r="A207" s="56">
        <v>42035</v>
      </c>
      <c r="B207" s="202">
        <v>1.0262810875706641</v>
      </c>
      <c r="C207" s="59"/>
      <c r="D207" s="60"/>
      <c r="E207" s="60"/>
      <c r="F207" s="55"/>
      <c r="G207" s="311">
        <v>1.2702839710143401E-2</v>
      </c>
      <c r="H207" s="312">
        <f t="shared" si="27"/>
        <v>1.0127028397101434</v>
      </c>
      <c r="I207" s="4"/>
      <c r="L207" s="4">
        <v>-7.2132419694944704E-3</v>
      </c>
      <c r="M207" s="58">
        <v>0.99278675803050553</v>
      </c>
      <c r="N207" s="105"/>
      <c r="O207" s="105"/>
      <c r="P207" s="105"/>
      <c r="Q207" s="105"/>
      <c r="R207" s="105"/>
      <c r="S207" s="105"/>
    </row>
    <row r="208" spans="1:19">
      <c r="A208" s="56">
        <v>42063</v>
      </c>
      <c r="B208" s="202">
        <v>1.0172993492393403</v>
      </c>
      <c r="C208" s="59"/>
      <c r="D208" s="60"/>
      <c r="E208" s="60"/>
      <c r="F208" s="55"/>
      <c r="G208" s="311">
        <v>3.3879161653943099E-2</v>
      </c>
      <c r="H208" s="312">
        <f t="shared" si="27"/>
        <v>1.0338791616539431</v>
      </c>
      <c r="I208" s="4"/>
      <c r="L208" s="4">
        <v>3.3331621674192305E-2</v>
      </c>
      <c r="M208" s="58">
        <v>1.0333316216741923</v>
      </c>
      <c r="N208" s="105"/>
      <c r="O208" s="105"/>
      <c r="P208" s="105"/>
      <c r="Q208" s="105"/>
      <c r="R208" s="105"/>
      <c r="S208" s="105"/>
    </row>
    <row r="209" spans="1:19">
      <c r="A209" s="56">
        <v>42094</v>
      </c>
      <c r="B209" s="202">
        <v>1.0435529155700176</v>
      </c>
      <c r="C209" s="59"/>
      <c r="D209" s="60"/>
      <c r="E209" s="60"/>
      <c r="F209" s="55"/>
      <c r="G209" s="311">
        <v>5.4986431725807501E-3</v>
      </c>
      <c r="H209" s="312">
        <f t="shared" si="27"/>
        <v>1.0054986431725808</v>
      </c>
      <c r="I209" s="4"/>
      <c r="L209" s="4">
        <v>-1.1977809677491701E-2</v>
      </c>
      <c r="M209" s="58">
        <v>0.98802219032250826</v>
      </c>
      <c r="N209" s="105"/>
      <c r="O209" s="105"/>
      <c r="P209" s="105"/>
      <c r="Q209" s="105"/>
      <c r="R209" s="105"/>
      <c r="S209" s="105"/>
    </row>
    <row r="210" spans="1:19">
      <c r="A210" s="56">
        <v>42095</v>
      </c>
      <c r="B210" s="202">
        <v>0.96094249465795012</v>
      </c>
      <c r="C210" s="59"/>
      <c r="D210" s="60"/>
      <c r="E210" s="60"/>
      <c r="F210" s="55"/>
      <c r="G210" s="311">
        <v>8.2448997241482101E-3</v>
      </c>
      <c r="H210" s="312">
        <f t="shared" si="27"/>
        <v>1.0082448997241482</v>
      </c>
      <c r="I210" s="4"/>
      <c r="L210" s="4">
        <v>2.7713046074964401E-2</v>
      </c>
      <c r="M210" s="58">
        <v>1.0277130460749644</v>
      </c>
      <c r="N210" s="105"/>
      <c r="O210" s="105"/>
      <c r="P210" s="105"/>
      <c r="Q210" s="105"/>
      <c r="R210" s="105"/>
      <c r="S210" s="105"/>
    </row>
    <row r="211" spans="1:19">
      <c r="A211" s="56">
        <v>42125</v>
      </c>
      <c r="B211" s="202">
        <v>1.0293523396605639</v>
      </c>
      <c r="C211" s="59"/>
      <c r="D211" s="60"/>
      <c r="E211" s="60"/>
      <c r="F211" s="55"/>
      <c r="G211" s="311">
        <v>7.2942705892298197E-3</v>
      </c>
      <c r="H211" s="312">
        <f t="shared" si="27"/>
        <v>1.0072942705892298</v>
      </c>
      <c r="I211" s="4"/>
      <c r="L211" s="4">
        <v>-5.2599413272904601E-3</v>
      </c>
      <c r="M211" s="58">
        <v>0.99474005867270954</v>
      </c>
      <c r="N211" s="105"/>
      <c r="O211" s="105"/>
      <c r="P211" s="105"/>
      <c r="Q211" s="105"/>
      <c r="R211" s="105"/>
      <c r="S211" s="105"/>
    </row>
    <row r="212" spans="1:19">
      <c r="A212" s="56">
        <v>42156</v>
      </c>
      <c r="B212" s="202">
        <v>0.99270743250376192</v>
      </c>
      <c r="C212" s="59"/>
      <c r="D212" s="60"/>
      <c r="E212" s="60"/>
      <c r="F212" s="55"/>
      <c r="G212" s="311">
        <v>-2.3961682172106001E-2</v>
      </c>
      <c r="H212" s="312">
        <f t="shared" si="27"/>
        <v>0.97603831782789396</v>
      </c>
      <c r="I212" s="4"/>
      <c r="L212" s="4">
        <v>-1.60998097954148E-2</v>
      </c>
      <c r="M212" s="58">
        <v>0.98390019020458519</v>
      </c>
      <c r="N212" s="105"/>
      <c r="O212" s="105"/>
      <c r="P212" s="105"/>
      <c r="Q212" s="105"/>
      <c r="R212" s="105"/>
      <c r="S212" s="105"/>
    </row>
    <row r="213" spans="1:19">
      <c r="A213" s="56">
        <v>42186</v>
      </c>
      <c r="B213" s="202">
        <v>1.037196767178449</v>
      </c>
      <c r="C213" s="59"/>
      <c r="D213" s="60"/>
      <c r="E213" s="60"/>
      <c r="F213" s="55"/>
      <c r="G213" s="311">
        <v>1.4322669388275899E-2</v>
      </c>
      <c r="H213" s="312">
        <f t="shared" si="27"/>
        <v>1.0143226693882759</v>
      </c>
      <c r="I213" s="4"/>
      <c r="L213" s="4">
        <v>3.8499376635621201E-3</v>
      </c>
      <c r="M213" s="58">
        <v>1.0038499376635621</v>
      </c>
      <c r="N213" s="105"/>
      <c r="O213" s="105"/>
      <c r="P213" s="105"/>
      <c r="Q213" s="105"/>
      <c r="R213" s="105"/>
      <c r="S213" s="105"/>
    </row>
    <row r="214" spans="1:19">
      <c r="A214" s="56">
        <v>42217</v>
      </c>
      <c r="B214" s="202">
        <v>0.98563268140276517</v>
      </c>
      <c r="C214" s="59"/>
      <c r="D214" s="60"/>
      <c r="E214" s="60"/>
      <c r="F214" s="55"/>
      <c r="G214" s="311">
        <v>-4.3514544112596303E-2</v>
      </c>
      <c r="H214" s="312">
        <f t="shared" si="27"/>
        <v>0.95648545588740375</v>
      </c>
      <c r="I214" s="4"/>
      <c r="L214" s="4">
        <v>-4.4528293386655898E-2</v>
      </c>
      <c r="M214" s="58">
        <v>0.95547170661334413</v>
      </c>
      <c r="N214" s="105"/>
      <c r="O214" s="105"/>
      <c r="P214" s="105"/>
      <c r="Q214" s="105"/>
      <c r="R214" s="105"/>
      <c r="S214" s="105"/>
    </row>
    <row r="215" spans="1:19">
      <c r="A215" s="56">
        <v>42248</v>
      </c>
      <c r="B215" s="202">
        <v>0.99372969423460322</v>
      </c>
      <c r="C215" s="59"/>
      <c r="D215" s="60"/>
      <c r="E215" s="60"/>
      <c r="F215" s="55"/>
      <c r="G215" s="311">
        <v>-2.0113444508575096E-2</v>
      </c>
      <c r="H215" s="312">
        <f t="shared" si="27"/>
        <v>0.97988655549142489</v>
      </c>
      <c r="I215" s="4"/>
      <c r="L215" s="4">
        <v>-2.3110121392783699E-2</v>
      </c>
      <c r="M215" s="58">
        <v>0.97688987860721632</v>
      </c>
      <c r="N215" s="105"/>
      <c r="O215" s="105"/>
      <c r="P215" s="105"/>
      <c r="Q215" s="105"/>
      <c r="R215" s="105"/>
      <c r="S215" s="105"/>
    </row>
    <row r="216" spans="1:19">
      <c r="A216" s="56">
        <v>42278</v>
      </c>
      <c r="B216" s="202">
        <v>1.0395005681137812</v>
      </c>
      <c r="C216" s="59"/>
      <c r="D216" s="60"/>
      <c r="E216" s="60"/>
      <c r="F216" s="55"/>
      <c r="G216" s="311">
        <v>4.65181323323429E-2</v>
      </c>
      <c r="H216" s="312">
        <f t="shared" si="27"/>
        <v>1.0465181323323429</v>
      </c>
      <c r="I216" s="4"/>
      <c r="L216" s="4">
        <v>4.7878683732840904E-2</v>
      </c>
      <c r="M216" s="58">
        <v>1.0478786837328409</v>
      </c>
      <c r="N216" s="105"/>
      <c r="O216" s="105"/>
      <c r="P216" s="105"/>
      <c r="Q216" s="105"/>
      <c r="R216" s="105"/>
      <c r="S216" s="105"/>
    </row>
    <row r="217" spans="1:19">
      <c r="A217" s="56">
        <v>42309</v>
      </c>
      <c r="B217" s="202">
        <v>1.0133059723801023</v>
      </c>
      <c r="C217" s="59"/>
      <c r="D217" s="60"/>
      <c r="E217" s="60"/>
      <c r="F217" s="55"/>
      <c r="G217" s="311">
        <v>5.1129726266645505E-3</v>
      </c>
      <c r="H217" s="312">
        <f t="shared" si="27"/>
        <v>1.0051129726266645</v>
      </c>
      <c r="I217" s="4"/>
      <c r="L217" s="4">
        <v>-1.2394324224147699E-2</v>
      </c>
      <c r="M217" s="58">
        <v>0.98760567577585234</v>
      </c>
      <c r="N217" s="105"/>
      <c r="O217" s="105"/>
      <c r="P217" s="105"/>
      <c r="Q217" s="105"/>
      <c r="R217" s="105"/>
      <c r="S217" s="105"/>
    </row>
    <row r="218" spans="1:19">
      <c r="A218" s="56">
        <v>42339</v>
      </c>
      <c r="B218" s="202">
        <v>1.0093099765571256</v>
      </c>
      <c r="C218" s="59"/>
      <c r="D218" s="60"/>
      <c r="E218" s="60"/>
      <c r="F218" s="55"/>
      <c r="G218" s="311">
        <v>-1.55163554850137E-2</v>
      </c>
      <c r="H218" s="312">
        <f t="shared" si="27"/>
        <v>0.98448364451498627</v>
      </c>
      <c r="I218" s="4"/>
      <c r="L218" s="4">
        <v>-1.0000822872334201E-2</v>
      </c>
      <c r="M218" s="58">
        <v>0.98999917712766583</v>
      </c>
      <c r="N218" s="105"/>
      <c r="O218" s="105"/>
      <c r="P218" s="105"/>
      <c r="Q218" s="105"/>
      <c r="R218" s="105"/>
      <c r="S218" s="105"/>
    </row>
    <row r="219" spans="1:19">
      <c r="A219" s="56">
        <v>42370</v>
      </c>
      <c r="B219" s="202">
        <v>0.94584796062523524</v>
      </c>
      <c r="C219" s="59"/>
      <c r="D219" s="60"/>
      <c r="E219" s="60"/>
      <c r="F219" s="55"/>
      <c r="G219" s="311">
        <v>-3.2155168875377303E-2</v>
      </c>
      <c r="H219" s="312">
        <f t="shared" si="27"/>
        <v>0.96784483112462272</v>
      </c>
      <c r="I219" s="4"/>
      <c r="L219" s="4">
        <v>-4.0746209314054704E-2</v>
      </c>
      <c r="M219" s="58">
        <v>0.9592537906859453</v>
      </c>
      <c r="N219" s="105"/>
      <c r="O219" s="105"/>
      <c r="P219" s="105"/>
      <c r="Q219" s="105"/>
      <c r="R219" s="105"/>
      <c r="S219" s="105"/>
    </row>
    <row r="220" spans="1:19">
      <c r="A220" s="56">
        <v>42401</v>
      </c>
      <c r="B220" s="202">
        <v>0.99920593300647287</v>
      </c>
      <c r="C220" s="59"/>
      <c r="D220" s="60"/>
      <c r="E220" s="60"/>
      <c r="F220" s="55"/>
      <c r="G220" s="311">
        <v>-7.0442294388607394E-3</v>
      </c>
      <c r="H220" s="312">
        <f t="shared" si="27"/>
        <v>0.99295577056113926</v>
      </c>
      <c r="I220" s="4"/>
      <c r="L220" s="4">
        <v>3.4638278490373202E-4</v>
      </c>
      <c r="M220" s="58">
        <v>1.0003463827849037</v>
      </c>
      <c r="N220" s="105"/>
      <c r="O220" s="105"/>
      <c r="P220" s="105"/>
      <c r="Q220" s="105"/>
      <c r="R220" s="105"/>
      <c r="S220" s="105"/>
    </row>
    <row r="221" spans="1:19">
      <c r="A221" s="56">
        <v>42430</v>
      </c>
      <c r="B221" s="202">
        <v>1.0055260306766027</v>
      </c>
      <c r="C221" s="59"/>
      <c r="D221" s="60"/>
      <c r="E221" s="60"/>
      <c r="F221" s="55"/>
      <c r="G221" s="311">
        <v>3.3986186919740403E-2</v>
      </c>
      <c r="H221" s="312">
        <f t="shared" si="27"/>
        <v>1.0339861869197404</v>
      </c>
      <c r="I221" s="4"/>
      <c r="L221" s="4">
        <v>5.9800426492902403E-2</v>
      </c>
      <c r="M221" s="58">
        <v>1.0598004264929024</v>
      </c>
      <c r="N221" s="105"/>
      <c r="O221" s="105"/>
      <c r="P221" s="105"/>
      <c r="Q221" s="105"/>
      <c r="R221" s="105"/>
      <c r="S221" s="105"/>
    </row>
    <row r="222" spans="1:19">
      <c r="A222" s="56">
        <v>42461</v>
      </c>
      <c r="B222" s="202">
        <v>0.98811588096027514</v>
      </c>
      <c r="C222" s="59"/>
      <c r="D222" s="60"/>
      <c r="E222" s="60"/>
      <c r="F222" s="55"/>
      <c r="G222" s="311">
        <v>6.6081120462289098E-3</v>
      </c>
      <c r="H222" s="312">
        <f t="shared" si="27"/>
        <v>1.0066081120462289</v>
      </c>
      <c r="I222" s="4"/>
      <c r="L222" s="4">
        <v>1.4977426514333201E-2</v>
      </c>
      <c r="M222" s="58">
        <v>1.0149774265143332</v>
      </c>
      <c r="N222" s="105"/>
      <c r="O222" s="105"/>
      <c r="P222" s="105"/>
      <c r="Q222" s="105"/>
      <c r="R222" s="105"/>
      <c r="S222" s="105"/>
    </row>
    <row r="223" spans="1:19">
      <c r="A223" s="56">
        <v>42491</v>
      </c>
      <c r="B223" s="202">
        <v>1.0328621773336613</v>
      </c>
      <c r="C223" s="59"/>
      <c r="D223" s="60"/>
      <c r="E223" s="60"/>
      <c r="F223" s="55"/>
      <c r="G223" s="311">
        <v>1.2498017825737E-2</v>
      </c>
      <c r="H223" s="312">
        <f t="shared" si="27"/>
        <v>1.012498017825737</v>
      </c>
      <c r="I223" s="4"/>
      <c r="L223" s="4">
        <v>-5.5221114469186094E-3</v>
      </c>
      <c r="M223" s="58">
        <v>0.99447788855308139</v>
      </c>
      <c r="N223" s="105"/>
      <c r="O223" s="105"/>
      <c r="P223" s="105"/>
      <c r="Q223" s="105"/>
      <c r="R223" s="105"/>
      <c r="S223" s="105"/>
    </row>
    <row r="224" spans="1:19">
      <c r="A224" s="56">
        <v>42522</v>
      </c>
      <c r="B224" s="202">
        <v>0.99670894444484071</v>
      </c>
      <c r="C224" s="59"/>
      <c r="D224" s="60"/>
      <c r="E224" s="60"/>
      <c r="F224" s="55"/>
      <c r="G224" s="311">
        <v>-6.35274963123433E-3</v>
      </c>
      <c r="H224" s="312">
        <f t="shared" si="27"/>
        <v>0.99364725036876567</v>
      </c>
      <c r="I224" s="4"/>
      <c r="L224" s="4">
        <v>-3.8627849432814098E-3</v>
      </c>
      <c r="M224" s="58">
        <v>0.99613721505671859</v>
      </c>
      <c r="N224" s="105"/>
      <c r="O224" s="105"/>
      <c r="P224" s="105"/>
      <c r="Q224" s="105"/>
      <c r="R224" s="105"/>
      <c r="S224" s="105"/>
    </row>
    <row r="225" spans="1:19">
      <c r="A225" s="56">
        <v>42552</v>
      </c>
      <c r="B225" s="202">
        <v>1.0397037004198957</v>
      </c>
      <c r="C225" s="59"/>
      <c r="D225" s="60"/>
      <c r="E225" s="60"/>
      <c r="F225" s="55"/>
      <c r="G225" s="311">
        <v>3.0657182712357199E-2</v>
      </c>
      <c r="H225" s="312">
        <f t="shared" si="27"/>
        <v>1.0306571827123572</v>
      </c>
      <c r="I225" s="4"/>
      <c r="L225" s="4">
        <v>3.2920796866716499E-2</v>
      </c>
      <c r="M225" s="58">
        <v>1.0329207968667165</v>
      </c>
      <c r="N225" s="105"/>
      <c r="O225" s="105"/>
      <c r="P225" s="105"/>
      <c r="Q225" s="105"/>
      <c r="R225" s="105"/>
      <c r="S225" s="105"/>
    </row>
    <row r="226" spans="1:19">
      <c r="A226" s="56">
        <v>42583</v>
      </c>
      <c r="B226" s="202">
        <v>0.9926978050810038</v>
      </c>
      <c r="C226" s="59"/>
      <c r="D226" s="60"/>
      <c r="E226" s="60"/>
      <c r="F226" s="55"/>
      <c r="G226" s="311">
        <v>6.7263807173929503E-3</v>
      </c>
      <c r="H226" s="312">
        <f t="shared" si="27"/>
        <v>1.006726380717393</v>
      </c>
      <c r="I226" s="4"/>
      <c r="L226" s="4">
        <v>2.4330534841672199E-3</v>
      </c>
      <c r="M226" s="58">
        <v>1.0024330534841672</v>
      </c>
      <c r="N226" s="105"/>
      <c r="O226" s="105"/>
      <c r="P226" s="105"/>
      <c r="Q226" s="105"/>
      <c r="R226" s="105"/>
      <c r="S226" s="105"/>
    </row>
    <row r="227" spans="1:19">
      <c r="A227" s="56">
        <v>42614</v>
      </c>
      <c r="B227" s="202">
        <v>0.96490235120401113</v>
      </c>
      <c r="C227" s="59"/>
      <c r="D227" s="60"/>
      <c r="E227" s="60"/>
      <c r="F227" s="55"/>
      <c r="G227" s="311">
        <v>2.2758318930475897E-3</v>
      </c>
      <c r="H227" s="312">
        <f t="shared" si="27"/>
        <v>1.0022758318930476</v>
      </c>
      <c r="I227" s="4"/>
      <c r="L227" s="4">
        <v>7.0126248548951801E-3</v>
      </c>
      <c r="M227" s="58">
        <v>1.0070126248548952</v>
      </c>
      <c r="N227" s="105"/>
      <c r="O227" s="105"/>
      <c r="P227" s="105"/>
      <c r="Q227" s="105"/>
      <c r="R227" s="105"/>
      <c r="S227" s="105"/>
    </row>
    <row r="228" spans="1:19">
      <c r="D228" s="181">
        <v>1.0099193156035986</v>
      </c>
      <c r="E228" s="59"/>
      <c r="F228" s="60"/>
      <c r="G228" s="60"/>
      <c r="H228" s="55"/>
      <c r="I228" s="4"/>
      <c r="L228" s="4">
        <v>-2.1798817650395898E-2</v>
      </c>
      <c r="M228" s="58">
        <v>0.97820118234960407</v>
      </c>
      <c r="N228" s="105"/>
      <c r="O228" s="105"/>
      <c r="P228" s="105"/>
      <c r="Q228" s="105"/>
      <c r="R228" s="105"/>
      <c r="S228" s="105"/>
    </row>
    <row r="229" spans="1:19">
      <c r="D229" s="181">
        <v>1.0200007574463112</v>
      </c>
      <c r="E229" s="59"/>
      <c r="F229" s="60"/>
      <c r="G229" s="60"/>
      <c r="H229" s="55"/>
      <c r="I229" s="4"/>
      <c r="L229" s="4">
        <v>-1.13547570487581E-2</v>
      </c>
      <c r="M229" s="58">
        <v>0.9886452429512419</v>
      </c>
      <c r="N229" s="105"/>
      <c r="O229" s="105"/>
      <c r="P229" s="105"/>
      <c r="Q229" s="105"/>
      <c r="R229" s="105"/>
      <c r="S229" s="105"/>
    </row>
    <row r="230" spans="1:19">
      <c r="D230" s="181">
        <v>1.0280088773054965</v>
      </c>
      <c r="E230" s="59"/>
      <c r="F230" s="60"/>
      <c r="G230" s="60"/>
      <c r="H230" s="55"/>
      <c r="I230" s="4"/>
      <c r="L230" s="4">
        <v>1.67168667394644E-2</v>
      </c>
      <c r="M230" s="58">
        <v>1.0167168667394644</v>
      </c>
      <c r="N230" s="105"/>
      <c r="O230" s="105"/>
      <c r="P230" s="105"/>
      <c r="Q230" s="105"/>
      <c r="R230" s="105"/>
      <c r="S230" s="105"/>
    </row>
    <row r="231" spans="1:19">
      <c r="G231" s="60"/>
    </row>
  </sheetData>
  <mergeCells count="4">
    <mergeCell ref="G1:J1"/>
    <mergeCell ref="B1:E1"/>
    <mergeCell ref="L1:S1"/>
    <mergeCell ref="U1:AV1"/>
  </mergeCells>
  <pageMargins left="0.7" right="0.7" top="0.75" bottom="0.75" header="0.3" footer="0.3"/>
  <pageSetup paperSize="9" orientation="portrait"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D578"/>
  <sheetViews>
    <sheetView workbookViewId="0">
      <selection activeCell="H5" sqref="H5"/>
    </sheetView>
  </sheetViews>
  <sheetFormatPr defaultColWidth="12.42578125" defaultRowHeight="15.75"/>
  <cols>
    <col min="1" max="1" width="14.42578125" style="136" customWidth="1"/>
    <col min="2" max="2" width="13.28515625" style="136" customWidth="1"/>
    <col min="3" max="3" width="16.7109375" style="136" customWidth="1"/>
    <col min="4" max="4" width="15.42578125" style="136" hidden="1" customWidth="1"/>
    <col min="5" max="6" width="0" style="136" hidden="1" customWidth="1"/>
    <col min="7" max="20" width="15.42578125" style="136" customWidth="1"/>
    <col min="21" max="22" width="12.42578125" style="136"/>
    <col min="23" max="23" width="15.42578125" style="136" customWidth="1"/>
    <col min="24" max="24" width="12.42578125" style="136"/>
    <col min="25" max="25" width="14.42578125" style="136" hidden="1" customWidth="1"/>
    <col min="26" max="26" width="13.28515625" style="136" hidden="1" customWidth="1"/>
    <col min="27" max="27" width="16.7109375" style="136" hidden="1" customWidth="1"/>
    <col min="28" max="28" width="19.42578125" style="843" hidden="1" customWidth="1"/>
    <col min="29" max="30" width="19.42578125" style="136" hidden="1" customWidth="1"/>
    <col min="31" max="31" width="12.42578125" style="136" hidden="1" customWidth="1"/>
    <col min="32" max="32" width="11.42578125" style="136" hidden="1" customWidth="1"/>
    <col min="33" max="37" width="15.42578125" style="136" hidden="1" customWidth="1"/>
    <col min="38" max="38" width="14.42578125" style="136" hidden="1" customWidth="1"/>
    <col min="39" max="39" width="13.28515625" style="136" hidden="1" customWidth="1"/>
    <col min="40" max="40" width="16.7109375" style="136" hidden="1" customWidth="1"/>
    <col min="41" max="41" width="15.42578125" style="136" hidden="1" customWidth="1"/>
    <col min="42" max="43" width="0" style="136" hidden="1" customWidth="1"/>
    <col min="44" max="44" width="12.42578125" style="136"/>
    <col min="45" max="45" width="14.42578125" style="136" customWidth="1"/>
    <col min="46" max="46" width="13.28515625" style="136" customWidth="1"/>
    <col min="47" max="47" width="16.7109375" style="136" customWidth="1"/>
    <col min="48" max="49" width="12.7109375" style="136" bestFit="1" customWidth="1"/>
    <col min="50" max="51" width="13.85546875" style="136" bestFit="1" customWidth="1"/>
    <col min="52" max="53" width="14.42578125" style="136" bestFit="1" customWidth="1"/>
    <col min="54" max="54" width="15" style="136" bestFit="1" customWidth="1"/>
    <col min="55" max="55" width="12.7109375" style="136" bestFit="1" customWidth="1"/>
    <col min="56" max="56" width="14.140625" style="136" customWidth="1"/>
    <col min="57" max="16384" width="12.42578125" style="136"/>
  </cols>
  <sheetData>
    <row r="1" spans="1:56" ht="60.95" customHeight="1">
      <c r="A1" s="545" t="s">
        <v>746</v>
      </c>
      <c r="B1" s="580"/>
      <c r="C1" s="580"/>
      <c r="D1" s="861" t="s">
        <v>765</v>
      </c>
      <c r="E1" s="861" t="s">
        <v>764</v>
      </c>
      <c r="F1" s="861" t="s">
        <v>763</v>
      </c>
      <c r="G1" s="861" t="s">
        <v>762</v>
      </c>
      <c r="H1" s="861" t="s">
        <v>761</v>
      </c>
      <c r="I1" s="861" t="s">
        <v>760</v>
      </c>
      <c r="J1" s="861" t="s">
        <v>759</v>
      </c>
      <c r="K1" s="861"/>
      <c r="L1" s="861" t="s">
        <v>758</v>
      </c>
      <c r="M1" s="861" t="s">
        <v>757</v>
      </c>
      <c r="N1" s="861" t="s">
        <v>756</v>
      </c>
      <c r="O1" s="861" t="s">
        <v>755</v>
      </c>
      <c r="P1" s="861" t="s">
        <v>754</v>
      </c>
      <c r="Q1" s="861" t="s">
        <v>753</v>
      </c>
      <c r="R1" s="861" t="s">
        <v>752</v>
      </c>
      <c r="S1" s="861" t="s">
        <v>751</v>
      </c>
      <c r="T1" s="861" t="s">
        <v>750</v>
      </c>
      <c r="Y1" s="836"/>
      <c r="Z1" s="836"/>
      <c r="AA1" s="836"/>
      <c r="AB1" s="562" t="s">
        <v>749</v>
      </c>
      <c r="AC1" s="549" t="s">
        <v>748</v>
      </c>
      <c r="AD1" s="549" t="s">
        <v>747</v>
      </c>
      <c r="AF1" s="562" t="s">
        <v>746</v>
      </c>
      <c r="AG1" s="562" t="s">
        <v>745</v>
      </c>
      <c r="AH1" s="562" t="s">
        <v>744</v>
      </c>
      <c r="AI1" s="562" t="s">
        <v>743</v>
      </c>
      <c r="AJ1" s="564"/>
      <c r="AK1" s="564"/>
      <c r="AL1" s="836"/>
      <c r="AM1" s="836"/>
      <c r="AN1" s="836"/>
      <c r="AO1" s="571" t="s">
        <v>742</v>
      </c>
      <c r="AP1" s="571" t="s">
        <v>741</v>
      </c>
      <c r="AQ1" s="571" t="s">
        <v>740</v>
      </c>
      <c r="AS1" s="842" t="s">
        <v>739</v>
      </c>
      <c r="AT1" s="836"/>
      <c r="AU1" s="836"/>
      <c r="AV1" s="571" t="s">
        <v>738</v>
      </c>
      <c r="AW1" s="571" t="s">
        <v>737</v>
      </c>
      <c r="AX1" s="571" t="s">
        <v>736</v>
      </c>
      <c r="AY1" s="571" t="s">
        <v>735</v>
      </c>
      <c r="AZ1" s="571" t="s">
        <v>734</v>
      </c>
      <c r="BA1" s="571" t="s">
        <v>733</v>
      </c>
      <c r="BB1" s="571" t="s">
        <v>643</v>
      </c>
      <c r="BC1" s="571" t="s">
        <v>485</v>
      </c>
      <c r="BD1" s="571" t="s">
        <v>486</v>
      </c>
    </row>
    <row r="2" spans="1:56" ht="94.5">
      <c r="A2" s="862" t="s">
        <v>633</v>
      </c>
      <c r="B2" s="862" t="s">
        <v>732</v>
      </c>
      <c r="C2" s="862" t="s">
        <v>226</v>
      </c>
      <c r="D2" s="570"/>
      <c r="E2" s="570"/>
      <c r="F2" s="570"/>
      <c r="G2" s="569" t="s">
        <v>415</v>
      </c>
      <c r="H2" s="569" t="s">
        <v>414</v>
      </c>
      <c r="I2" s="569" t="s">
        <v>413</v>
      </c>
      <c r="J2" s="569" t="s">
        <v>412</v>
      </c>
      <c r="K2" s="569"/>
      <c r="L2" s="569" t="s">
        <v>410</v>
      </c>
      <c r="M2" s="569" t="s">
        <v>411</v>
      </c>
      <c r="N2" s="569" t="s">
        <v>409</v>
      </c>
      <c r="O2" s="569" t="s">
        <v>408</v>
      </c>
      <c r="P2" s="569" t="s">
        <v>407</v>
      </c>
      <c r="Q2" s="569" t="s">
        <v>406</v>
      </c>
      <c r="R2" s="569" t="s">
        <v>404</v>
      </c>
      <c r="S2" s="569" t="s">
        <v>403</v>
      </c>
      <c r="T2" s="569" t="s">
        <v>405</v>
      </c>
      <c r="Y2" s="852" t="s">
        <v>633</v>
      </c>
      <c r="Z2" s="852" t="s">
        <v>732</v>
      </c>
      <c r="AA2" s="852" t="s">
        <v>226</v>
      </c>
      <c r="AC2" s="568"/>
      <c r="AF2" s="844" t="s">
        <v>358</v>
      </c>
      <c r="AG2" s="844" t="s">
        <v>415</v>
      </c>
      <c r="AH2" s="844" t="s">
        <v>414</v>
      </c>
      <c r="AI2" s="844" t="s">
        <v>413</v>
      </c>
      <c r="AJ2" s="844"/>
      <c r="AK2" s="844"/>
      <c r="AL2" s="852" t="s">
        <v>633</v>
      </c>
      <c r="AM2" s="852" t="s">
        <v>732</v>
      </c>
      <c r="AN2" s="852" t="s">
        <v>226</v>
      </c>
      <c r="AS2" s="852" t="s">
        <v>633</v>
      </c>
      <c r="AT2" s="852" t="s">
        <v>732</v>
      </c>
      <c r="AU2" s="852" t="s">
        <v>226</v>
      </c>
    </row>
    <row r="3" spans="1:56" ht="18.95" customHeight="1">
      <c r="A3" s="863">
        <v>2016</v>
      </c>
      <c r="B3" s="863">
        <v>4</v>
      </c>
      <c r="C3" s="864">
        <v>42735</v>
      </c>
      <c r="D3" s="136">
        <f t="shared" ref="D3:D34" si="0">AO3</f>
        <v>95.969576078445996</v>
      </c>
      <c r="E3" s="136">
        <f t="shared" ref="E3:E34" si="1">AP3</f>
        <v>12.160042752419344</v>
      </c>
      <c r="F3" s="136">
        <f t="shared" ref="F3:F34" si="2">AQ3</f>
        <v>106.19222607088766</v>
      </c>
      <c r="G3" s="136">
        <v>128.70000000000002</v>
      </c>
      <c r="H3" s="136">
        <v>104.67</v>
      </c>
      <c r="I3" s="136">
        <v>100.68</v>
      </c>
      <c r="J3" s="136">
        <v>0.5</v>
      </c>
      <c r="L3" s="136">
        <v>671.99</v>
      </c>
      <c r="M3" s="136">
        <v>1830.6380000000001</v>
      </c>
      <c r="N3" s="846">
        <v>0.45900000000000002</v>
      </c>
      <c r="O3" s="846">
        <v>0.19900000000000001</v>
      </c>
      <c r="P3" s="855">
        <v>1.1380000000000001</v>
      </c>
      <c r="Q3" s="846">
        <v>0.89800000000000002</v>
      </c>
      <c r="R3" s="846">
        <v>0.83000000000000007</v>
      </c>
      <c r="S3" s="136">
        <v>2516.52</v>
      </c>
      <c r="T3" s="136">
        <v>2417.3110000000001</v>
      </c>
      <c r="Y3" s="853">
        <v>2016</v>
      </c>
      <c r="Z3" s="853">
        <v>4</v>
      </c>
      <c r="AA3" s="854">
        <v>42735</v>
      </c>
      <c r="AB3" s="136">
        <v>8.6077000000000012</v>
      </c>
      <c r="AC3" s="136">
        <v>1.3410500000000001</v>
      </c>
      <c r="AD3" s="136">
        <v>0.94809199999999993</v>
      </c>
      <c r="AF3" s="856" t="s">
        <v>268</v>
      </c>
      <c r="AG3" s="857">
        <v>128.70000000000002</v>
      </c>
      <c r="AH3" s="857">
        <v>104.67</v>
      </c>
      <c r="AI3" s="857">
        <v>100.68</v>
      </c>
      <c r="AJ3" s="857"/>
      <c r="AK3" s="857"/>
      <c r="AL3" s="853">
        <v>2016</v>
      </c>
      <c r="AM3" s="853">
        <v>4</v>
      </c>
      <c r="AN3" s="854">
        <v>42735</v>
      </c>
      <c r="AO3" s="136">
        <f t="shared" ref="AO3:AO34" si="3">AG3/AC3</f>
        <v>95.969576078445996</v>
      </c>
      <c r="AP3" s="136">
        <f t="shared" ref="AP3:AP34" si="4">AH3/AB3</f>
        <v>12.160042752419344</v>
      </c>
      <c r="AQ3" s="136">
        <f t="shared" ref="AQ3:AQ34" si="5">AI3/AD3</f>
        <v>106.19222607088766</v>
      </c>
      <c r="AS3" s="853">
        <v>2016</v>
      </c>
      <c r="AT3" s="853">
        <v>4</v>
      </c>
      <c r="AU3" s="854">
        <v>42735</v>
      </c>
      <c r="AV3" s="845">
        <f t="shared" ref="AV3:AV34" si="6">((L3-L4)/L4)</f>
        <v>1.8768666333136241E-2</v>
      </c>
      <c r="AW3" s="845">
        <f t="shared" ref="AW3:AW34" si="7">((M3-M4)/M4)</f>
        <v>-4.0838193401275598E-2</v>
      </c>
      <c r="AX3" s="845">
        <f t="shared" ref="AX3:AX34" si="8">N3/100</f>
        <v>4.5900000000000003E-3</v>
      </c>
      <c r="AY3" s="845">
        <f t="shared" ref="AY3:AY34" si="9">O3/100</f>
        <v>1.99E-3</v>
      </c>
      <c r="AZ3" s="845">
        <f t="shared" ref="AZ3:AZ34" si="10">P3/100</f>
        <v>1.1380000000000001E-2</v>
      </c>
      <c r="BA3" s="845">
        <f t="shared" ref="BA3:BA34" si="11">Q3/100</f>
        <v>8.9800000000000001E-3</v>
      </c>
      <c r="BB3" s="845">
        <f t="shared" ref="BB3:BB34" si="12">R3/100</f>
        <v>8.3000000000000001E-3</v>
      </c>
      <c r="BC3" s="845">
        <f t="shared" ref="BC3:BC34" si="13">((S3-S4)/S4)</f>
        <v>-4.968845587402286E-2</v>
      </c>
      <c r="BD3" s="845">
        <f t="shared" ref="BD3:BD34" si="14">((T3-T4)/T4)</f>
        <v>5.7622741957501007E-2</v>
      </c>
    </row>
    <row r="4" spans="1:56" ht="18.95" customHeight="1">
      <c r="A4" s="863">
        <v>2016</v>
      </c>
      <c r="B4" s="863">
        <v>3</v>
      </c>
      <c r="C4" s="864">
        <v>42643</v>
      </c>
      <c r="D4" s="136">
        <f t="shared" si="0"/>
        <v>98.002663115845536</v>
      </c>
      <c r="E4" s="136">
        <f t="shared" si="1"/>
        <v>13.037548640566543</v>
      </c>
      <c r="F4" s="136">
        <f t="shared" si="2"/>
        <v>113.21161829456599</v>
      </c>
      <c r="G4" s="136">
        <v>128.80000000000001</v>
      </c>
      <c r="H4" s="136">
        <v>104.2</v>
      </c>
      <c r="I4" s="136">
        <v>100.74000000000001</v>
      </c>
      <c r="J4" s="136">
        <v>0.28000000000000003</v>
      </c>
      <c r="L4" s="136">
        <v>659.61</v>
      </c>
      <c r="M4" s="136">
        <v>1908.5810000000001</v>
      </c>
      <c r="N4" s="846">
        <v>-2.9000000000000001E-2</v>
      </c>
      <c r="O4" s="846">
        <v>-0.12</v>
      </c>
      <c r="P4" s="846">
        <v>0.193</v>
      </c>
      <c r="Q4" s="846">
        <v>5.9000000000000004E-2</v>
      </c>
      <c r="R4" s="846">
        <v>0.51200000000000001</v>
      </c>
      <c r="S4" s="136">
        <v>2648.1</v>
      </c>
      <c r="T4" s="136">
        <v>2285.6080000000002</v>
      </c>
      <c r="Y4" s="853">
        <v>2016</v>
      </c>
      <c r="Z4" s="853">
        <v>3</v>
      </c>
      <c r="AA4" s="854">
        <v>42643</v>
      </c>
      <c r="AB4" s="136">
        <v>7.9923000000000011</v>
      </c>
      <c r="AC4" s="136">
        <v>1.3142500000000001</v>
      </c>
      <c r="AD4" s="136">
        <v>0.88983799999999991</v>
      </c>
      <c r="AF4" s="138" t="s">
        <v>269</v>
      </c>
      <c r="AG4" s="136">
        <v>128.80000000000001</v>
      </c>
      <c r="AH4" s="136">
        <v>104.2</v>
      </c>
      <c r="AI4" s="136">
        <v>100.74000000000001</v>
      </c>
      <c r="AL4" s="853">
        <v>2016</v>
      </c>
      <c r="AM4" s="853">
        <v>3</v>
      </c>
      <c r="AN4" s="854">
        <v>42643</v>
      </c>
      <c r="AO4" s="136">
        <f t="shared" si="3"/>
        <v>98.002663115845536</v>
      </c>
      <c r="AP4" s="136">
        <f t="shared" si="4"/>
        <v>13.037548640566543</v>
      </c>
      <c r="AQ4" s="136">
        <f t="shared" si="5"/>
        <v>113.21161829456599</v>
      </c>
      <c r="AS4" s="853">
        <v>2016</v>
      </c>
      <c r="AT4" s="853">
        <v>3</v>
      </c>
      <c r="AU4" s="854">
        <v>42643</v>
      </c>
      <c r="AV4" s="845">
        <f t="shared" si="6"/>
        <v>5.4144758921579585E-2</v>
      </c>
      <c r="AW4" s="845">
        <f t="shared" si="7"/>
        <v>9.1538348916000017E-2</v>
      </c>
      <c r="AX4" s="845">
        <f t="shared" si="8"/>
        <v>-2.9E-4</v>
      </c>
      <c r="AY4" s="845">
        <f t="shared" si="9"/>
        <v>-1.1999999999999999E-3</v>
      </c>
      <c r="AZ4" s="845">
        <f t="shared" si="10"/>
        <v>1.9300000000000001E-3</v>
      </c>
      <c r="BA4" s="845">
        <f t="shared" si="11"/>
        <v>5.9000000000000003E-4</v>
      </c>
      <c r="BB4" s="845">
        <f t="shared" si="12"/>
        <v>5.1200000000000004E-3</v>
      </c>
      <c r="BC4" s="845">
        <f t="shared" si="13"/>
        <v>2.1343747871301259E-3</v>
      </c>
      <c r="BD4" s="845">
        <f t="shared" si="14"/>
        <v>-4.1537560265379393E-2</v>
      </c>
    </row>
    <row r="5" spans="1:56" s="844" customFormat="1" ht="18.95" customHeight="1">
      <c r="A5" s="863">
        <v>2016</v>
      </c>
      <c r="B5" s="863">
        <v>2</v>
      </c>
      <c r="C5" s="864">
        <v>42551</v>
      </c>
      <c r="D5" s="136">
        <f t="shared" si="0"/>
        <v>99.099099099099121</v>
      </c>
      <c r="E5" s="136">
        <f t="shared" si="1"/>
        <v>12.344720032982988</v>
      </c>
      <c r="F5" s="136">
        <f t="shared" si="2"/>
        <v>111.55042988187274</v>
      </c>
      <c r="G5" s="136">
        <v>128.70000000000002</v>
      </c>
      <c r="H5" s="136">
        <v>103.3</v>
      </c>
      <c r="I5" s="136">
        <v>100.41</v>
      </c>
      <c r="J5" s="136">
        <v>0.26</v>
      </c>
      <c r="K5" s="136"/>
      <c r="L5" s="136">
        <v>625.73</v>
      </c>
      <c r="M5" s="136">
        <v>1748.5240000000001</v>
      </c>
      <c r="N5" s="846">
        <v>1.474</v>
      </c>
      <c r="O5" s="846">
        <v>2.5750000000000002</v>
      </c>
      <c r="P5" s="846">
        <v>2.863</v>
      </c>
      <c r="Q5" s="846">
        <v>1.927</v>
      </c>
      <c r="R5" s="846">
        <v>0.29599999999999999</v>
      </c>
      <c r="S5" s="136">
        <v>2642.46</v>
      </c>
      <c r="T5" s="136">
        <v>2384.6610000000001</v>
      </c>
      <c r="Y5" s="853">
        <v>2016</v>
      </c>
      <c r="Z5" s="853">
        <v>2</v>
      </c>
      <c r="AA5" s="854">
        <v>42551</v>
      </c>
      <c r="AB5" s="136">
        <v>8.3679500000000004</v>
      </c>
      <c r="AC5" s="136">
        <v>1.2987</v>
      </c>
      <c r="AD5" s="136">
        <v>0.90013100000000001</v>
      </c>
      <c r="AF5" s="138" t="s">
        <v>270</v>
      </c>
      <c r="AG5" s="136">
        <v>128.70000000000002</v>
      </c>
      <c r="AH5" s="136">
        <v>103.3</v>
      </c>
      <c r="AI5" s="136">
        <v>100.41</v>
      </c>
      <c r="AJ5" s="136"/>
      <c r="AK5" s="136"/>
      <c r="AL5" s="853">
        <v>2016</v>
      </c>
      <c r="AM5" s="853">
        <v>2</v>
      </c>
      <c r="AN5" s="854">
        <v>42551</v>
      </c>
      <c r="AO5" s="136">
        <f t="shared" si="3"/>
        <v>99.099099099099121</v>
      </c>
      <c r="AP5" s="136">
        <f t="shared" si="4"/>
        <v>12.344720032982988</v>
      </c>
      <c r="AQ5" s="136">
        <f t="shared" si="5"/>
        <v>111.55042988187274</v>
      </c>
      <c r="AS5" s="853">
        <v>2016</v>
      </c>
      <c r="AT5" s="853">
        <v>2</v>
      </c>
      <c r="AU5" s="854">
        <v>42551</v>
      </c>
      <c r="AV5" s="845">
        <f t="shared" si="6"/>
        <v>1.1869532172253807E-2</v>
      </c>
      <c r="AW5" s="845">
        <f t="shared" si="7"/>
        <v>7.9737498068822056E-3</v>
      </c>
      <c r="AX5" s="845">
        <f t="shared" si="8"/>
        <v>1.474E-2</v>
      </c>
      <c r="AY5" s="845">
        <f t="shared" si="9"/>
        <v>2.5750000000000002E-2</v>
      </c>
      <c r="AZ5" s="845">
        <f t="shared" si="10"/>
        <v>2.8629999999999999E-2</v>
      </c>
      <c r="BA5" s="845">
        <f t="shared" si="11"/>
        <v>1.9269999999999999E-2</v>
      </c>
      <c r="BB5" s="845">
        <f t="shared" si="12"/>
        <v>2.96E-3</v>
      </c>
      <c r="BC5" s="845">
        <f t="shared" si="13"/>
        <v>4.6481511550083315E-2</v>
      </c>
      <c r="BD5" s="845">
        <f t="shared" si="14"/>
        <v>0.12673428348412136</v>
      </c>
    </row>
    <row r="6" spans="1:56" ht="18.95" customHeight="1">
      <c r="A6" s="863">
        <v>2016</v>
      </c>
      <c r="B6" s="863">
        <v>1</v>
      </c>
      <c r="C6" s="864">
        <v>42460</v>
      </c>
      <c r="D6" s="136">
        <f t="shared" si="0"/>
        <v>98.418957052843169</v>
      </c>
      <c r="E6" s="136">
        <f t="shared" si="1"/>
        <v>12.335499471059393</v>
      </c>
      <c r="F6" s="136">
        <f t="shared" si="2"/>
        <v>113.31690101522554</v>
      </c>
      <c r="G6" s="136">
        <v>127.30000000000001</v>
      </c>
      <c r="H6" s="136">
        <v>102.03</v>
      </c>
      <c r="I6" s="136">
        <v>99.44</v>
      </c>
      <c r="J6" s="136">
        <v>0.21</v>
      </c>
      <c r="L6" s="136">
        <v>618.39</v>
      </c>
      <c r="M6" s="136">
        <v>1734.692</v>
      </c>
      <c r="N6" s="846">
        <v>3.7229999999999999</v>
      </c>
      <c r="O6" s="846">
        <v>3.3069999999999999</v>
      </c>
      <c r="P6" s="846">
        <v>3.0670000000000002</v>
      </c>
      <c r="Q6" s="846">
        <v>3.6659999999999999</v>
      </c>
      <c r="R6" s="846">
        <v>1.893</v>
      </c>
      <c r="S6" s="136">
        <v>2525.09</v>
      </c>
      <c r="T6" s="136">
        <v>2116.4360000000001</v>
      </c>
      <c r="Y6" s="853">
        <v>2016</v>
      </c>
      <c r="Z6" s="853">
        <v>1</v>
      </c>
      <c r="AA6" s="854">
        <v>42460</v>
      </c>
      <c r="AB6" s="136">
        <v>8.2712500000000002</v>
      </c>
      <c r="AC6" s="136">
        <v>1.2934500000000002</v>
      </c>
      <c r="AD6" s="136">
        <v>0.87753899999999996</v>
      </c>
      <c r="AF6" s="138" t="s">
        <v>271</v>
      </c>
      <c r="AG6" s="136">
        <v>127.30000000000001</v>
      </c>
      <c r="AH6" s="136">
        <v>102.03</v>
      </c>
      <c r="AI6" s="136">
        <v>99.44</v>
      </c>
      <c r="AL6" s="853">
        <v>2016</v>
      </c>
      <c r="AM6" s="853">
        <v>1</v>
      </c>
      <c r="AN6" s="854">
        <v>42460</v>
      </c>
      <c r="AO6" s="136">
        <f t="shared" si="3"/>
        <v>98.418957052843169</v>
      </c>
      <c r="AP6" s="136">
        <f t="shared" si="4"/>
        <v>12.335499471059393</v>
      </c>
      <c r="AQ6" s="136">
        <f t="shared" si="5"/>
        <v>113.31690101522554</v>
      </c>
      <c r="AS6" s="853">
        <v>2016</v>
      </c>
      <c r="AT6" s="853">
        <v>1</v>
      </c>
      <c r="AU6" s="854">
        <v>42460</v>
      </c>
      <c r="AV6" s="845">
        <f t="shared" si="6"/>
        <v>-6.62572721396383E-4</v>
      </c>
      <c r="AW6" s="845">
        <f t="shared" si="7"/>
        <v>5.7548149846125309E-2</v>
      </c>
      <c r="AX6" s="845">
        <f t="shared" si="8"/>
        <v>3.7229999999999999E-2</v>
      </c>
      <c r="AY6" s="845">
        <f t="shared" si="9"/>
        <v>3.3070000000000002E-2</v>
      </c>
      <c r="AZ6" s="845">
        <f t="shared" si="10"/>
        <v>3.0670000000000003E-2</v>
      </c>
      <c r="BA6" s="845">
        <f t="shared" si="11"/>
        <v>3.6659999999999998E-2</v>
      </c>
      <c r="BB6" s="845">
        <f t="shared" si="12"/>
        <v>1.8929999999999999E-2</v>
      </c>
      <c r="BC6" s="845">
        <f t="shared" si="13"/>
        <v>6.8699026989508152E-2</v>
      </c>
      <c r="BD6" s="845">
        <f t="shared" si="14"/>
        <v>-2.4960207130237319E-2</v>
      </c>
    </row>
    <row r="7" spans="1:56" ht="18.95" customHeight="1">
      <c r="A7" s="863">
        <v>2015</v>
      </c>
      <c r="B7" s="863">
        <v>4</v>
      </c>
      <c r="C7" s="864">
        <v>42369</v>
      </c>
      <c r="D7" s="136">
        <f t="shared" si="0"/>
        <v>91.35411417464546</v>
      </c>
      <c r="E7" s="136">
        <f t="shared" si="1"/>
        <v>11.418597163144605</v>
      </c>
      <c r="F7" s="136">
        <f t="shared" si="2"/>
        <v>108.63000186843604</v>
      </c>
      <c r="G7" s="136">
        <v>126.9</v>
      </c>
      <c r="H7" s="136">
        <v>101.07000000000001</v>
      </c>
      <c r="I7" s="136">
        <v>100</v>
      </c>
      <c r="J7" s="136">
        <v>0.16</v>
      </c>
      <c r="L7" s="136">
        <v>618.80000000000007</v>
      </c>
      <c r="M7" s="136">
        <v>1640.296</v>
      </c>
      <c r="N7" s="846">
        <v>-0.30599999999999999</v>
      </c>
      <c r="O7" s="846">
        <v>-0.26900000000000002</v>
      </c>
      <c r="P7" s="846">
        <v>-1.4000000000000001</v>
      </c>
      <c r="Q7" s="846">
        <v>-1.7890000000000001</v>
      </c>
      <c r="R7" s="846">
        <v>-1.234</v>
      </c>
      <c r="S7" s="136">
        <v>2362.77</v>
      </c>
      <c r="T7" s="136">
        <v>2170.6150000000002</v>
      </c>
      <c r="Y7" s="853">
        <v>2015</v>
      </c>
      <c r="Z7" s="853">
        <v>4</v>
      </c>
      <c r="AA7" s="854">
        <v>42369</v>
      </c>
      <c r="AB7" s="136">
        <v>8.8513500000000001</v>
      </c>
      <c r="AC7" s="136">
        <v>1.3891</v>
      </c>
      <c r="AD7" s="136">
        <v>0.92055599999999993</v>
      </c>
      <c r="AF7" s="138" t="s">
        <v>272</v>
      </c>
      <c r="AG7" s="136">
        <v>126.9</v>
      </c>
      <c r="AH7" s="136">
        <v>101.07000000000001</v>
      </c>
      <c r="AI7" s="136">
        <v>100</v>
      </c>
      <c r="AL7" s="853">
        <v>2015</v>
      </c>
      <c r="AM7" s="853">
        <v>4</v>
      </c>
      <c r="AN7" s="854">
        <v>42369</v>
      </c>
      <c r="AO7" s="136">
        <f t="shared" si="3"/>
        <v>91.35411417464546</v>
      </c>
      <c r="AP7" s="136">
        <f t="shared" si="4"/>
        <v>11.418597163144605</v>
      </c>
      <c r="AQ7" s="136">
        <f t="shared" si="5"/>
        <v>108.63000186843604</v>
      </c>
      <c r="AS7" s="853">
        <v>2015</v>
      </c>
      <c r="AT7" s="853">
        <v>4</v>
      </c>
      <c r="AU7" s="854">
        <v>42369</v>
      </c>
      <c r="AV7" s="845">
        <f t="shared" si="6"/>
        <v>5.3904453717108218E-2</v>
      </c>
      <c r="AW7" s="845">
        <f t="shared" si="7"/>
        <v>7.3115162829542977E-3</v>
      </c>
      <c r="AX7" s="845">
        <f t="shared" si="8"/>
        <v>-3.0599999999999998E-3</v>
      </c>
      <c r="AY7" s="845">
        <f t="shared" si="9"/>
        <v>-2.6900000000000001E-3</v>
      </c>
      <c r="AZ7" s="845">
        <f t="shared" si="10"/>
        <v>-1.4000000000000002E-2</v>
      </c>
      <c r="BA7" s="845">
        <f t="shared" si="11"/>
        <v>-1.7890000000000003E-2</v>
      </c>
      <c r="BB7" s="845">
        <f t="shared" si="12"/>
        <v>-1.234E-2</v>
      </c>
      <c r="BC7" s="845">
        <f t="shared" si="13"/>
        <v>5.1835660833448365E-2</v>
      </c>
      <c r="BD7" s="845">
        <f t="shared" si="14"/>
        <v>-0.16630947195867896</v>
      </c>
    </row>
    <row r="8" spans="1:56">
      <c r="A8" s="863">
        <v>2015</v>
      </c>
      <c r="B8" s="863">
        <v>3</v>
      </c>
      <c r="C8" s="864">
        <v>42277</v>
      </c>
      <c r="D8" s="136">
        <f t="shared" si="0"/>
        <v>94.875811143432543</v>
      </c>
      <c r="E8" s="136">
        <f t="shared" si="1"/>
        <v>11.746776084407971</v>
      </c>
      <c r="F8" s="136">
        <f t="shared" si="2"/>
        <v>112.43982019451765</v>
      </c>
      <c r="G8" s="136">
        <v>127.2</v>
      </c>
      <c r="H8" s="136">
        <v>100.2</v>
      </c>
      <c r="I8" s="136">
        <v>100.73</v>
      </c>
      <c r="J8" s="136">
        <v>-0.01</v>
      </c>
      <c r="L8" s="136">
        <v>587.15</v>
      </c>
      <c r="M8" s="136">
        <v>1628.39</v>
      </c>
      <c r="N8" s="846">
        <v>4.5999999999999999E-2</v>
      </c>
      <c r="O8" s="846">
        <v>-0.93</v>
      </c>
      <c r="P8" s="846">
        <v>-1.2590000000000001</v>
      </c>
      <c r="Q8" s="846">
        <v>-0.69200000000000006</v>
      </c>
      <c r="R8" s="846">
        <v>-1.4259999999999999</v>
      </c>
      <c r="S8" s="136">
        <v>2246.33</v>
      </c>
      <c r="T8" s="136">
        <v>2603.6219999999998</v>
      </c>
      <c r="Y8" s="853">
        <v>2015</v>
      </c>
      <c r="Z8" s="853">
        <v>3</v>
      </c>
      <c r="AA8" s="854">
        <v>42277</v>
      </c>
      <c r="AB8" s="136">
        <v>8.5300000000000011</v>
      </c>
      <c r="AC8" s="136">
        <v>1.3407</v>
      </c>
      <c r="AD8" s="136">
        <v>0.89585700000000001</v>
      </c>
      <c r="AF8" s="138" t="s">
        <v>273</v>
      </c>
      <c r="AG8" s="136">
        <v>127.2</v>
      </c>
      <c r="AH8" s="136">
        <v>100.2</v>
      </c>
      <c r="AI8" s="136">
        <v>100.73</v>
      </c>
      <c r="AL8" s="853">
        <v>2015</v>
      </c>
      <c r="AM8" s="853">
        <v>3</v>
      </c>
      <c r="AN8" s="854">
        <v>42277</v>
      </c>
      <c r="AO8" s="136">
        <f t="shared" si="3"/>
        <v>94.875811143432543</v>
      </c>
      <c r="AP8" s="136">
        <f t="shared" si="4"/>
        <v>11.746776084407971</v>
      </c>
      <c r="AQ8" s="136">
        <f t="shared" si="5"/>
        <v>112.43982019451765</v>
      </c>
      <c r="AS8" s="853">
        <v>2015</v>
      </c>
      <c r="AT8" s="853">
        <v>3</v>
      </c>
      <c r="AU8" s="854">
        <v>42277</v>
      </c>
      <c r="AV8" s="845">
        <f t="shared" si="6"/>
        <v>-8.5706722309596958E-2</v>
      </c>
      <c r="AW8" s="845">
        <f t="shared" si="7"/>
        <v>-0.1778029673800261</v>
      </c>
      <c r="AX8" s="845">
        <f t="shared" si="8"/>
        <v>4.6000000000000001E-4</v>
      </c>
      <c r="AY8" s="845">
        <f t="shared" si="9"/>
        <v>-9.300000000000001E-3</v>
      </c>
      <c r="AZ8" s="845">
        <f t="shared" si="10"/>
        <v>-1.259E-2</v>
      </c>
      <c r="BA8" s="845">
        <f t="shared" si="11"/>
        <v>-6.9200000000000008E-3</v>
      </c>
      <c r="BB8" s="845">
        <f t="shared" si="12"/>
        <v>-1.426E-2</v>
      </c>
      <c r="BC8" s="845">
        <f t="shared" si="13"/>
        <v>-4.6276314091580988E-4</v>
      </c>
      <c r="BD8" s="845">
        <f t="shared" si="14"/>
        <v>-0.19295487423425756</v>
      </c>
    </row>
    <row r="9" spans="1:56">
      <c r="A9" s="863">
        <v>2015</v>
      </c>
      <c r="B9" s="863">
        <v>2</v>
      </c>
      <c r="C9" s="864">
        <v>42185</v>
      </c>
      <c r="D9" s="136">
        <f t="shared" si="0"/>
        <v>101.56594176779207</v>
      </c>
      <c r="E9" s="136">
        <f t="shared" si="1"/>
        <v>12.688910073085477</v>
      </c>
      <c r="F9" s="136">
        <f t="shared" si="2"/>
        <v>111.8768140567462</v>
      </c>
      <c r="G9" s="136">
        <v>126.80000000000001</v>
      </c>
      <c r="H9" s="136">
        <v>99.83</v>
      </c>
      <c r="I9" s="136">
        <v>100.41</v>
      </c>
      <c r="J9" s="136">
        <v>0.01</v>
      </c>
      <c r="L9" s="136">
        <v>642.19000000000005</v>
      </c>
      <c r="M9" s="136">
        <v>1980.5350000000001</v>
      </c>
      <c r="N9" s="846">
        <v>-1.1759999999999999</v>
      </c>
      <c r="O9" s="846">
        <v>-1.4219999999999999</v>
      </c>
      <c r="P9" s="846">
        <v>-1.415</v>
      </c>
      <c r="Q9" s="846">
        <v>-0.26900000000000002</v>
      </c>
      <c r="R9" s="846">
        <v>-1.2390000000000001</v>
      </c>
      <c r="S9" s="136">
        <v>2247.37</v>
      </c>
      <c r="T9" s="136">
        <v>3226.1170000000002</v>
      </c>
      <c r="Y9" s="853">
        <v>2015</v>
      </c>
      <c r="Z9" s="853">
        <v>2</v>
      </c>
      <c r="AA9" s="854">
        <v>42185</v>
      </c>
      <c r="AB9" s="136">
        <v>7.8675000000000006</v>
      </c>
      <c r="AC9" s="136">
        <v>1.2484500000000001</v>
      </c>
      <c r="AD9" s="136">
        <v>0.897505</v>
      </c>
      <c r="AF9" s="138" t="s">
        <v>274</v>
      </c>
      <c r="AG9" s="136">
        <v>126.80000000000001</v>
      </c>
      <c r="AH9" s="136">
        <v>99.83</v>
      </c>
      <c r="AI9" s="136">
        <v>100.41</v>
      </c>
      <c r="AL9" s="853">
        <v>2015</v>
      </c>
      <c r="AM9" s="853">
        <v>2</v>
      </c>
      <c r="AN9" s="854">
        <v>42185</v>
      </c>
      <c r="AO9" s="136">
        <f t="shared" si="3"/>
        <v>101.56594176779207</v>
      </c>
      <c r="AP9" s="136">
        <f t="shared" si="4"/>
        <v>12.688910073085477</v>
      </c>
      <c r="AQ9" s="136">
        <f t="shared" si="5"/>
        <v>111.8768140567462</v>
      </c>
      <c r="AS9" s="853">
        <v>2015</v>
      </c>
      <c r="AT9" s="853">
        <v>2</v>
      </c>
      <c r="AU9" s="854">
        <v>42185</v>
      </c>
      <c r="AV9" s="845">
        <f t="shared" si="6"/>
        <v>6.2204255585848562E-3</v>
      </c>
      <c r="AW9" s="845">
        <f t="shared" si="7"/>
        <v>8.1654614368890602E-3</v>
      </c>
      <c r="AX9" s="845">
        <f t="shared" si="8"/>
        <v>-1.176E-2</v>
      </c>
      <c r="AY9" s="845">
        <f t="shared" si="9"/>
        <v>-1.422E-2</v>
      </c>
      <c r="AZ9" s="845">
        <f t="shared" si="10"/>
        <v>-1.4150000000000001E-2</v>
      </c>
      <c r="BA9" s="845">
        <f t="shared" si="11"/>
        <v>-2.6900000000000001E-3</v>
      </c>
      <c r="BB9" s="845">
        <f t="shared" si="12"/>
        <v>-1.2390000000000002E-2</v>
      </c>
      <c r="BC9" s="845">
        <f t="shared" si="13"/>
        <v>-7.7865859162789167E-2</v>
      </c>
      <c r="BD9" s="845">
        <f t="shared" si="14"/>
        <v>8.7288654557734616E-2</v>
      </c>
    </row>
    <row r="10" spans="1:56">
      <c r="A10" s="863">
        <v>2015</v>
      </c>
      <c r="B10" s="863">
        <v>1</v>
      </c>
      <c r="C10" s="864">
        <v>42094</v>
      </c>
      <c r="D10" s="136">
        <f t="shared" si="0"/>
        <v>98.934070272404256</v>
      </c>
      <c r="E10" s="136">
        <f t="shared" si="1"/>
        <v>12.271841768932013</v>
      </c>
      <c r="F10" s="136">
        <f t="shared" si="2"/>
        <v>106.17560538675264</v>
      </c>
      <c r="G10" s="136">
        <v>125.30000000000001</v>
      </c>
      <c r="H10" s="136">
        <v>98.9</v>
      </c>
      <c r="I10" s="136">
        <v>98.86</v>
      </c>
      <c r="J10" s="136">
        <v>0.03</v>
      </c>
      <c r="L10" s="136">
        <v>638.22</v>
      </c>
      <c r="M10" s="136">
        <v>1964.4940000000001</v>
      </c>
      <c r="N10" s="846">
        <v>-1.03</v>
      </c>
      <c r="O10" s="846">
        <v>-0.75</v>
      </c>
      <c r="P10" s="846">
        <v>0.57999999999999996</v>
      </c>
      <c r="Q10" s="846">
        <v>-1.0900000000000001</v>
      </c>
      <c r="R10" s="846">
        <v>0.34800000000000003</v>
      </c>
      <c r="S10" s="136">
        <v>2437.14</v>
      </c>
      <c r="T10" s="136">
        <v>2967.1210000000001</v>
      </c>
      <c r="Y10" s="853">
        <v>2015</v>
      </c>
      <c r="Z10" s="853">
        <v>1</v>
      </c>
      <c r="AA10" s="854">
        <v>42094</v>
      </c>
      <c r="AB10" s="136">
        <v>8.0591000000000008</v>
      </c>
      <c r="AC10" s="136">
        <v>1.2665000000000002</v>
      </c>
      <c r="AD10" s="136">
        <v>0.93109900000000001</v>
      </c>
      <c r="AF10" s="138" t="s">
        <v>275</v>
      </c>
      <c r="AG10" s="136">
        <v>125.30000000000001</v>
      </c>
      <c r="AH10" s="136">
        <v>98.9</v>
      </c>
      <c r="AI10" s="136">
        <v>98.86</v>
      </c>
      <c r="AL10" s="853">
        <v>2015</v>
      </c>
      <c r="AM10" s="853">
        <v>1</v>
      </c>
      <c r="AN10" s="854">
        <v>42094</v>
      </c>
      <c r="AO10" s="136">
        <f t="shared" si="3"/>
        <v>98.934070272404256</v>
      </c>
      <c r="AP10" s="136">
        <f t="shared" si="4"/>
        <v>12.271841768932013</v>
      </c>
      <c r="AQ10" s="136">
        <f t="shared" si="5"/>
        <v>106.17560538675264</v>
      </c>
      <c r="AS10" s="853">
        <v>2015</v>
      </c>
      <c r="AT10" s="853">
        <v>1</v>
      </c>
      <c r="AU10" s="854">
        <v>42094</v>
      </c>
      <c r="AV10" s="845">
        <f t="shared" si="6"/>
        <v>2.8673661815192628E-2</v>
      </c>
      <c r="AW10" s="845">
        <f t="shared" si="7"/>
        <v>2.280478972954041E-2</v>
      </c>
      <c r="AX10" s="845">
        <f t="shared" si="8"/>
        <v>-1.03E-2</v>
      </c>
      <c r="AY10" s="845">
        <f t="shared" si="9"/>
        <v>-7.4999999999999997E-3</v>
      </c>
      <c r="AZ10" s="845">
        <f t="shared" si="10"/>
        <v>5.7999999999999996E-3</v>
      </c>
      <c r="BA10" s="845">
        <f t="shared" si="11"/>
        <v>-1.09E-2</v>
      </c>
      <c r="BB10" s="845">
        <f t="shared" si="12"/>
        <v>3.4800000000000005E-3</v>
      </c>
      <c r="BC10" s="845">
        <f t="shared" si="13"/>
        <v>3.7893499591169263E-2</v>
      </c>
      <c r="BD10" s="845">
        <f t="shared" si="14"/>
        <v>-8.2181750916698201E-2</v>
      </c>
    </row>
    <row r="11" spans="1:56">
      <c r="A11" s="863">
        <v>2014</v>
      </c>
      <c r="B11" s="863">
        <v>4</v>
      </c>
      <c r="C11" s="864">
        <v>42004</v>
      </c>
      <c r="D11" s="136">
        <f t="shared" si="0"/>
        <v>108.18044463630478</v>
      </c>
      <c r="E11" s="136">
        <f t="shared" si="1"/>
        <v>13.150962647798281</v>
      </c>
      <c r="F11" s="136">
        <f t="shared" si="2"/>
        <v>120.25478816861325</v>
      </c>
      <c r="G11" s="136">
        <v>125.30000000000001</v>
      </c>
      <c r="H11" s="136">
        <v>98.600000000000009</v>
      </c>
      <c r="I11" s="136">
        <v>99.38</v>
      </c>
      <c r="J11" s="136">
        <v>0.04</v>
      </c>
      <c r="L11" s="136">
        <v>620.43000000000006</v>
      </c>
      <c r="M11" s="136">
        <v>1920.693</v>
      </c>
      <c r="N11" s="846">
        <v>-0.63</v>
      </c>
      <c r="O11" s="846">
        <v>-1.26</v>
      </c>
      <c r="P11" s="846">
        <v>-2.52</v>
      </c>
      <c r="Q11" s="846">
        <v>-1.1599999999999999</v>
      </c>
      <c r="R11" s="846">
        <v>-0.26100000000000001</v>
      </c>
      <c r="S11" s="136">
        <v>2348.16</v>
      </c>
      <c r="T11" s="136">
        <v>3232.7980000000002</v>
      </c>
      <c r="Y11" s="853">
        <v>2014</v>
      </c>
      <c r="Z11" s="853">
        <v>4</v>
      </c>
      <c r="AA11" s="854">
        <v>42004</v>
      </c>
      <c r="AB11" s="136">
        <v>7.4975500000000004</v>
      </c>
      <c r="AC11" s="136">
        <v>1.15825</v>
      </c>
      <c r="AD11" s="136">
        <v>0.82641199999999992</v>
      </c>
      <c r="AF11" s="138" t="s">
        <v>276</v>
      </c>
      <c r="AG11" s="136">
        <v>125.30000000000001</v>
      </c>
      <c r="AH11" s="136">
        <v>98.600000000000009</v>
      </c>
      <c r="AI11" s="136">
        <v>99.38</v>
      </c>
      <c r="AL11" s="853">
        <v>2014</v>
      </c>
      <c r="AM11" s="853">
        <v>4</v>
      </c>
      <c r="AN11" s="854">
        <v>42004</v>
      </c>
      <c r="AO11" s="136">
        <f t="shared" si="3"/>
        <v>108.18044463630478</v>
      </c>
      <c r="AP11" s="136">
        <f t="shared" si="4"/>
        <v>13.150962647798281</v>
      </c>
      <c r="AQ11" s="136">
        <f t="shared" si="5"/>
        <v>120.25478816861325</v>
      </c>
      <c r="AS11" s="853">
        <v>2014</v>
      </c>
      <c r="AT11" s="853">
        <v>4</v>
      </c>
      <c r="AU11" s="854">
        <v>42004</v>
      </c>
      <c r="AV11" s="845">
        <f>((L11-L12)/L12)</f>
        <v>1.1477200476043101E-2</v>
      </c>
      <c r="AW11" s="845">
        <f t="shared" si="7"/>
        <v>-4.4408047758378207E-2</v>
      </c>
      <c r="AX11" s="845">
        <f t="shared" si="8"/>
        <v>-6.3E-3</v>
      </c>
      <c r="AY11" s="845">
        <f t="shared" si="9"/>
        <v>-1.26E-2</v>
      </c>
      <c r="AZ11" s="845">
        <f t="shared" si="10"/>
        <v>-2.52E-2</v>
      </c>
      <c r="BA11" s="845">
        <f t="shared" si="11"/>
        <v>-1.1599999999999999E-2</v>
      </c>
      <c r="BB11" s="845">
        <f t="shared" si="12"/>
        <v>-2.6099999999999999E-3</v>
      </c>
      <c r="BC11" s="845">
        <f t="shared" si="13"/>
        <v>0.10025817757556721</v>
      </c>
      <c r="BD11" s="845">
        <f t="shared" si="14"/>
        <v>-0.27666019431378669</v>
      </c>
    </row>
    <row r="12" spans="1:56">
      <c r="A12" s="863">
        <v>2014</v>
      </c>
      <c r="B12" s="863">
        <v>3</v>
      </c>
      <c r="C12" s="864">
        <v>41912</v>
      </c>
      <c r="D12" s="136">
        <f t="shared" si="0"/>
        <v>112.47818889535144</v>
      </c>
      <c r="E12" s="136">
        <f t="shared" si="1"/>
        <v>15.294071853956638</v>
      </c>
      <c r="F12" s="136">
        <f t="shared" si="2"/>
        <v>126.32499125199435</v>
      </c>
      <c r="G12" s="136">
        <v>125.7</v>
      </c>
      <c r="H12" s="136">
        <v>98.23</v>
      </c>
      <c r="I12" s="136">
        <v>100</v>
      </c>
      <c r="J12" s="136">
        <v>0.02</v>
      </c>
      <c r="L12" s="136">
        <v>613.39</v>
      </c>
      <c r="M12" s="136">
        <v>2009.951</v>
      </c>
      <c r="N12" s="846">
        <v>-2.31</v>
      </c>
      <c r="O12" s="846">
        <v>-2.2600000000000002</v>
      </c>
      <c r="P12" s="846">
        <v>-1.48</v>
      </c>
      <c r="Q12" s="846">
        <v>-3.41</v>
      </c>
      <c r="R12" s="846">
        <v>-0.97499999999999998</v>
      </c>
      <c r="S12" s="136">
        <v>2134.19</v>
      </c>
      <c r="T12" s="136">
        <v>4469.2660000000005</v>
      </c>
      <c r="Y12" s="853">
        <v>2014</v>
      </c>
      <c r="Z12" s="853">
        <v>3</v>
      </c>
      <c r="AA12" s="854">
        <v>41912</v>
      </c>
      <c r="AB12" s="136">
        <v>6.4227500000000006</v>
      </c>
      <c r="AC12" s="136">
        <v>1.11755</v>
      </c>
      <c r="AD12" s="136">
        <v>0.79160900000000001</v>
      </c>
      <c r="AF12" s="138" t="s">
        <v>277</v>
      </c>
      <c r="AG12" s="136">
        <v>125.7</v>
      </c>
      <c r="AH12" s="136">
        <v>98.23</v>
      </c>
      <c r="AI12" s="136">
        <v>100</v>
      </c>
      <c r="AL12" s="853">
        <v>2014</v>
      </c>
      <c r="AM12" s="853">
        <v>3</v>
      </c>
      <c r="AN12" s="854">
        <v>41912</v>
      </c>
      <c r="AO12" s="136">
        <f t="shared" si="3"/>
        <v>112.47818889535144</v>
      </c>
      <c r="AP12" s="136">
        <f t="shared" si="4"/>
        <v>15.294071853956638</v>
      </c>
      <c r="AQ12" s="136">
        <f t="shared" si="5"/>
        <v>126.32499125199435</v>
      </c>
      <c r="AS12" s="853">
        <v>2014</v>
      </c>
      <c r="AT12" s="853">
        <v>3</v>
      </c>
      <c r="AU12" s="854">
        <v>41912</v>
      </c>
      <c r="AV12" s="845">
        <f t="shared" si="6"/>
        <v>-2.7815640155957885E-2</v>
      </c>
      <c r="AW12" s="845">
        <f t="shared" si="7"/>
        <v>-3.3579832579250762E-2</v>
      </c>
      <c r="AX12" s="845">
        <f t="shared" si="8"/>
        <v>-2.3099999999999999E-2</v>
      </c>
      <c r="AY12" s="845">
        <f t="shared" si="9"/>
        <v>-2.2600000000000002E-2</v>
      </c>
      <c r="AZ12" s="845">
        <f t="shared" si="10"/>
        <v>-1.4800000000000001E-2</v>
      </c>
      <c r="BA12" s="845">
        <f t="shared" si="11"/>
        <v>-3.4099999999999998E-2</v>
      </c>
      <c r="BB12" s="845">
        <f t="shared" si="12"/>
        <v>-9.75E-3</v>
      </c>
      <c r="BC12" s="845">
        <f t="shared" si="13"/>
        <v>-4.0852280132489059E-2</v>
      </c>
      <c r="BD12" s="845">
        <f t="shared" si="14"/>
        <v>-0.12461068647865485</v>
      </c>
    </row>
    <row r="13" spans="1:56">
      <c r="A13" s="863">
        <v>2014</v>
      </c>
      <c r="B13" s="863">
        <v>2</v>
      </c>
      <c r="C13" s="864">
        <v>41820</v>
      </c>
      <c r="D13" s="136">
        <f t="shared" si="0"/>
        <v>117.91766417875417</v>
      </c>
      <c r="E13" s="136">
        <f t="shared" si="1"/>
        <v>15.916757655264572</v>
      </c>
      <c r="F13" s="136">
        <f t="shared" si="2"/>
        <v>136.27152988855119</v>
      </c>
      <c r="G13" s="136">
        <v>125.60000000000001</v>
      </c>
      <c r="H13" s="136">
        <v>97.67</v>
      </c>
      <c r="I13" s="136">
        <v>99.53</v>
      </c>
      <c r="J13" s="136">
        <v>0.04</v>
      </c>
      <c r="L13" s="136">
        <v>630.94000000000005</v>
      </c>
      <c r="M13" s="136">
        <v>2079.79</v>
      </c>
      <c r="N13" s="846">
        <v>0.52</v>
      </c>
      <c r="O13" s="846">
        <v>0.3</v>
      </c>
      <c r="P13" s="846">
        <v>0.69000000000000006</v>
      </c>
      <c r="Q13" s="846">
        <v>0.85</v>
      </c>
      <c r="R13" s="846">
        <v>1.3</v>
      </c>
      <c r="S13" s="136">
        <v>2225.09</v>
      </c>
      <c r="T13" s="136">
        <v>5105.4610000000002</v>
      </c>
      <c r="Y13" s="853">
        <v>2014</v>
      </c>
      <c r="Z13" s="853">
        <v>2</v>
      </c>
      <c r="AA13" s="854">
        <v>41820</v>
      </c>
      <c r="AB13" s="136">
        <v>6.1363000000000003</v>
      </c>
      <c r="AC13" s="136">
        <v>1.06515</v>
      </c>
      <c r="AD13" s="136">
        <v>0.73037999999999992</v>
      </c>
      <c r="AF13" s="138" t="s">
        <v>278</v>
      </c>
      <c r="AG13" s="136">
        <v>125.60000000000001</v>
      </c>
      <c r="AH13" s="136">
        <v>97.67</v>
      </c>
      <c r="AI13" s="136">
        <v>99.53</v>
      </c>
      <c r="AL13" s="853">
        <v>2014</v>
      </c>
      <c r="AM13" s="853">
        <v>2</v>
      </c>
      <c r="AN13" s="854">
        <v>41820</v>
      </c>
      <c r="AO13" s="136">
        <f t="shared" si="3"/>
        <v>117.91766417875417</v>
      </c>
      <c r="AP13" s="136">
        <f t="shared" si="4"/>
        <v>15.916757655264572</v>
      </c>
      <c r="AQ13" s="136">
        <f t="shared" si="5"/>
        <v>136.27152988855119</v>
      </c>
      <c r="AS13" s="853">
        <v>2014</v>
      </c>
      <c r="AT13" s="853">
        <v>2</v>
      </c>
      <c r="AU13" s="854">
        <v>41820</v>
      </c>
      <c r="AV13" s="845">
        <f t="shared" si="6"/>
        <v>4.8473669342107575E-2</v>
      </c>
      <c r="AW13" s="845">
        <f t="shared" si="7"/>
        <v>6.7060766524565593E-2</v>
      </c>
      <c r="AX13" s="845">
        <f t="shared" si="8"/>
        <v>5.1999999999999998E-3</v>
      </c>
      <c r="AY13" s="845">
        <f t="shared" si="9"/>
        <v>3.0000000000000001E-3</v>
      </c>
      <c r="AZ13" s="845">
        <f t="shared" si="10"/>
        <v>6.9000000000000008E-3</v>
      </c>
      <c r="BA13" s="845">
        <f t="shared" si="11"/>
        <v>8.5000000000000006E-3</v>
      </c>
      <c r="BB13" s="845">
        <f t="shared" si="12"/>
        <v>1.3000000000000001E-2</v>
      </c>
      <c r="BC13" s="845">
        <f t="shared" si="13"/>
        <v>8.2853166183255139E-2</v>
      </c>
      <c r="BD13" s="845">
        <f t="shared" si="14"/>
        <v>2.6939387484459072E-2</v>
      </c>
    </row>
    <row r="14" spans="1:56">
      <c r="A14" s="863">
        <v>2014</v>
      </c>
      <c r="B14" s="863">
        <v>1</v>
      </c>
      <c r="C14" s="864">
        <v>41729</v>
      </c>
      <c r="D14" s="136">
        <f t="shared" si="0"/>
        <v>112.34428086070216</v>
      </c>
      <c r="E14" s="136">
        <f t="shared" si="1"/>
        <v>16.20163519596462</v>
      </c>
      <c r="F14" s="136">
        <f t="shared" si="2"/>
        <v>136.03323235358167</v>
      </c>
      <c r="G14" s="136">
        <v>124</v>
      </c>
      <c r="H14" s="136">
        <v>97</v>
      </c>
      <c r="I14" s="136">
        <v>98.7</v>
      </c>
      <c r="J14" s="136">
        <v>0.05</v>
      </c>
      <c r="L14" s="136">
        <v>601.77</v>
      </c>
      <c r="M14" s="136">
        <v>1949.0830000000001</v>
      </c>
      <c r="N14" s="846">
        <v>7.0000000000000007E-2</v>
      </c>
      <c r="O14" s="846">
        <v>0.45</v>
      </c>
      <c r="P14" s="846">
        <v>0.78</v>
      </c>
      <c r="Q14" s="846">
        <v>0.27</v>
      </c>
      <c r="R14" s="846">
        <v>-0.28300000000000003</v>
      </c>
      <c r="S14" s="136">
        <v>2054.84</v>
      </c>
      <c r="T14" s="136">
        <v>4971.5309999999999</v>
      </c>
      <c r="Y14" s="853">
        <v>2014</v>
      </c>
      <c r="Z14" s="853">
        <v>1</v>
      </c>
      <c r="AA14" s="854">
        <v>41729</v>
      </c>
      <c r="AB14" s="136">
        <v>5.9870500000000009</v>
      </c>
      <c r="AC14" s="136">
        <v>1.10375</v>
      </c>
      <c r="AD14" s="136">
        <v>0.72555799999999993</v>
      </c>
      <c r="AF14" s="138" t="s">
        <v>279</v>
      </c>
      <c r="AG14" s="136">
        <v>124</v>
      </c>
      <c r="AH14" s="136">
        <v>97</v>
      </c>
      <c r="AI14" s="136">
        <v>98.7</v>
      </c>
      <c r="AL14" s="853">
        <v>2014</v>
      </c>
      <c r="AM14" s="853">
        <v>1</v>
      </c>
      <c r="AN14" s="854">
        <v>41729</v>
      </c>
      <c r="AO14" s="136">
        <f t="shared" si="3"/>
        <v>112.34428086070216</v>
      </c>
      <c r="AP14" s="136">
        <f t="shared" si="4"/>
        <v>16.20163519596462</v>
      </c>
      <c r="AQ14" s="136">
        <f t="shared" si="5"/>
        <v>136.03323235358167</v>
      </c>
      <c r="AS14" s="853">
        <v>2014</v>
      </c>
      <c r="AT14" s="853">
        <v>1</v>
      </c>
      <c r="AU14" s="854">
        <v>41729</v>
      </c>
      <c r="AV14" s="845">
        <f t="shared" si="6"/>
        <v>1.6331700726228606E-2</v>
      </c>
      <c r="AW14" s="845">
        <f t="shared" si="7"/>
        <v>-3.6503999541973972E-3</v>
      </c>
      <c r="AX14" s="845">
        <f t="shared" si="8"/>
        <v>7.000000000000001E-4</v>
      </c>
      <c r="AY14" s="845">
        <f t="shared" si="9"/>
        <v>4.5000000000000005E-3</v>
      </c>
      <c r="AZ14" s="845">
        <f t="shared" si="10"/>
        <v>7.8000000000000005E-3</v>
      </c>
      <c r="BA14" s="845">
        <f t="shared" si="11"/>
        <v>2.7000000000000001E-3</v>
      </c>
      <c r="BB14" s="845">
        <f t="shared" si="12"/>
        <v>-2.8300000000000005E-3</v>
      </c>
      <c r="BC14" s="845">
        <f t="shared" si="13"/>
        <v>7.5224480398518229E-2</v>
      </c>
      <c r="BD14" s="845">
        <f t="shared" si="14"/>
        <v>2.9416508867959452E-2</v>
      </c>
    </row>
    <row r="15" spans="1:56">
      <c r="A15" s="863">
        <v>2013</v>
      </c>
      <c r="B15" s="863">
        <v>4</v>
      </c>
      <c r="C15" s="864">
        <v>41639</v>
      </c>
      <c r="D15" s="136">
        <f t="shared" si="0"/>
        <v>115.67058823529412</v>
      </c>
      <c r="E15" s="136">
        <f t="shared" si="1"/>
        <v>15.927540651244053</v>
      </c>
      <c r="F15" s="136">
        <f t="shared" si="2"/>
        <v>135.71424634429999</v>
      </c>
      <c r="G15" s="136">
        <v>122.9</v>
      </c>
      <c r="H15" s="136">
        <v>96.63</v>
      </c>
      <c r="I15" s="136">
        <v>98.490000000000009</v>
      </c>
      <c r="J15" s="136">
        <v>7.0000000000000007E-2</v>
      </c>
      <c r="L15" s="136">
        <v>592.1</v>
      </c>
      <c r="M15" s="136">
        <v>1956.2239999999999</v>
      </c>
      <c r="N15" s="846">
        <v>0</v>
      </c>
      <c r="O15" s="846">
        <v>0.17</v>
      </c>
      <c r="P15" s="846">
        <v>0.31</v>
      </c>
      <c r="Q15" s="846">
        <v>-0.74</v>
      </c>
      <c r="R15" s="846">
        <v>1.0389999999999999</v>
      </c>
      <c r="S15" s="136">
        <v>1911.08</v>
      </c>
      <c r="T15" s="136">
        <v>4829.4650000000001</v>
      </c>
      <c r="Y15" s="853">
        <v>2013</v>
      </c>
      <c r="Z15" s="853">
        <v>4</v>
      </c>
      <c r="AA15" s="854">
        <v>41639</v>
      </c>
      <c r="AB15" s="136">
        <v>6.0668500000000005</v>
      </c>
      <c r="AC15" s="136">
        <v>1.0625</v>
      </c>
      <c r="AD15" s="136">
        <v>0.72571599999999992</v>
      </c>
      <c r="AF15" s="138" t="s">
        <v>280</v>
      </c>
      <c r="AG15" s="136">
        <v>122.9</v>
      </c>
      <c r="AH15" s="136">
        <v>96.63</v>
      </c>
      <c r="AI15" s="136">
        <v>98.490000000000009</v>
      </c>
      <c r="AL15" s="853">
        <v>2013</v>
      </c>
      <c r="AM15" s="853">
        <v>4</v>
      </c>
      <c r="AN15" s="854">
        <v>41639</v>
      </c>
      <c r="AO15" s="136">
        <f t="shared" si="3"/>
        <v>115.67058823529412</v>
      </c>
      <c r="AP15" s="136">
        <f t="shared" si="4"/>
        <v>15.927540651244053</v>
      </c>
      <c r="AQ15" s="136">
        <f t="shared" si="5"/>
        <v>135.71424634429999</v>
      </c>
      <c r="AS15" s="853">
        <v>2013</v>
      </c>
      <c r="AT15" s="853">
        <v>4</v>
      </c>
      <c r="AU15" s="854">
        <v>41639</v>
      </c>
      <c r="AV15" s="845">
        <f t="shared" si="6"/>
        <v>7.8447443673387712E-2</v>
      </c>
      <c r="AW15" s="845">
        <f t="shared" si="7"/>
        <v>1.8620500045822254E-2</v>
      </c>
      <c r="AX15" s="845">
        <f t="shared" si="8"/>
        <v>0</v>
      </c>
      <c r="AY15" s="845">
        <f t="shared" si="9"/>
        <v>1.7000000000000001E-3</v>
      </c>
      <c r="AZ15" s="845">
        <f t="shared" si="10"/>
        <v>3.0999999999999999E-3</v>
      </c>
      <c r="BA15" s="845">
        <f t="shared" si="11"/>
        <v>-7.4000000000000003E-3</v>
      </c>
      <c r="BB15" s="845">
        <f t="shared" si="12"/>
        <v>1.039E-2</v>
      </c>
      <c r="BC15" s="845">
        <f t="shared" si="13"/>
        <v>-7.4477256910181391E-3</v>
      </c>
      <c r="BD15" s="845">
        <f t="shared" si="14"/>
        <v>-3.2642069675628315E-3</v>
      </c>
    </row>
    <row r="16" spans="1:56">
      <c r="A16" s="863">
        <v>2013</v>
      </c>
      <c r="B16" s="863">
        <v>3</v>
      </c>
      <c r="C16" s="864">
        <v>41547</v>
      </c>
      <c r="D16" s="136">
        <f t="shared" si="0"/>
        <v>119.85601712228816</v>
      </c>
      <c r="E16" s="136">
        <f t="shared" si="1"/>
        <v>15.990356237269816</v>
      </c>
      <c r="F16" s="136">
        <f t="shared" si="2"/>
        <v>134.13325067039554</v>
      </c>
      <c r="G16" s="136">
        <v>123.2</v>
      </c>
      <c r="H16" s="136">
        <v>96.17</v>
      </c>
      <c r="I16" s="136">
        <v>99.09</v>
      </c>
      <c r="J16" s="136">
        <v>0.02</v>
      </c>
      <c r="L16" s="136">
        <v>549.03</v>
      </c>
      <c r="M16" s="136">
        <v>1920.4639999999999</v>
      </c>
      <c r="N16" s="846">
        <v>1.87</v>
      </c>
      <c r="O16" s="846">
        <v>2.77</v>
      </c>
      <c r="P16" s="846">
        <v>2.2600000000000002</v>
      </c>
      <c r="Q16" s="846">
        <v>3</v>
      </c>
      <c r="R16" s="846">
        <v>1.5270000000000001</v>
      </c>
      <c r="S16" s="136">
        <v>1925.42</v>
      </c>
      <c r="T16" s="136">
        <v>4845.2809999999999</v>
      </c>
      <c r="Y16" s="853">
        <v>2013</v>
      </c>
      <c r="Z16" s="853">
        <v>3</v>
      </c>
      <c r="AA16" s="854">
        <v>41547</v>
      </c>
      <c r="AB16" s="136">
        <v>6.0142500000000005</v>
      </c>
      <c r="AC16" s="136">
        <v>1.0279</v>
      </c>
      <c r="AD16" s="136">
        <v>0.73874299999999993</v>
      </c>
      <c r="AF16" s="138" t="s">
        <v>281</v>
      </c>
      <c r="AG16" s="136">
        <v>123.2</v>
      </c>
      <c r="AH16" s="136">
        <v>96.17</v>
      </c>
      <c r="AI16" s="136">
        <v>99.09</v>
      </c>
      <c r="AL16" s="853">
        <v>2013</v>
      </c>
      <c r="AM16" s="853">
        <v>3</v>
      </c>
      <c r="AN16" s="854">
        <v>41547</v>
      </c>
      <c r="AO16" s="136">
        <f t="shared" si="3"/>
        <v>119.85601712228816</v>
      </c>
      <c r="AP16" s="136">
        <f t="shared" si="4"/>
        <v>15.990356237269816</v>
      </c>
      <c r="AQ16" s="136">
        <f t="shared" si="5"/>
        <v>134.13325067039554</v>
      </c>
      <c r="AS16" s="853">
        <v>2013</v>
      </c>
      <c r="AT16" s="853">
        <v>3</v>
      </c>
      <c r="AU16" s="854">
        <v>41547</v>
      </c>
      <c r="AV16" s="845">
        <f t="shared" si="6"/>
        <v>8.8287181113599802E-2</v>
      </c>
      <c r="AW16" s="845">
        <f t="shared" si="7"/>
        <v>5.8980327024548633E-2</v>
      </c>
      <c r="AX16" s="845">
        <f t="shared" si="8"/>
        <v>1.8700000000000001E-2</v>
      </c>
      <c r="AY16" s="845">
        <f t="shared" si="9"/>
        <v>2.7699999999999999E-2</v>
      </c>
      <c r="AZ16" s="845">
        <f t="shared" si="10"/>
        <v>2.2600000000000002E-2</v>
      </c>
      <c r="BA16" s="845">
        <f t="shared" si="11"/>
        <v>0.03</v>
      </c>
      <c r="BB16" s="845">
        <f t="shared" si="12"/>
        <v>1.5270000000000001E-2</v>
      </c>
      <c r="BC16" s="845">
        <f t="shared" si="13"/>
        <v>9.9297638171887939E-4</v>
      </c>
      <c r="BD16" s="845">
        <f t="shared" si="14"/>
        <v>4.7767195954836882E-2</v>
      </c>
    </row>
    <row r="17" spans="1:56">
      <c r="A17" s="863">
        <v>2013</v>
      </c>
      <c r="B17" s="863">
        <v>2</v>
      </c>
      <c r="C17" s="864">
        <v>41455</v>
      </c>
      <c r="D17" s="136">
        <f t="shared" si="0"/>
        <v>116.49841224702593</v>
      </c>
      <c r="E17" s="136">
        <f t="shared" si="1"/>
        <v>15.700821316563079</v>
      </c>
      <c r="F17" s="136">
        <f t="shared" si="2"/>
        <v>128.1131388758904</v>
      </c>
      <c r="G17" s="136">
        <v>122.9</v>
      </c>
      <c r="H17" s="136">
        <v>95.87</v>
      </c>
      <c r="I17" s="136">
        <v>98.56</v>
      </c>
      <c r="J17" s="136">
        <v>0.04</v>
      </c>
      <c r="L17" s="136">
        <v>504.49</v>
      </c>
      <c r="M17" s="136">
        <v>1813.5029999999999</v>
      </c>
      <c r="N17" s="846">
        <v>-2.42</v>
      </c>
      <c r="O17" s="846">
        <v>-3.67</v>
      </c>
      <c r="P17" s="846">
        <v>-4.47</v>
      </c>
      <c r="Q17" s="846">
        <v>-3.87</v>
      </c>
      <c r="R17" s="846">
        <v>-1.494</v>
      </c>
      <c r="S17" s="136">
        <v>1923.51</v>
      </c>
      <c r="T17" s="136">
        <v>4624.3869999999997</v>
      </c>
      <c r="Y17" s="853">
        <v>2013</v>
      </c>
      <c r="Z17" s="853">
        <v>2</v>
      </c>
      <c r="AA17" s="854">
        <v>41455</v>
      </c>
      <c r="AB17" s="136">
        <v>6.1060500000000006</v>
      </c>
      <c r="AC17" s="136">
        <v>1.0549500000000001</v>
      </c>
      <c r="AD17" s="136">
        <v>0.76932</v>
      </c>
      <c r="AF17" s="138" t="s">
        <v>282</v>
      </c>
      <c r="AG17" s="136">
        <v>122.9</v>
      </c>
      <c r="AH17" s="136">
        <v>95.87</v>
      </c>
      <c r="AI17" s="136">
        <v>98.56</v>
      </c>
      <c r="AL17" s="853">
        <v>2013</v>
      </c>
      <c r="AM17" s="853">
        <v>2</v>
      </c>
      <c r="AN17" s="854">
        <v>41455</v>
      </c>
      <c r="AO17" s="136">
        <f t="shared" si="3"/>
        <v>116.49841224702593</v>
      </c>
      <c r="AP17" s="136">
        <f t="shared" si="4"/>
        <v>15.700821316563079</v>
      </c>
      <c r="AQ17" s="136">
        <f t="shared" si="5"/>
        <v>128.1131388758904</v>
      </c>
      <c r="AS17" s="853">
        <v>2013</v>
      </c>
      <c r="AT17" s="853">
        <v>2</v>
      </c>
      <c r="AU17" s="854">
        <v>41455</v>
      </c>
      <c r="AV17" s="845">
        <f t="shared" si="6"/>
        <v>5.9019400634059364E-3</v>
      </c>
      <c r="AW17" s="845">
        <f t="shared" si="7"/>
        <v>-7.9538689003360599E-2</v>
      </c>
      <c r="AX17" s="845">
        <f t="shared" si="8"/>
        <v>-2.4199999999999999E-2</v>
      </c>
      <c r="AY17" s="845">
        <f t="shared" si="9"/>
        <v>-3.6699999999999997E-2</v>
      </c>
      <c r="AZ17" s="845">
        <f t="shared" si="10"/>
        <v>-4.4699999999999997E-2</v>
      </c>
      <c r="BA17" s="845">
        <f t="shared" si="11"/>
        <v>-3.8699999999999998E-2</v>
      </c>
      <c r="BB17" s="845">
        <f t="shared" si="12"/>
        <v>-1.494E-2</v>
      </c>
      <c r="BC17" s="845">
        <f t="shared" si="13"/>
        <v>-3.8999385482396294E-2</v>
      </c>
      <c r="BD17" s="845">
        <f t="shared" si="14"/>
        <v>-5.9290841140050628E-2</v>
      </c>
    </row>
    <row r="18" spans="1:56">
      <c r="A18" s="863">
        <v>2013</v>
      </c>
      <c r="B18" s="863">
        <v>1</v>
      </c>
      <c r="C18" s="864">
        <v>41364</v>
      </c>
      <c r="D18" s="136">
        <f t="shared" si="0"/>
        <v>120.37993995767508</v>
      </c>
      <c r="E18" s="136">
        <f t="shared" si="1"/>
        <v>16.288041148735534</v>
      </c>
      <c r="F18" s="136">
        <f t="shared" si="2"/>
        <v>125.36661033751264</v>
      </c>
      <c r="G18" s="136">
        <v>122.30000000000001</v>
      </c>
      <c r="H18" s="136">
        <v>95</v>
      </c>
      <c r="I18" s="136">
        <v>97.63</v>
      </c>
      <c r="J18" s="136">
        <v>7.0000000000000007E-2</v>
      </c>
      <c r="L18" s="136">
        <v>501.53000000000003</v>
      </c>
      <c r="M18" s="136">
        <v>1970.211</v>
      </c>
      <c r="N18" s="846">
        <v>-0.14000000000000001</v>
      </c>
      <c r="O18" s="846">
        <v>-0.49</v>
      </c>
      <c r="P18" s="846">
        <v>-0.57000000000000006</v>
      </c>
      <c r="Q18" s="846">
        <v>0.91</v>
      </c>
      <c r="R18" s="846">
        <v>0.94100000000000006</v>
      </c>
      <c r="S18" s="136">
        <v>2001.57</v>
      </c>
      <c r="T18" s="136">
        <v>4915.8519999999999</v>
      </c>
      <c r="Y18" s="853">
        <v>2013</v>
      </c>
      <c r="Z18" s="853">
        <v>1</v>
      </c>
      <c r="AA18" s="854">
        <v>41364</v>
      </c>
      <c r="AB18" s="136">
        <v>5.8325000000000005</v>
      </c>
      <c r="AC18" s="136">
        <v>1.0159500000000001</v>
      </c>
      <c r="AD18" s="136">
        <v>0.778756</v>
      </c>
      <c r="AF18" s="138" t="s">
        <v>283</v>
      </c>
      <c r="AG18" s="136">
        <v>122.30000000000001</v>
      </c>
      <c r="AH18" s="136">
        <v>95</v>
      </c>
      <c r="AI18" s="136">
        <v>97.63</v>
      </c>
      <c r="AL18" s="853">
        <v>2013</v>
      </c>
      <c r="AM18" s="853">
        <v>1</v>
      </c>
      <c r="AN18" s="854">
        <v>41364</v>
      </c>
      <c r="AO18" s="136">
        <f t="shared" si="3"/>
        <v>120.37993995767508</v>
      </c>
      <c r="AP18" s="136">
        <f t="shared" si="4"/>
        <v>16.288041148735534</v>
      </c>
      <c r="AQ18" s="136">
        <f t="shared" si="5"/>
        <v>125.36661033751264</v>
      </c>
      <c r="AS18" s="853">
        <v>2013</v>
      </c>
      <c r="AT18" s="853">
        <v>1</v>
      </c>
      <c r="AU18" s="854">
        <v>41364</v>
      </c>
      <c r="AV18" s="845">
        <f t="shared" si="6"/>
        <v>7.9929372752524708E-2</v>
      </c>
      <c r="AW18" s="845">
        <f t="shared" si="7"/>
        <v>-1.5679987370078672E-2</v>
      </c>
      <c r="AX18" s="845">
        <f t="shared" si="8"/>
        <v>-1.4000000000000002E-3</v>
      </c>
      <c r="AY18" s="845">
        <f t="shared" si="9"/>
        <v>-4.8999999999999998E-3</v>
      </c>
      <c r="AZ18" s="845">
        <f t="shared" si="10"/>
        <v>-5.7000000000000002E-3</v>
      </c>
      <c r="BA18" s="845">
        <f t="shared" si="11"/>
        <v>9.1000000000000004E-3</v>
      </c>
      <c r="BB18" s="845">
        <f t="shared" si="12"/>
        <v>9.41E-3</v>
      </c>
      <c r="BC18" s="845">
        <f t="shared" si="13"/>
        <v>7.1676393425068208E-2</v>
      </c>
      <c r="BD18" s="845">
        <f t="shared" si="14"/>
        <v>5.4906844087798693E-3</v>
      </c>
    </row>
    <row r="19" spans="1:56">
      <c r="A19" s="863">
        <v>2012</v>
      </c>
      <c r="B19" s="863">
        <v>4</v>
      </c>
      <c r="C19" s="864">
        <v>41274</v>
      </c>
      <c r="D19" s="136">
        <f t="shared" si="0"/>
        <v>122.32600180777344</v>
      </c>
      <c r="E19" s="136">
        <f t="shared" si="1"/>
        <v>16.974978662234399</v>
      </c>
      <c r="F19" s="136">
        <f t="shared" si="2"/>
        <v>127.85845654882368</v>
      </c>
      <c r="G19" s="136">
        <v>121.80000000000001</v>
      </c>
      <c r="H19" s="136">
        <v>94.47</v>
      </c>
      <c r="I19" s="136">
        <v>96.98</v>
      </c>
      <c r="J19" s="136">
        <v>0.05</v>
      </c>
      <c r="L19" s="136">
        <v>464.41</v>
      </c>
      <c r="M19" s="136">
        <v>2001.596</v>
      </c>
      <c r="N19" s="846">
        <v>0.52</v>
      </c>
      <c r="O19" s="846">
        <v>0.57999999999999996</v>
      </c>
      <c r="P19" s="846">
        <v>1</v>
      </c>
      <c r="Q19" s="846">
        <v>0.75</v>
      </c>
      <c r="R19" s="846">
        <v>1.3880000000000001</v>
      </c>
      <c r="S19" s="136">
        <v>1867.7</v>
      </c>
      <c r="T19" s="136">
        <v>4889.0079999999998</v>
      </c>
      <c r="Y19" s="853">
        <v>2012</v>
      </c>
      <c r="Z19" s="853">
        <v>4</v>
      </c>
      <c r="AA19" s="854">
        <v>41274</v>
      </c>
      <c r="AB19" s="136">
        <v>5.5652500000000007</v>
      </c>
      <c r="AC19" s="136">
        <v>0.99570000000000003</v>
      </c>
      <c r="AD19" s="136">
        <v>0.75849499999999992</v>
      </c>
      <c r="AF19" s="138" t="s">
        <v>284</v>
      </c>
      <c r="AG19" s="136">
        <v>121.80000000000001</v>
      </c>
      <c r="AH19" s="136">
        <v>94.47</v>
      </c>
      <c r="AI19" s="136">
        <v>96.98</v>
      </c>
      <c r="AL19" s="853">
        <v>2012</v>
      </c>
      <c r="AM19" s="853">
        <v>4</v>
      </c>
      <c r="AN19" s="854">
        <v>41274</v>
      </c>
      <c r="AO19" s="136">
        <f t="shared" si="3"/>
        <v>122.32600180777344</v>
      </c>
      <c r="AP19" s="136">
        <f t="shared" si="4"/>
        <v>16.974978662234399</v>
      </c>
      <c r="AQ19" s="136">
        <f t="shared" si="5"/>
        <v>127.85845654882368</v>
      </c>
      <c r="AS19" s="853">
        <v>2012</v>
      </c>
      <c r="AT19" s="853">
        <v>4</v>
      </c>
      <c r="AU19" s="854">
        <v>41274</v>
      </c>
      <c r="AV19" s="845">
        <f t="shared" si="6"/>
        <v>2.8958213320334984E-2</v>
      </c>
      <c r="AW19" s="845">
        <f t="shared" si="7"/>
        <v>5.6075081938842898E-2</v>
      </c>
      <c r="AX19" s="845">
        <f t="shared" si="8"/>
        <v>5.1999999999999998E-3</v>
      </c>
      <c r="AY19" s="845">
        <f t="shared" si="9"/>
        <v>5.7999999999999996E-3</v>
      </c>
      <c r="AZ19" s="845">
        <f t="shared" si="10"/>
        <v>0.01</v>
      </c>
      <c r="BA19" s="845">
        <f t="shared" si="11"/>
        <v>7.4999999999999997E-3</v>
      </c>
      <c r="BB19" s="845">
        <f t="shared" si="12"/>
        <v>1.3880000000000002E-2</v>
      </c>
      <c r="BC19" s="845">
        <f t="shared" si="13"/>
        <v>3.7997476838601101E-2</v>
      </c>
      <c r="BD19" s="845">
        <f t="shared" si="14"/>
        <v>-3.2799880509732912E-2</v>
      </c>
    </row>
    <row r="20" spans="1:56">
      <c r="A20" s="863">
        <v>2012</v>
      </c>
      <c r="B20" s="863">
        <v>3</v>
      </c>
      <c r="C20" s="864">
        <v>41182</v>
      </c>
      <c r="D20" s="136">
        <f t="shared" si="0"/>
        <v>123.78677778342396</v>
      </c>
      <c r="E20" s="136">
        <f t="shared" si="1"/>
        <v>16.309740078256009</v>
      </c>
      <c r="F20" s="136">
        <f t="shared" si="2"/>
        <v>124.03142661227346</v>
      </c>
      <c r="G20" s="136">
        <v>121.80000000000001</v>
      </c>
      <c r="H20" s="136">
        <v>93.37</v>
      </c>
      <c r="I20" s="136">
        <v>96.41</v>
      </c>
      <c r="J20" s="136">
        <v>0.1</v>
      </c>
      <c r="L20" s="136">
        <v>451.34000000000003</v>
      </c>
      <c r="M20" s="136">
        <v>1895.316</v>
      </c>
      <c r="N20" s="846">
        <v>1.45</v>
      </c>
      <c r="O20" s="846">
        <v>1.42</v>
      </c>
      <c r="P20" s="846">
        <v>1.59</v>
      </c>
      <c r="Q20" s="846">
        <v>0.75</v>
      </c>
      <c r="R20" s="846">
        <v>1.2530000000000001</v>
      </c>
      <c r="S20" s="136">
        <v>1799.33</v>
      </c>
      <c r="T20" s="136">
        <v>5054.8050000000003</v>
      </c>
      <c r="Y20" s="853">
        <v>2012</v>
      </c>
      <c r="Z20" s="853">
        <v>3</v>
      </c>
      <c r="AA20" s="854">
        <v>41182</v>
      </c>
      <c r="AB20" s="136">
        <v>5.7248000000000001</v>
      </c>
      <c r="AC20" s="136">
        <v>0.9839500000000001</v>
      </c>
      <c r="AD20" s="136">
        <v>0.77730299999999997</v>
      </c>
      <c r="AF20" s="138" t="s">
        <v>285</v>
      </c>
      <c r="AG20" s="136">
        <v>121.80000000000001</v>
      </c>
      <c r="AH20" s="136">
        <v>93.37</v>
      </c>
      <c r="AI20" s="136">
        <v>96.41</v>
      </c>
      <c r="AL20" s="853">
        <v>2012</v>
      </c>
      <c r="AM20" s="853">
        <v>3</v>
      </c>
      <c r="AN20" s="854">
        <v>41182</v>
      </c>
      <c r="AO20" s="136">
        <f t="shared" si="3"/>
        <v>123.78677778342396</v>
      </c>
      <c r="AP20" s="136">
        <f t="shared" si="4"/>
        <v>16.309740078256009</v>
      </c>
      <c r="AQ20" s="136">
        <f t="shared" si="5"/>
        <v>124.03142661227346</v>
      </c>
      <c r="AS20" s="853">
        <v>2012</v>
      </c>
      <c r="AT20" s="853">
        <v>3</v>
      </c>
      <c r="AU20" s="854">
        <v>41182</v>
      </c>
      <c r="AV20" s="845">
        <f t="shared" si="6"/>
        <v>6.9323351023502774E-2</v>
      </c>
      <c r="AW20" s="845">
        <f t="shared" si="7"/>
        <v>7.8864051640226127E-2</v>
      </c>
      <c r="AX20" s="845">
        <f t="shared" si="8"/>
        <v>1.4499999999999999E-2</v>
      </c>
      <c r="AY20" s="845">
        <f t="shared" si="9"/>
        <v>1.4199999999999999E-2</v>
      </c>
      <c r="AZ20" s="845">
        <f t="shared" si="10"/>
        <v>1.5900000000000001E-2</v>
      </c>
      <c r="BA20" s="845">
        <f t="shared" si="11"/>
        <v>7.4999999999999997E-3</v>
      </c>
      <c r="BB20" s="845">
        <f t="shared" si="12"/>
        <v>1.2530000000000001E-2</v>
      </c>
      <c r="BC20" s="845">
        <f t="shared" si="13"/>
        <v>3.411553072754122E-2</v>
      </c>
      <c r="BD20" s="845">
        <f t="shared" si="14"/>
        <v>0.11535191648240406</v>
      </c>
    </row>
    <row r="21" spans="1:56">
      <c r="A21" s="863">
        <v>2012</v>
      </c>
      <c r="B21" s="863">
        <v>2</v>
      </c>
      <c r="C21" s="864">
        <v>41090</v>
      </c>
      <c r="D21" s="136">
        <f t="shared" si="0"/>
        <v>119.67237235764381</v>
      </c>
      <c r="E21" s="136">
        <f t="shared" si="1"/>
        <v>15.818116057835459</v>
      </c>
      <c r="F21" s="136">
        <f t="shared" si="2"/>
        <v>121.72727861105012</v>
      </c>
      <c r="G21" s="136">
        <v>122</v>
      </c>
      <c r="H21" s="136">
        <v>94.03</v>
      </c>
      <c r="I21" s="136">
        <v>95.92</v>
      </c>
      <c r="J21" s="136">
        <v>0.09</v>
      </c>
      <c r="L21" s="136">
        <v>422.08</v>
      </c>
      <c r="M21" s="136">
        <v>1756.77</v>
      </c>
      <c r="N21" s="846">
        <v>1.05</v>
      </c>
      <c r="O21" s="846">
        <v>2.41</v>
      </c>
      <c r="P21" s="846">
        <v>2.75</v>
      </c>
      <c r="Q21" s="846">
        <v>0.16</v>
      </c>
      <c r="R21" s="846">
        <v>0.28200000000000003</v>
      </c>
      <c r="S21" s="136">
        <v>1739.97</v>
      </c>
      <c r="T21" s="136">
        <v>4532.027</v>
      </c>
      <c r="Y21" s="853">
        <v>2012</v>
      </c>
      <c r="Z21" s="853">
        <v>2</v>
      </c>
      <c r="AA21" s="854">
        <v>41090</v>
      </c>
      <c r="AB21" s="136">
        <v>5.9444500000000007</v>
      </c>
      <c r="AC21" s="136">
        <v>1.0194500000000002</v>
      </c>
      <c r="AD21" s="136">
        <v>0.787991</v>
      </c>
      <c r="AF21" s="138" t="s">
        <v>286</v>
      </c>
      <c r="AG21" s="136">
        <v>122</v>
      </c>
      <c r="AH21" s="136">
        <v>94.03</v>
      </c>
      <c r="AI21" s="136">
        <v>95.92</v>
      </c>
      <c r="AL21" s="853">
        <v>2012</v>
      </c>
      <c r="AM21" s="853">
        <v>2</v>
      </c>
      <c r="AN21" s="854">
        <v>41090</v>
      </c>
      <c r="AO21" s="136">
        <f t="shared" si="3"/>
        <v>119.67237235764381</v>
      </c>
      <c r="AP21" s="136">
        <f t="shared" si="4"/>
        <v>15.818116057835459</v>
      </c>
      <c r="AQ21" s="136">
        <f t="shared" si="5"/>
        <v>121.72727861105012</v>
      </c>
      <c r="AS21" s="853">
        <v>2012</v>
      </c>
      <c r="AT21" s="853">
        <v>2</v>
      </c>
      <c r="AU21" s="854">
        <v>41090</v>
      </c>
      <c r="AV21" s="845">
        <f t="shared" si="6"/>
        <v>-5.1292425264104401E-2</v>
      </c>
      <c r="AW21" s="845">
        <f t="shared" si="7"/>
        <v>-8.7696466944530746E-2</v>
      </c>
      <c r="AX21" s="845">
        <f t="shared" si="8"/>
        <v>1.0500000000000001E-2</v>
      </c>
      <c r="AY21" s="845">
        <f t="shared" si="9"/>
        <v>2.41E-2</v>
      </c>
      <c r="AZ21" s="845">
        <f t="shared" si="10"/>
        <v>2.75E-2</v>
      </c>
      <c r="BA21" s="845">
        <f t="shared" si="11"/>
        <v>1.6000000000000001E-3</v>
      </c>
      <c r="BB21" s="845">
        <f t="shared" si="12"/>
        <v>2.8200000000000005E-3</v>
      </c>
      <c r="BC21" s="845">
        <f t="shared" si="13"/>
        <v>3.3132047239886685E-2</v>
      </c>
      <c r="BD21" s="845">
        <f t="shared" si="14"/>
        <v>-0.12384592230229953</v>
      </c>
    </row>
    <row r="22" spans="1:56">
      <c r="A22" s="863">
        <v>2012</v>
      </c>
      <c r="B22" s="863">
        <v>1</v>
      </c>
      <c r="C22" s="864">
        <v>40999</v>
      </c>
      <c r="D22" s="136">
        <f t="shared" si="0"/>
        <v>121.26669668317574</v>
      </c>
      <c r="E22" s="136">
        <f t="shared" si="1"/>
        <v>16.44971555298428</v>
      </c>
      <c r="F22" s="136">
        <f t="shared" si="2"/>
        <v>126.2717732914292</v>
      </c>
      <c r="G22" s="136">
        <v>121.2</v>
      </c>
      <c r="H22" s="136">
        <v>93.83</v>
      </c>
      <c r="I22" s="136">
        <v>94.820000000000007</v>
      </c>
      <c r="J22" s="136">
        <v>7.0000000000000007E-2</v>
      </c>
      <c r="L22" s="136">
        <v>444.90000000000003</v>
      </c>
      <c r="M22" s="136">
        <v>1925.6420000000001</v>
      </c>
      <c r="N22" s="846">
        <v>-0.46</v>
      </c>
      <c r="O22" s="846">
        <v>0.37</v>
      </c>
      <c r="P22" s="846">
        <v>0.35000000000000003</v>
      </c>
      <c r="Q22" s="846">
        <v>-0.86</v>
      </c>
      <c r="R22" s="846">
        <v>-0.191</v>
      </c>
      <c r="S22" s="136">
        <v>1684.17</v>
      </c>
      <c r="T22" s="136">
        <v>5172.6369999999997</v>
      </c>
      <c r="Y22" s="853">
        <v>2012</v>
      </c>
      <c r="Z22" s="853">
        <v>1</v>
      </c>
      <c r="AA22" s="854">
        <v>40999</v>
      </c>
      <c r="AB22" s="136">
        <v>5.7040500000000005</v>
      </c>
      <c r="AC22" s="136">
        <v>0.99945000000000006</v>
      </c>
      <c r="AD22" s="136">
        <v>0.75091999999999992</v>
      </c>
      <c r="AF22" s="138" t="s">
        <v>287</v>
      </c>
      <c r="AG22" s="136">
        <v>121.2</v>
      </c>
      <c r="AH22" s="136">
        <v>93.83</v>
      </c>
      <c r="AI22" s="136">
        <v>94.820000000000007</v>
      </c>
      <c r="AL22" s="853">
        <v>2012</v>
      </c>
      <c r="AM22" s="853">
        <v>1</v>
      </c>
      <c r="AN22" s="854">
        <v>40999</v>
      </c>
      <c r="AO22" s="136">
        <f t="shared" si="3"/>
        <v>121.26669668317574</v>
      </c>
      <c r="AP22" s="136">
        <f t="shared" si="4"/>
        <v>16.44971555298428</v>
      </c>
      <c r="AQ22" s="136">
        <f t="shared" si="5"/>
        <v>126.2717732914292</v>
      </c>
      <c r="AS22" s="853">
        <v>2012</v>
      </c>
      <c r="AT22" s="853">
        <v>1</v>
      </c>
      <c r="AU22" s="854">
        <v>40999</v>
      </c>
      <c r="AV22" s="845">
        <f t="shared" si="6"/>
        <v>0.12020344445563502</v>
      </c>
      <c r="AW22" s="845">
        <f t="shared" si="7"/>
        <v>0.14125644520832104</v>
      </c>
      <c r="AX22" s="845">
        <f t="shared" si="8"/>
        <v>-4.5999999999999999E-3</v>
      </c>
      <c r="AY22" s="845">
        <f t="shared" si="9"/>
        <v>3.7000000000000002E-3</v>
      </c>
      <c r="AZ22" s="845">
        <f t="shared" si="10"/>
        <v>3.5000000000000005E-3</v>
      </c>
      <c r="BA22" s="845">
        <f t="shared" si="11"/>
        <v>-8.6E-3</v>
      </c>
      <c r="BB22" s="845">
        <f t="shared" si="12"/>
        <v>-1.91E-3</v>
      </c>
      <c r="BC22" s="845">
        <f t="shared" si="13"/>
        <v>0.10883090718758021</v>
      </c>
      <c r="BD22" s="845">
        <f t="shared" si="14"/>
        <v>5.8826623958549505E-2</v>
      </c>
    </row>
    <row r="23" spans="1:56">
      <c r="A23" s="863">
        <v>2011</v>
      </c>
      <c r="B23" s="863">
        <v>4</v>
      </c>
      <c r="C23" s="864">
        <v>40908</v>
      </c>
      <c r="D23" s="136">
        <f t="shared" si="0"/>
        <v>118.43849742204763</v>
      </c>
      <c r="E23" s="136">
        <f t="shared" si="1"/>
        <v>15.638535845642139</v>
      </c>
      <c r="F23" s="136">
        <f t="shared" si="2"/>
        <v>122.41554560595695</v>
      </c>
      <c r="G23" s="136">
        <v>120.60000000000001</v>
      </c>
      <c r="H23" s="136">
        <v>93.33</v>
      </c>
      <c r="I23" s="136">
        <v>94.3</v>
      </c>
      <c r="J23" s="136">
        <v>0.02</v>
      </c>
      <c r="L23" s="136">
        <v>397.16</v>
      </c>
      <c r="M23" s="136">
        <v>1687.3</v>
      </c>
      <c r="N23" s="846">
        <v>1.04</v>
      </c>
      <c r="O23" s="846">
        <v>0.75</v>
      </c>
      <c r="P23" s="846">
        <v>1.44</v>
      </c>
      <c r="Q23" s="846">
        <v>1.03</v>
      </c>
      <c r="R23" s="846">
        <v>-0.49</v>
      </c>
      <c r="S23" s="136">
        <v>1518.8700000000001</v>
      </c>
      <c r="T23" s="136">
        <v>4885.2539999999999</v>
      </c>
      <c r="Y23" s="853">
        <v>2011</v>
      </c>
      <c r="Z23" s="853">
        <v>4</v>
      </c>
      <c r="AA23" s="854">
        <v>40908</v>
      </c>
      <c r="AB23" s="136">
        <v>5.9679500000000001</v>
      </c>
      <c r="AC23" s="136">
        <v>1.0182500000000001</v>
      </c>
      <c r="AD23" s="136">
        <v>0.77032699999999998</v>
      </c>
      <c r="AF23" s="138" t="s">
        <v>288</v>
      </c>
      <c r="AG23" s="136">
        <v>120.60000000000001</v>
      </c>
      <c r="AH23" s="136">
        <v>93.33</v>
      </c>
      <c r="AI23" s="136">
        <v>94.3</v>
      </c>
      <c r="AL23" s="853">
        <v>2011</v>
      </c>
      <c r="AM23" s="853">
        <v>4</v>
      </c>
      <c r="AN23" s="854">
        <v>40908</v>
      </c>
      <c r="AO23" s="136">
        <f t="shared" si="3"/>
        <v>118.43849742204763</v>
      </c>
      <c r="AP23" s="136">
        <f t="shared" si="4"/>
        <v>15.638535845642139</v>
      </c>
      <c r="AQ23" s="136">
        <f t="shared" si="5"/>
        <v>122.41554560595695</v>
      </c>
      <c r="AS23" s="853">
        <v>2011</v>
      </c>
      <c r="AT23" s="853">
        <v>4</v>
      </c>
      <c r="AU23" s="854">
        <v>40908</v>
      </c>
      <c r="AV23" s="845">
        <f t="shared" si="6"/>
        <v>7.6781260167010063E-2</v>
      </c>
      <c r="AW23" s="845">
        <f t="shared" si="7"/>
        <v>4.4496814758276243E-2</v>
      </c>
      <c r="AX23" s="845">
        <f t="shared" si="8"/>
        <v>1.04E-2</v>
      </c>
      <c r="AY23" s="845">
        <f t="shared" si="9"/>
        <v>7.4999999999999997E-3</v>
      </c>
      <c r="AZ23" s="845">
        <f t="shared" si="10"/>
        <v>1.44E-2</v>
      </c>
      <c r="BA23" s="845">
        <f t="shared" si="11"/>
        <v>1.03E-2</v>
      </c>
      <c r="BB23" s="845">
        <f t="shared" si="12"/>
        <v>-4.8999999999999998E-3</v>
      </c>
      <c r="BC23" s="845">
        <f t="shared" si="13"/>
        <v>9.7417704690615989E-2</v>
      </c>
      <c r="BD23" s="845">
        <f t="shared" si="14"/>
        <v>8.9552062380247516E-2</v>
      </c>
    </row>
    <row r="24" spans="1:56">
      <c r="A24" s="863">
        <v>2011</v>
      </c>
      <c r="B24" s="863">
        <v>3</v>
      </c>
      <c r="C24" s="864">
        <v>40816</v>
      </c>
      <c r="D24" s="136">
        <f t="shared" si="0"/>
        <v>115.44551605009356</v>
      </c>
      <c r="E24" s="136">
        <f t="shared" si="1"/>
        <v>15.845682166581501</v>
      </c>
      <c r="F24" s="136">
        <f t="shared" si="2"/>
        <v>126.45524155299113</v>
      </c>
      <c r="G24" s="136">
        <v>120.30000000000001</v>
      </c>
      <c r="H24" s="136">
        <v>93.03</v>
      </c>
      <c r="I24" s="136">
        <v>94.25</v>
      </c>
      <c r="J24" s="136">
        <v>0.02</v>
      </c>
      <c r="L24" s="136">
        <v>368.84000000000003</v>
      </c>
      <c r="M24" s="136">
        <v>1615.4190000000001</v>
      </c>
      <c r="N24" s="846">
        <v>-3.0700000000000003</v>
      </c>
      <c r="O24" s="846">
        <v>-4.0200000000000005</v>
      </c>
      <c r="P24" s="846">
        <v>-4.49</v>
      </c>
      <c r="Q24" s="846">
        <v>-2.46</v>
      </c>
      <c r="R24" s="846">
        <v>-4.133</v>
      </c>
      <c r="S24" s="136">
        <v>1384.04</v>
      </c>
      <c r="T24" s="136">
        <v>4483.7269999999999</v>
      </c>
      <c r="Y24" s="853">
        <v>2011</v>
      </c>
      <c r="Z24" s="853">
        <v>3</v>
      </c>
      <c r="AA24" s="854">
        <v>40816</v>
      </c>
      <c r="AB24" s="136">
        <v>5.8710000000000004</v>
      </c>
      <c r="AC24" s="136">
        <v>1.0420500000000001</v>
      </c>
      <c r="AD24" s="136">
        <v>0.74532299999999996</v>
      </c>
      <c r="AF24" s="138" t="s">
        <v>289</v>
      </c>
      <c r="AG24" s="136">
        <v>120.30000000000001</v>
      </c>
      <c r="AH24" s="136">
        <v>93.03</v>
      </c>
      <c r="AI24" s="136">
        <v>94.25</v>
      </c>
      <c r="AL24" s="853">
        <v>2011</v>
      </c>
      <c r="AM24" s="853">
        <v>3</v>
      </c>
      <c r="AN24" s="854">
        <v>40816</v>
      </c>
      <c r="AO24" s="136">
        <f t="shared" si="3"/>
        <v>115.44551605009356</v>
      </c>
      <c r="AP24" s="136">
        <f t="shared" si="4"/>
        <v>15.845682166581501</v>
      </c>
      <c r="AQ24" s="136">
        <f t="shared" si="5"/>
        <v>126.45524155299113</v>
      </c>
      <c r="AS24" s="853">
        <v>2011</v>
      </c>
      <c r="AT24" s="853">
        <v>3</v>
      </c>
      <c r="AU24" s="854">
        <v>40816</v>
      </c>
      <c r="AV24" s="845">
        <f t="shared" si="6"/>
        <v>-0.17324546656804063</v>
      </c>
      <c r="AW24" s="845">
        <f t="shared" si="7"/>
        <v>-0.22459019541018851</v>
      </c>
      <c r="AX24" s="845">
        <f t="shared" si="8"/>
        <v>-3.0700000000000002E-2</v>
      </c>
      <c r="AY24" s="845">
        <f t="shared" si="9"/>
        <v>-4.0200000000000007E-2</v>
      </c>
      <c r="AZ24" s="845">
        <f t="shared" si="10"/>
        <v>-4.4900000000000002E-2</v>
      </c>
      <c r="BA24" s="845">
        <f t="shared" si="11"/>
        <v>-2.46E-2</v>
      </c>
      <c r="BB24" s="845">
        <f t="shared" si="12"/>
        <v>-4.1329999999999999E-2</v>
      </c>
      <c r="BC24" s="845">
        <f t="shared" si="13"/>
        <v>-0.15584154188649324</v>
      </c>
      <c r="BD24" s="845">
        <f t="shared" si="14"/>
        <v>-0.11689782216579622</v>
      </c>
    </row>
    <row r="25" spans="1:56">
      <c r="A25" s="863">
        <v>2011</v>
      </c>
      <c r="B25" s="863">
        <v>2</v>
      </c>
      <c r="C25" s="864">
        <v>40724</v>
      </c>
      <c r="D25" s="136">
        <f t="shared" si="0"/>
        <v>124.44306289503679</v>
      </c>
      <c r="E25" s="136">
        <f t="shared" si="1"/>
        <v>17.45799513554315</v>
      </c>
      <c r="F25" s="136">
        <f t="shared" si="2"/>
        <v>136.06832848358846</v>
      </c>
      <c r="G25" s="136">
        <v>120.10000000000001</v>
      </c>
      <c r="H25" s="136">
        <v>93.67</v>
      </c>
      <c r="I25" s="136">
        <v>93.850000000000009</v>
      </c>
      <c r="J25" s="136">
        <v>0.03</v>
      </c>
      <c r="L25" s="136">
        <v>446.13</v>
      </c>
      <c r="M25" s="136">
        <v>2083.31</v>
      </c>
      <c r="N25" s="846">
        <v>-0.53</v>
      </c>
      <c r="O25" s="846">
        <v>0.62</v>
      </c>
      <c r="P25" s="846">
        <v>0.67</v>
      </c>
      <c r="Q25" s="846">
        <v>-0.01</v>
      </c>
      <c r="R25" s="846">
        <v>-1.095</v>
      </c>
      <c r="S25" s="136">
        <v>1639.55</v>
      </c>
      <c r="T25" s="136">
        <v>5077.2460000000001</v>
      </c>
      <c r="Y25" s="853">
        <v>2011</v>
      </c>
      <c r="Z25" s="853">
        <v>2</v>
      </c>
      <c r="AA25" s="854">
        <v>40724</v>
      </c>
      <c r="AB25" s="136">
        <v>5.3654500000000001</v>
      </c>
      <c r="AC25" s="136">
        <v>0.96510000000000007</v>
      </c>
      <c r="AD25" s="136">
        <v>0.68972699999999998</v>
      </c>
      <c r="AF25" s="138" t="s">
        <v>290</v>
      </c>
      <c r="AG25" s="136">
        <v>120.10000000000001</v>
      </c>
      <c r="AH25" s="136">
        <v>93.67</v>
      </c>
      <c r="AI25" s="136">
        <v>93.850000000000009</v>
      </c>
      <c r="AL25" s="853">
        <v>2011</v>
      </c>
      <c r="AM25" s="853">
        <v>2</v>
      </c>
      <c r="AN25" s="854">
        <v>40724</v>
      </c>
      <c r="AO25" s="136">
        <f t="shared" si="3"/>
        <v>124.44306289503679</v>
      </c>
      <c r="AP25" s="136">
        <f t="shared" si="4"/>
        <v>17.45799513554315</v>
      </c>
      <c r="AQ25" s="136">
        <f t="shared" si="5"/>
        <v>136.06832848358846</v>
      </c>
      <c r="AS25" s="853">
        <v>2011</v>
      </c>
      <c r="AT25" s="853">
        <v>2</v>
      </c>
      <c r="AU25" s="854">
        <v>40724</v>
      </c>
      <c r="AV25" s="845">
        <f t="shared" si="6"/>
        <v>5.6353267362441676E-3</v>
      </c>
      <c r="AW25" s="845">
        <f t="shared" si="7"/>
        <v>-1.043331631259581E-2</v>
      </c>
      <c r="AX25" s="845">
        <f t="shared" si="8"/>
        <v>-5.3E-3</v>
      </c>
      <c r="AY25" s="845">
        <f t="shared" si="9"/>
        <v>6.1999999999999998E-3</v>
      </c>
      <c r="AZ25" s="845">
        <f t="shared" si="10"/>
        <v>6.7000000000000002E-3</v>
      </c>
      <c r="BA25" s="845">
        <f t="shared" si="11"/>
        <v>-1E-4</v>
      </c>
      <c r="BB25" s="845">
        <f t="shared" si="12"/>
        <v>-1.095E-2</v>
      </c>
      <c r="BC25" s="845">
        <f t="shared" si="13"/>
        <v>4.0435833814561235E-2</v>
      </c>
      <c r="BD25" s="845">
        <f t="shared" si="14"/>
        <v>-7.9385007485867354E-2</v>
      </c>
    </row>
    <row r="26" spans="1:56">
      <c r="A26" s="863">
        <v>2011</v>
      </c>
      <c r="B26" s="863">
        <v>1</v>
      </c>
      <c r="C26" s="864">
        <v>40633</v>
      </c>
      <c r="D26" s="136">
        <f t="shared" si="0"/>
        <v>121.71678231817013</v>
      </c>
      <c r="E26" s="136">
        <f t="shared" si="1"/>
        <v>16.824693812988656</v>
      </c>
      <c r="F26" s="136">
        <f t="shared" si="2"/>
        <v>131.30931837791201</v>
      </c>
      <c r="G26" s="136">
        <v>118.4</v>
      </c>
      <c r="H26" s="136">
        <v>93.070000000000007</v>
      </c>
      <c r="I26" s="136">
        <v>92.53</v>
      </c>
      <c r="J26" s="136">
        <v>0.09</v>
      </c>
      <c r="L26" s="136">
        <v>443.63</v>
      </c>
      <c r="M26" s="136">
        <v>2105.2750000000001</v>
      </c>
      <c r="N26" s="846">
        <v>0.51</v>
      </c>
      <c r="O26" s="846">
        <v>1.28</v>
      </c>
      <c r="P26" s="846">
        <v>1.37</v>
      </c>
      <c r="Q26" s="846">
        <v>1.03</v>
      </c>
      <c r="R26" s="846">
        <v>9.8000000000000004E-2</v>
      </c>
      <c r="S26" s="136">
        <v>1575.83</v>
      </c>
      <c r="T26" s="136">
        <v>5515.0590000000002</v>
      </c>
      <c r="Y26" s="853">
        <v>2011</v>
      </c>
      <c r="Z26" s="853">
        <v>1</v>
      </c>
      <c r="AA26" s="854">
        <v>40633</v>
      </c>
      <c r="AB26" s="136">
        <v>5.5317500000000006</v>
      </c>
      <c r="AC26" s="136">
        <v>0.97275000000000011</v>
      </c>
      <c r="AD26" s="136">
        <v>0.70467199999999997</v>
      </c>
      <c r="AF26" s="138" t="s">
        <v>291</v>
      </c>
      <c r="AG26" s="136">
        <v>118.4</v>
      </c>
      <c r="AH26" s="136">
        <v>93.070000000000007</v>
      </c>
      <c r="AI26" s="136">
        <v>92.53</v>
      </c>
      <c r="AL26" s="853">
        <v>2011</v>
      </c>
      <c r="AM26" s="853">
        <v>1</v>
      </c>
      <c r="AN26" s="854">
        <v>40633</v>
      </c>
      <c r="AO26" s="136">
        <f t="shared" si="3"/>
        <v>121.71678231817013</v>
      </c>
      <c r="AP26" s="136">
        <f t="shared" si="4"/>
        <v>16.824693812988656</v>
      </c>
      <c r="AQ26" s="136">
        <f t="shared" si="5"/>
        <v>131.30931837791201</v>
      </c>
      <c r="AS26" s="853">
        <v>2011</v>
      </c>
      <c r="AT26" s="853">
        <v>1</v>
      </c>
      <c r="AU26" s="854">
        <v>40633</v>
      </c>
      <c r="AV26" s="845">
        <f t="shared" si="6"/>
        <v>5.1953903063644044E-2</v>
      </c>
      <c r="AW26" s="845">
        <f t="shared" si="7"/>
        <v>2.096611029261294E-2</v>
      </c>
      <c r="AX26" s="845">
        <f t="shared" si="8"/>
        <v>5.1000000000000004E-3</v>
      </c>
      <c r="AY26" s="845">
        <f t="shared" si="9"/>
        <v>1.2800000000000001E-2</v>
      </c>
      <c r="AZ26" s="845">
        <f t="shared" si="10"/>
        <v>1.37E-2</v>
      </c>
      <c r="BA26" s="845">
        <f t="shared" si="11"/>
        <v>1.03E-2</v>
      </c>
      <c r="BB26" s="845">
        <f t="shared" si="12"/>
        <v>9.7999999999999997E-4</v>
      </c>
      <c r="BC26" s="845">
        <f t="shared" si="13"/>
        <v>6.0936363881183848E-2</v>
      </c>
      <c r="BD26" s="845">
        <f t="shared" si="14"/>
        <v>0.1156385976481822</v>
      </c>
    </row>
    <row r="27" spans="1:56">
      <c r="A27" s="863">
        <v>2010</v>
      </c>
      <c r="B27" s="863">
        <v>4</v>
      </c>
      <c r="C27" s="864">
        <v>40543</v>
      </c>
      <c r="D27" s="136">
        <f t="shared" si="0"/>
        <v>118.25089317163992</v>
      </c>
      <c r="E27" s="136">
        <f t="shared" si="1"/>
        <v>15.926021505376342</v>
      </c>
      <c r="F27" s="136">
        <f t="shared" si="2"/>
        <v>123.40925616375505</v>
      </c>
      <c r="G27" s="136">
        <v>117.5</v>
      </c>
      <c r="H27" s="136">
        <v>92.570000000000007</v>
      </c>
      <c r="I27" s="136">
        <v>91.99</v>
      </c>
      <c r="J27" s="136">
        <v>0.12</v>
      </c>
      <c r="L27" s="136">
        <v>421.72</v>
      </c>
      <c r="M27" s="136">
        <v>2062.0419999999999</v>
      </c>
      <c r="N27" s="846">
        <v>0.82000000000000006</v>
      </c>
      <c r="O27" s="846">
        <v>0.28000000000000003</v>
      </c>
      <c r="P27" s="846">
        <v>-0.51</v>
      </c>
      <c r="Q27" s="846">
        <v>1.54</v>
      </c>
      <c r="R27" s="846">
        <v>2.9</v>
      </c>
      <c r="S27" s="136">
        <v>1485.32</v>
      </c>
      <c r="T27" s="136">
        <v>4943.41</v>
      </c>
      <c r="Y27" s="853">
        <v>2010</v>
      </c>
      <c r="Z27" s="853">
        <v>4</v>
      </c>
      <c r="AA27" s="854">
        <v>40543</v>
      </c>
      <c r="AB27" s="136">
        <v>5.8125000000000009</v>
      </c>
      <c r="AC27" s="136">
        <v>0.99365000000000003</v>
      </c>
      <c r="AD27" s="136">
        <v>0.74540600000000001</v>
      </c>
      <c r="AF27" s="138" t="s">
        <v>292</v>
      </c>
      <c r="AG27" s="136">
        <v>117.5</v>
      </c>
      <c r="AH27" s="136">
        <v>92.570000000000007</v>
      </c>
      <c r="AI27" s="136">
        <v>91.99</v>
      </c>
      <c r="AL27" s="853">
        <v>2010</v>
      </c>
      <c r="AM27" s="853">
        <v>4</v>
      </c>
      <c r="AN27" s="854">
        <v>40543</v>
      </c>
      <c r="AO27" s="136">
        <f t="shared" si="3"/>
        <v>118.25089317163992</v>
      </c>
      <c r="AP27" s="136">
        <f t="shared" si="4"/>
        <v>15.926021505376342</v>
      </c>
      <c r="AQ27" s="136">
        <f t="shared" si="5"/>
        <v>123.40925616375505</v>
      </c>
      <c r="AS27" s="853">
        <v>2010</v>
      </c>
      <c r="AT27" s="853">
        <v>4</v>
      </c>
      <c r="AU27" s="854">
        <v>40543</v>
      </c>
      <c r="AV27" s="845">
        <f t="shared" si="6"/>
        <v>9.7743186610094512E-2</v>
      </c>
      <c r="AW27" s="845">
        <f t="shared" si="7"/>
        <v>7.3618421292408226E-2</v>
      </c>
      <c r="AX27" s="845">
        <f t="shared" si="8"/>
        <v>8.2000000000000007E-3</v>
      </c>
      <c r="AY27" s="845">
        <f t="shared" si="9"/>
        <v>2.8000000000000004E-3</v>
      </c>
      <c r="AZ27" s="845">
        <f t="shared" si="10"/>
        <v>-5.1000000000000004E-3</v>
      </c>
      <c r="BA27" s="845">
        <f t="shared" si="11"/>
        <v>1.54E-2</v>
      </c>
      <c r="BB27" s="845">
        <f t="shared" si="12"/>
        <v>2.8999999999999998E-2</v>
      </c>
      <c r="BC27" s="845">
        <f t="shared" si="13"/>
        <v>6.4829484762239195E-2</v>
      </c>
      <c r="BD27" s="845">
        <f t="shared" si="14"/>
        <v>0.13414285252157795</v>
      </c>
    </row>
    <row r="28" spans="1:56">
      <c r="A28" s="863">
        <v>2010</v>
      </c>
      <c r="B28" s="863">
        <v>3</v>
      </c>
      <c r="C28" s="864">
        <v>40451</v>
      </c>
      <c r="D28" s="136">
        <f t="shared" si="0"/>
        <v>113.85680167665838</v>
      </c>
      <c r="E28" s="136">
        <f t="shared" si="1"/>
        <v>15.653495440729483</v>
      </c>
      <c r="F28" s="136">
        <f t="shared" si="2"/>
        <v>125.07969359434153</v>
      </c>
      <c r="G28" s="136">
        <v>116.80000000000001</v>
      </c>
      <c r="H28" s="136">
        <v>91.67</v>
      </c>
      <c r="I28" s="136">
        <v>91.62</v>
      </c>
      <c r="J28" s="136">
        <v>0.16</v>
      </c>
      <c r="L28" s="136">
        <v>384.17</v>
      </c>
      <c r="M28" s="136">
        <v>1920.6469999999999</v>
      </c>
      <c r="N28" s="846">
        <v>2.88</v>
      </c>
      <c r="O28" s="846">
        <v>2.4300000000000002</v>
      </c>
      <c r="P28" s="846">
        <v>1.76</v>
      </c>
      <c r="Q28" s="846">
        <v>2.97</v>
      </c>
      <c r="R28" s="846">
        <v>3.2789999999999999</v>
      </c>
      <c r="S28" s="136">
        <v>1394.89</v>
      </c>
      <c r="T28" s="136">
        <v>4358.7190000000001</v>
      </c>
      <c r="Y28" s="853">
        <v>2010</v>
      </c>
      <c r="Z28" s="853">
        <v>3</v>
      </c>
      <c r="AA28" s="854">
        <v>40451</v>
      </c>
      <c r="AB28" s="136">
        <v>5.8562000000000003</v>
      </c>
      <c r="AC28" s="136">
        <v>1.0258500000000002</v>
      </c>
      <c r="AD28" s="136">
        <v>0.73249299999999995</v>
      </c>
      <c r="AF28" s="138" t="s">
        <v>293</v>
      </c>
      <c r="AG28" s="136">
        <v>116.80000000000001</v>
      </c>
      <c r="AH28" s="136">
        <v>91.67</v>
      </c>
      <c r="AI28" s="136">
        <v>91.62</v>
      </c>
      <c r="AL28" s="853">
        <v>2010</v>
      </c>
      <c r="AM28" s="853">
        <v>3</v>
      </c>
      <c r="AN28" s="854">
        <v>40451</v>
      </c>
      <c r="AO28" s="136">
        <f t="shared" si="3"/>
        <v>113.85680167665838</v>
      </c>
      <c r="AP28" s="136">
        <f t="shared" si="4"/>
        <v>15.653495440729483</v>
      </c>
      <c r="AQ28" s="136">
        <f t="shared" si="5"/>
        <v>125.07969359434153</v>
      </c>
      <c r="AS28" s="853">
        <v>2010</v>
      </c>
      <c r="AT28" s="853">
        <v>3</v>
      </c>
      <c r="AU28" s="854">
        <v>40451</v>
      </c>
      <c r="AV28" s="845">
        <f t="shared" si="6"/>
        <v>0.14088438808540965</v>
      </c>
      <c r="AW28" s="845">
        <f t="shared" si="7"/>
        <v>0.18160431189505463</v>
      </c>
      <c r="AX28" s="845">
        <f t="shared" si="8"/>
        <v>2.8799999999999999E-2</v>
      </c>
      <c r="AY28" s="845">
        <f t="shared" si="9"/>
        <v>2.4300000000000002E-2</v>
      </c>
      <c r="AZ28" s="845">
        <f t="shared" si="10"/>
        <v>1.7600000000000001E-2</v>
      </c>
      <c r="BA28" s="845">
        <f t="shared" si="11"/>
        <v>2.9700000000000001E-2</v>
      </c>
      <c r="BB28" s="845">
        <f t="shared" si="12"/>
        <v>3.279E-2</v>
      </c>
      <c r="BC28" s="845">
        <f t="shared" si="13"/>
        <v>0.17199919339931777</v>
      </c>
      <c r="BD28" s="845">
        <f t="shared" si="14"/>
        <v>8.2649833965602867E-2</v>
      </c>
    </row>
    <row r="29" spans="1:56">
      <c r="A29" s="863">
        <v>2010</v>
      </c>
      <c r="B29" s="863">
        <v>2</v>
      </c>
      <c r="C29" s="864">
        <v>40359</v>
      </c>
      <c r="D29" s="136">
        <f t="shared" si="0"/>
        <v>109.34926833858749</v>
      </c>
      <c r="E29" s="136">
        <f t="shared" si="1"/>
        <v>14.197734943834909</v>
      </c>
      <c r="F29" s="136">
        <f t="shared" si="2"/>
        <v>112.58058312601896</v>
      </c>
      <c r="G29" s="136">
        <v>116.2</v>
      </c>
      <c r="H29" s="136">
        <v>92.33</v>
      </c>
      <c r="I29" s="136">
        <v>91.91</v>
      </c>
      <c r="J29" s="136">
        <v>0.18</v>
      </c>
      <c r="L29" s="136">
        <v>336.73</v>
      </c>
      <c r="M29" s="136">
        <v>1625.4570000000001</v>
      </c>
      <c r="N29" s="846">
        <v>1.6600000000000001</v>
      </c>
      <c r="O29" s="846">
        <v>1.17</v>
      </c>
      <c r="P29" s="846">
        <v>2.5100000000000002</v>
      </c>
      <c r="Q29" s="846">
        <v>1.18</v>
      </c>
      <c r="R29" s="846">
        <v>-1.006</v>
      </c>
      <c r="S29" s="136">
        <v>1190.18</v>
      </c>
      <c r="T29" s="136">
        <v>4025.973</v>
      </c>
      <c r="Y29" s="853">
        <v>2010</v>
      </c>
      <c r="Z29" s="853">
        <v>2</v>
      </c>
      <c r="AA29" s="854">
        <v>40359</v>
      </c>
      <c r="AB29" s="136">
        <v>6.5031500000000007</v>
      </c>
      <c r="AC29" s="136">
        <v>1.0626500000000001</v>
      </c>
      <c r="AD29" s="136">
        <v>0.81639299999999992</v>
      </c>
      <c r="AF29" s="138" t="s">
        <v>294</v>
      </c>
      <c r="AG29" s="136">
        <v>116.2</v>
      </c>
      <c r="AH29" s="136">
        <v>92.33</v>
      </c>
      <c r="AI29" s="136">
        <v>91.91</v>
      </c>
      <c r="AL29" s="853">
        <v>2010</v>
      </c>
      <c r="AM29" s="853">
        <v>2</v>
      </c>
      <c r="AN29" s="854">
        <v>40359</v>
      </c>
      <c r="AO29" s="136">
        <f t="shared" si="3"/>
        <v>109.34926833858749</v>
      </c>
      <c r="AP29" s="136">
        <f t="shared" si="4"/>
        <v>14.197734943834909</v>
      </c>
      <c r="AQ29" s="136">
        <f t="shared" si="5"/>
        <v>112.58058312601896</v>
      </c>
      <c r="AS29" s="853">
        <v>2010</v>
      </c>
      <c r="AT29" s="853">
        <v>2</v>
      </c>
      <c r="AU29" s="854">
        <v>40359</v>
      </c>
      <c r="AV29" s="845">
        <f t="shared" si="6"/>
        <v>-0.12012019858897301</v>
      </c>
      <c r="AW29" s="845">
        <f t="shared" si="7"/>
        <v>-8.289225800663852E-2</v>
      </c>
      <c r="AX29" s="845">
        <f t="shared" si="8"/>
        <v>1.66E-2</v>
      </c>
      <c r="AY29" s="845">
        <f t="shared" si="9"/>
        <v>1.1699999999999999E-2</v>
      </c>
      <c r="AZ29" s="845">
        <f t="shared" si="10"/>
        <v>2.5100000000000001E-2</v>
      </c>
      <c r="BA29" s="845">
        <f t="shared" si="11"/>
        <v>1.18E-2</v>
      </c>
      <c r="BB29" s="845">
        <f t="shared" si="12"/>
        <v>-1.0059999999999999E-2</v>
      </c>
      <c r="BC29" s="845">
        <f t="shared" si="13"/>
        <v>-6.5359939061260725E-2</v>
      </c>
      <c r="BD29" s="845">
        <f t="shared" si="14"/>
        <v>-0.1040794699746667</v>
      </c>
    </row>
    <row r="30" spans="1:56">
      <c r="A30" s="863">
        <v>2010</v>
      </c>
      <c r="B30" s="863">
        <v>1</v>
      </c>
      <c r="C30" s="864">
        <v>40268</v>
      </c>
      <c r="D30" s="136">
        <f t="shared" si="0"/>
        <v>113.74501010300133</v>
      </c>
      <c r="E30" s="136">
        <f t="shared" si="1"/>
        <v>15.465741193119596</v>
      </c>
      <c r="F30" s="136">
        <f t="shared" si="2"/>
        <v>122.91555035965384</v>
      </c>
      <c r="G30" s="136">
        <v>115.4</v>
      </c>
      <c r="H30" s="136">
        <v>91.8</v>
      </c>
      <c r="I30" s="136">
        <v>90.84</v>
      </c>
      <c r="J30" s="136">
        <v>0.16</v>
      </c>
      <c r="L30" s="136">
        <v>382.7</v>
      </c>
      <c r="M30" s="136">
        <v>1772.373</v>
      </c>
      <c r="N30" s="846">
        <v>0.24</v>
      </c>
      <c r="O30" s="846">
        <v>0.93</v>
      </c>
      <c r="P30" s="846">
        <v>3</v>
      </c>
      <c r="Q30" s="846">
        <v>0.88</v>
      </c>
      <c r="R30" s="846">
        <v>2.512</v>
      </c>
      <c r="S30" s="136">
        <v>1273.4100000000001</v>
      </c>
      <c r="T30" s="136">
        <v>4493.6720000000005</v>
      </c>
      <c r="Y30" s="853">
        <v>2010</v>
      </c>
      <c r="Z30" s="853">
        <v>1</v>
      </c>
      <c r="AA30" s="854">
        <v>40268</v>
      </c>
      <c r="AB30" s="136">
        <v>5.9357000000000006</v>
      </c>
      <c r="AC30" s="136">
        <v>1.0145500000000001</v>
      </c>
      <c r="AD30" s="136">
        <v>0.73904399999999992</v>
      </c>
      <c r="AF30" s="138" t="s">
        <v>295</v>
      </c>
      <c r="AG30" s="136">
        <v>115.4</v>
      </c>
      <c r="AH30" s="136">
        <v>91.8</v>
      </c>
      <c r="AI30" s="136">
        <v>90.84</v>
      </c>
      <c r="AL30" s="853">
        <v>2010</v>
      </c>
      <c r="AM30" s="853">
        <v>1</v>
      </c>
      <c r="AN30" s="854">
        <v>40268</v>
      </c>
      <c r="AO30" s="136">
        <f t="shared" si="3"/>
        <v>113.74501010300133</v>
      </c>
      <c r="AP30" s="136">
        <f t="shared" si="4"/>
        <v>15.465741193119596</v>
      </c>
      <c r="AQ30" s="136">
        <f t="shared" si="5"/>
        <v>122.91555035965384</v>
      </c>
      <c r="AS30" s="853">
        <v>2010</v>
      </c>
      <c r="AT30" s="853">
        <v>1</v>
      </c>
      <c r="AU30" s="854">
        <v>40268</v>
      </c>
      <c r="AV30" s="845">
        <f t="shared" si="6"/>
        <v>3.8647342995169108E-2</v>
      </c>
      <c r="AW30" s="845">
        <f t="shared" si="7"/>
        <v>2.4514975175769702E-2</v>
      </c>
      <c r="AX30" s="845">
        <f t="shared" si="8"/>
        <v>2.3999999999999998E-3</v>
      </c>
      <c r="AY30" s="845">
        <f t="shared" si="9"/>
        <v>9.300000000000001E-3</v>
      </c>
      <c r="AZ30" s="845">
        <f t="shared" si="10"/>
        <v>0.03</v>
      </c>
      <c r="BA30" s="845">
        <f t="shared" si="11"/>
        <v>8.8000000000000005E-3</v>
      </c>
      <c r="BB30" s="845">
        <f t="shared" si="12"/>
        <v>2.512E-2</v>
      </c>
      <c r="BC30" s="845">
        <f t="shared" si="13"/>
        <v>5.3101223949718848E-2</v>
      </c>
      <c r="BD30" s="845">
        <f t="shared" si="14"/>
        <v>-8.9312967671244629E-3</v>
      </c>
    </row>
    <row r="31" spans="1:56">
      <c r="A31" s="863">
        <v>2009</v>
      </c>
      <c r="B31" s="863">
        <v>4</v>
      </c>
      <c r="C31" s="864">
        <v>40178</v>
      </c>
      <c r="D31" s="136">
        <f t="shared" si="0"/>
        <v>109.60080125912147</v>
      </c>
      <c r="E31" s="136">
        <f t="shared" si="1"/>
        <v>15.666112726769144</v>
      </c>
      <c r="F31" s="136">
        <f t="shared" si="2"/>
        <v>129.78739888606086</v>
      </c>
      <c r="G31" s="136">
        <v>114.9</v>
      </c>
      <c r="H31" s="136">
        <v>90.5</v>
      </c>
      <c r="I31" s="136">
        <v>90.460000000000008</v>
      </c>
      <c r="J31" s="136">
        <v>0.06</v>
      </c>
      <c r="L31" s="136">
        <v>368.46</v>
      </c>
      <c r="M31" s="136">
        <v>1729.963</v>
      </c>
      <c r="N31" s="846">
        <v>-2.52</v>
      </c>
      <c r="O31" s="846">
        <v>-2.2000000000000002</v>
      </c>
      <c r="P31" s="846">
        <v>0.2</v>
      </c>
      <c r="Q31" s="846">
        <v>-3.42</v>
      </c>
      <c r="R31" s="846">
        <v>1.3520000000000001</v>
      </c>
      <c r="S31" s="136">
        <v>1209.2</v>
      </c>
      <c r="T31" s="136">
        <v>4534.1679999999997</v>
      </c>
      <c r="Y31" s="853">
        <v>2009</v>
      </c>
      <c r="Z31" s="853">
        <v>4</v>
      </c>
      <c r="AA31" s="854">
        <v>40178</v>
      </c>
      <c r="AB31" s="136">
        <v>5.7768000000000006</v>
      </c>
      <c r="AC31" s="136">
        <v>1.0483500000000001</v>
      </c>
      <c r="AD31" s="136">
        <v>0.69698599999999999</v>
      </c>
      <c r="AF31" s="138" t="s">
        <v>296</v>
      </c>
      <c r="AG31" s="136">
        <v>114.9</v>
      </c>
      <c r="AH31" s="136">
        <v>90.5</v>
      </c>
      <c r="AI31" s="136">
        <v>90.460000000000008</v>
      </c>
      <c r="AL31" s="853">
        <v>2009</v>
      </c>
      <c r="AM31" s="853">
        <v>4</v>
      </c>
      <c r="AN31" s="854">
        <v>40178</v>
      </c>
      <c r="AO31" s="136">
        <f t="shared" si="3"/>
        <v>109.60080125912147</v>
      </c>
      <c r="AP31" s="136">
        <f t="shared" si="4"/>
        <v>15.666112726769144</v>
      </c>
      <c r="AQ31" s="136">
        <f t="shared" si="5"/>
        <v>129.78739888606086</v>
      </c>
      <c r="AS31" s="853">
        <v>2009</v>
      </c>
      <c r="AT31" s="853">
        <v>4</v>
      </c>
      <c r="AU31" s="854">
        <v>40178</v>
      </c>
      <c r="AV31" s="845">
        <f t="shared" si="6"/>
        <v>3.9320771747715214E-2</v>
      </c>
      <c r="AW31" s="845">
        <f t="shared" si="7"/>
        <v>8.5765374264425195E-2</v>
      </c>
      <c r="AX31" s="845">
        <f t="shared" si="8"/>
        <v>-2.52E-2</v>
      </c>
      <c r="AY31" s="845">
        <f t="shared" si="9"/>
        <v>-2.2000000000000002E-2</v>
      </c>
      <c r="AZ31" s="845">
        <f t="shared" si="10"/>
        <v>2E-3</v>
      </c>
      <c r="BA31" s="845">
        <f t="shared" si="11"/>
        <v>-3.4200000000000001E-2</v>
      </c>
      <c r="BB31" s="845">
        <f t="shared" si="12"/>
        <v>1.3520000000000001E-2</v>
      </c>
      <c r="BC31" s="845">
        <f t="shared" si="13"/>
        <v>5.1533123467311329E-2</v>
      </c>
      <c r="BD31" s="845">
        <f t="shared" si="14"/>
        <v>8.4156762207131142E-2</v>
      </c>
    </row>
    <row r="32" spans="1:56">
      <c r="A32" s="863">
        <v>2009</v>
      </c>
      <c r="B32" s="863">
        <v>3</v>
      </c>
      <c r="C32" s="864">
        <v>40086</v>
      </c>
      <c r="D32" s="136">
        <f t="shared" si="0"/>
        <v>106.86667287803968</v>
      </c>
      <c r="E32" s="136">
        <f t="shared" si="1"/>
        <v>15.511090429657203</v>
      </c>
      <c r="F32" s="136">
        <f t="shared" si="2"/>
        <v>131.87455692224489</v>
      </c>
      <c r="G32" s="136">
        <v>114.7</v>
      </c>
      <c r="H32" s="136">
        <v>90</v>
      </c>
      <c r="I32" s="136">
        <v>90.22</v>
      </c>
      <c r="J32" s="136">
        <v>0.14000000000000001</v>
      </c>
      <c r="L32" s="136">
        <v>354.52</v>
      </c>
      <c r="M32" s="136">
        <v>1593.3120000000001</v>
      </c>
      <c r="N32" s="846">
        <v>2.4300000000000002</v>
      </c>
      <c r="O32" s="846">
        <v>3.19</v>
      </c>
      <c r="P32" s="846">
        <v>4.55</v>
      </c>
      <c r="Q32" s="846">
        <v>1.6600000000000001</v>
      </c>
      <c r="R32" s="846">
        <v>2.7109999999999999</v>
      </c>
      <c r="S32" s="136">
        <v>1149.94</v>
      </c>
      <c r="T32" s="136">
        <v>4182.2070000000003</v>
      </c>
      <c r="Y32" s="853">
        <v>2009</v>
      </c>
      <c r="Z32" s="853">
        <v>3</v>
      </c>
      <c r="AA32" s="854">
        <v>40086</v>
      </c>
      <c r="AB32" s="136">
        <v>5.8023000000000007</v>
      </c>
      <c r="AC32" s="136">
        <v>1.0733000000000001</v>
      </c>
      <c r="AD32" s="136">
        <v>0.68413499999999994</v>
      </c>
      <c r="AF32" s="138" t="s">
        <v>297</v>
      </c>
      <c r="AG32" s="136">
        <v>114.7</v>
      </c>
      <c r="AH32" s="136">
        <v>90</v>
      </c>
      <c r="AI32" s="136">
        <v>90.22</v>
      </c>
      <c r="AL32" s="853">
        <v>2009</v>
      </c>
      <c r="AM32" s="853">
        <v>3</v>
      </c>
      <c r="AN32" s="854">
        <v>40086</v>
      </c>
      <c r="AO32" s="136">
        <f t="shared" si="3"/>
        <v>106.86667287803968</v>
      </c>
      <c r="AP32" s="136">
        <f t="shared" si="4"/>
        <v>15.511090429657203</v>
      </c>
      <c r="AQ32" s="136">
        <f t="shared" si="5"/>
        <v>131.87455692224489</v>
      </c>
      <c r="AS32" s="853">
        <v>2009</v>
      </c>
      <c r="AT32" s="853">
        <v>3</v>
      </c>
      <c r="AU32" s="854">
        <v>40086</v>
      </c>
      <c r="AV32" s="845">
        <f t="shared" si="6"/>
        <v>0.18580459577884051</v>
      </c>
      <c r="AW32" s="845">
        <f t="shared" si="7"/>
        <v>0.21036562900480024</v>
      </c>
      <c r="AX32" s="845">
        <f t="shared" si="8"/>
        <v>2.4300000000000002E-2</v>
      </c>
      <c r="AY32" s="845">
        <f t="shared" si="9"/>
        <v>3.1899999999999998E-2</v>
      </c>
      <c r="AZ32" s="845">
        <f t="shared" si="10"/>
        <v>4.5499999999999999E-2</v>
      </c>
      <c r="BA32" s="845">
        <f t="shared" si="11"/>
        <v>1.66E-2</v>
      </c>
      <c r="BB32" s="845">
        <f t="shared" si="12"/>
        <v>2.7109999999999999E-2</v>
      </c>
      <c r="BC32" s="845">
        <f t="shared" si="13"/>
        <v>0.3341764221322413</v>
      </c>
      <c r="BD32" s="845">
        <f t="shared" si="14"/>
        <v>-1.7623414639646316E-2</v>
      </c>
    </row>
    <row r="33" spans="1:56">
      <c r="A33" s="863">
        <v>2009</v>
      </c>
      <c r="B33" s="863">
        <v>2</v>
      </c>
      <c r="C33" s="864">
        <v>39994</v>
      </c>
      <c r="D33" s="136">
        <f t="shared" si="0"/>
        <v>98.678262367072804</v>
      </c>
      <c r="E33" s="136">
        <f t="shared" si="1"/>
        <v>13.982645982708126</v>
      </c>
      <c r="F33" s="136">
        <f t="shared" si="2"/>
        <v>127.66924380309031</v>
      </c>
      <c r="G33" s="136">
        <v>114.60000000000001</v>
      </c>
      <c r="H33" s="136">
        <v>90</v>
      </c>
      <c r="I33" s="136">
        <v>91.02</v>
      </c>
      <c r="J33" s="136">
        <v>0.19</v>
      </c>
      <c r="L33" s="136">
        <v>298.97000000000003</v>
      </c>
      <c r="M33" s="136">
        <v>1316.3890000000001</v>
      </c>
      <c r="N33" s="846">
        <v>2.13</v>
      </c>
      <c r="O33" s="846">
        <v>0.27</v>
      </c>
      <c r="P33" s="846">
        <v>1.82</v>
      </c>
      <c r="Q33" s="846">
        <v>0.88</v>
      </c>
      <c r="R33" s="846">
        <v>0.27200000000000002</v>
      </c>
      <c r="S33" s="136">
        <v>861.91</v>
      </c>
      <c r="T33" s="136">
        <v>4257.2340000000004</v>
      </c>
      <c r="Y33" s="853">
        <v>2009</v>
      </c>
      <c r="Z33" s="853">
        <v>2</v>
      </c>
      <c r="AA33" s="854">
        <v>39994</v>
      </c>
      <c r="AB33" s="136">
        <v>6.4365500000000004</v>
      </c>
      <c r="AC33" s="136">
        <v>1.1613500000000001</v>
      </c>
      <c r="AD33" s="136">
        <v>0.71293600000000001</v>
      </c>
      <c r="AF33" s="138" t="s">
        <v>298</v>
      </c>
      <c r="AG33" s="136">
        <v>114.60000000000001</v>
      </c>
      <c r="AH33" s="136">
        <v>90</v>
      </c>
      <c r="AI33" s="136">
        <v>91.02</v>
      </c>
      <c r="AL33" s="853">
        <v>2009</v>
      </c>
      <c r="AM33" s="853">
        <v>2</v>
      </c>
      <c r="AN33" s="854">
        <v>39994</v>
      </c>
      <c r="AO33" s="136">
        <f t="shared" si="3"/>
        <v>98.678262367072804</v>
      </c>
      <c r="AP33" s="136">
        <f t="shared" si="4"/>
        <v>13.982645982708126</v>
      </c>
      <c r="AQ33" s="136">
        <f t="shared" si="5"/>
        <v>127.66924380309031</v>
      </c>
      <c r="AS33" s="853">
        <v>2009</v>
      </c>
      <c r="AT33" s="853">
        <v>2</v>
      </c>
      <c r="AU33" s="854">
        <v>39994</v>
      </c>
      <c r="AV33" s="845">
        <f t="shared" si="6"/>
        <v>0.22338161879040852</v>
      </c>
      <c r="AW33" s="845">
        <f t="shared" si="7"/>
        <v>0.34843316575090466</v>
      </c>
      <c r="AX33" s="845">
        <f t="shared" si="8"/>
        <v>2.1299999999999999E-2</v>
      </c>
      <c r="AY33" s="845">
        <f t="shared" si="9"/>
        <v>2.7000000000000001E-3</v>
      </c>
      <c r="AZ33" s="845">
        <f t="shared" si="10"/>
        <v>1.8200000000000001E-2</v>
      </c>
      <c r="BA33" s="845">
        <f t="shared" si="11"/>
        <v>8.8000000000000005E-3</v>
      </c>
      <c r="BB33" s="845">
        <f t="shared" si="12"/>
        <v>2.7200000000000002E-3</v>
      </c>
      <c r="BC33" s="845">
        <f t="shared" si="13"/>
        <v>0.28001366282523454</v>
      </c>
      <c r="BD33" s="845">
        <f t="shared" si="14"/>
        <v>0.19242903798645464</v>
      </c>
    </row>
    <row r="34" spans="1:56">
      <c r="A34" s="863">
        <v>2009</v>
      </c>
      <c r="B34" s="863">
        <v>1</v>
      </c>
      <c r="C34" s="864">
        <v>39903</v>
      </c>
      <c r="D34" s="136">
        <f t="shared" si="0"/>
        <v>90.291300719310101</v>
      </c>
      <c r="E34" s="136">
        <f t="shared" si="1"/>
        <v>13.206261755601961</v>
      </c>
      <c r="F34" s="136">
        <f t="shared" si="2"/>
        <v>119.54613891463153</v>
      </c>
      <c r="G34" s="136">
        <v>113.60000000000001</v>
      </c>
      <c r="H34" s="136">
        <v>89.17</v>
      </c>
      <c r="I34" s="136">
        <v>90.04</v>
      </c>
      <c r="J34" s="136">
        <v>0.21</v>
      </c>
      <c r="L34" s="136">
        <v>244.38</v>
      </c>
      <c r="M34" s="136">
        <v>976.23599999999999</v>
      </c>
      <c r="N34" s="846">
        <v>1.04</v>
      </c>
      <c r="O34" s="846">
        <v>2.84</v>
      </c>
      <c r="P34" s="846">
        <v>4.1500000000000004</v>
      </c>
      <c r="Q34" s="846">
        <v>5.83</v>
      </c>
      <c r="R34" s="846">
        <v>1.587</v>
      </c>
      <c r="S34" s="136">
        <v>673.36</v>
      </c>
      <c r="T34" s="136">
        <v>3570.2200000000003</v>
      </c>
      <c r="Y34" s="853">
        <v>2009</v>
      </c>
      <c r="Z34" s="853">
        <v>1</v>
      </c>
      <c r="AA34" s="854">
        <v>39903</v>
      </c>
      <c r="AB34" s="136">
        <v>6.7521000000000004</v>
      </c>
      <c r="AC34" s="136">
        <v>1.2581500000000001</v>
      </c>
      <c r="AD34" s="136">
        <v>0.75318200000000002</v>
      </c>
      <c r="AF34" s="138" t="s">
        <v>299</v>
      </c>
      <c r="AG34" s="136">
        <v>113.60000000000001</v>
      </c>
      <c r="AH34" s="136">
        <v>89.17</v>
      </c>
      <c r="AI34" s="136">
        <v>90.04</v>
      </c>
      <c r="AL34" s="853">
        <v>2009</v>
      </c>
      <c r="AM34" s="853">
        <v>1</v>
      </c>
      <c r="AN34" s="854">
        <v>39903</v>
      </c>
      <c r="AO34" s="136">
        <f t="shared" si="3"/>
        <v>90.291300719310101</v>
      </c>
      <c r="AP34" s="136">
        <f t="shared" si="4"/>
        <v>13.206261755601961</v>
      </c>
      <c r="AQ34" s="136">
        <f t="shared" si="5"/>
        <v>119.54613891463153</v>
      </c>
      <c r="AS34" s="853">
        <v>2009</v>
      </c>
      <c r="AT34" s="853">
        <v>1</v>
      </c>
      <c r="AU34" s="854">
        <v>39903</v>
      </c>
      <c r="AV34" s="845">
        <f t="shared" si="6"/>
        <v>-0.11587858615824329</v>
      </c>
      <c r="AW34" s="845">
        <f t="shared" si="7"/>
        <v>1.0236520328164647E-2</v>
      </c>
      <c r="AX34" s="845">
        <f t="shared" si="8"/>
        <v>1.04E-2</v>
      </c>
      <c r="AY34" s="845">
        <f t="shared" si="9"/>
        <v>2.8399999999999998E-2</v>
      </c>
      <c r="AZ34" s="845">
        <f t="shared" si="10"/>
        <v>4.1500000000000002E-2</v>
      </c>
      <c r="BA34" s="845">
        <f t="shared" si="11"/>
        <v>5.8299999999999998E-2</v>
      </c>
      <c r="BB34" s="845">
        <f t="shared" si="12"/>
        <v>1.5869999999999999E-2</v>
      </c>
      <c r="BC34" s="845">
        <f t="shared" si="13"/>
        <v>-0.26160999199499968</v>
      </c>
      <c r="BD34" s="845">
        <f t="shared" si="14"/>
        <v>-0.10641559076055616</v>
      </c>
    </row>
    <row r="35" spans="1:56">
      <c r="A35" s="863">
        <v>2008</v>
      </c>
      <c r="B35" s="863">
        <v>4</v>
      </c>
      <c r="C35" s="864">
        <v>39813</v>
      </c>
      <c r="D35" s="136">
        <f t="shared" ref="D35:D66" si="15">AO35</f>
        <v>92.345078979343853</v>
      </c>
      <c r="E35" s="136">
        <f t="shared" ref="E35:E66" si="16">AP35</f>
        <v>12.743319861184501</v>
      </c>
      <c r="F35" s="136">
        <f t="shared" ref="F35:F66" si="17">AQ35</f>
        <v>124.59010924396614</v>
      </c>
      <c r="G35" s="136">
        <v>114</v>
      </c>
      <c r="H35" s="136">
        <v>89.23</v>
      </c>
      <c r="I35" s="136">
        <v>89.63</v>
      </c>
      <c r="J35" s="136">
        <v>0.11</v>
      </c>
      <c r="L35" s="136">
        <v>276.41000000000003</v>
      </c>
      <c r="M35" s="136">
        <v>966.34400000000005</v>
      </c>
      <c r="N35" s="846">
        <v>6.44</v>
      </c>
      <c r="O35" s="846">
        <v>7.51</v>
      </c>
      <c r="P35" s="846">
        <v>8.69</v>
      </c>
      <c r="Q35" s="846">
        <v>7.59</v>
      </c>
      <c r="R35" s="846">
        <v>0.157</v>
      </c>
      <c r="S35" s="136">
        <v>911.93000000000006</v>
      </c>
      <c r="T35" s="136">
        <v>3995.3920000000003</v>
      </c>
      <c r="Y35" s="853">
        <v>2008</v>
      </c>
      <c r="Z35" s="853">
        <v>4</v>
      </c>
      <c r="AA35" s="854">
        <v>39813</v>
      </c>
      <c r="AB35" s="136">
        <v>7.0021000000000004</v>
      </c>
      <c r="AC35" s="136">
        <v>1.2345000000000002</v>
      </c>
      <c r="AD35" s="136">
        <v>0.71939900000000001</v>
      </c>
      <c r="AF35" s="138" t="s">
        <v>300</v>
      </c>
      <c r="AG35" s="136">
        <v>114</v>
      </c>
      <c r="AH35" s="136">
        <v>89.23</v>
      </c>
      <c r="AI35" s="136">
        <v>89.63</v>
      </c>
      <c r="AL35" s="853">
        <v>2008</v>
      </c>
      <c r="AM35" s="853">
        <v>4</v>
      </c>
      <c r="AN35" s="854">
        <v>39813</v>
      </c>
      <c r="AO35" s="136">
        <f t="shared" ref="AO35:AO66" si="18">AG35/AC35</f>
        <v>92.345078979343853</v>
      </c>
      <c r="AP35" s="136">
        <f t="shared" ref="AP35:AP66" si="19">AH35/AB35</f>
        <v>12.743319861184501</v>
      </c>
      <c r="AQ35" s="136">
        <f t="shared" ref="AQ35:AQ66" si="20">AI35/AD35</f>
        <v>124.59010924396614</v>
      </c>
      <c r="AS35" s="853">
        <v>2008</v>
      </c>
      <c r="AT35" s="853">
        <v>4</v>
      </c>
      <c r="AU35" s="854">
        <v>39813</v>
      </c>
      <c r="AV35" s="845">
        <f t="shared" ref="AV35:AV66" si="21">((L35-L36)/L36)</f>
        <v>-0.22398158286307862</v>
      </c>
      <c r="AW35" s="845">
        <f t="shared" ref="AW35:AW66" si="22">((M35-M36)/M36)</f>
        <v>-0.27558356235035175</v>
      </c>
      <c r="AX35" s="845">
        <f t="shared" ref="AX35:AX66" si="23">N35/100</f>
        <v>6.4399999999999999E-2</v>
      </c>
      <c r="AY35" s="845">
        <f t="shared" ref="AY35:AY66" si="24">O35/100</f>
        <v>7.51E-2</v>
      </c>
      <c r="AZ35" s="845">
        <f t="shared" ref="AZ35:AZ66" si="25">P35/100</f>
        <v>8.6899999999999991E-2</v>
      </c>
      <c r="BA35" s="845">
        <f t="shared" ref="BA35:BA66" si="26">Q35/100</f>
        <v>7.5899999999999995E-2</v>
      </c>
      <c r="BB35" s="845">
        <f t="shared" ref="BB35:BB66" si="27">R35/100</f>
        <v>1.57E-3</v>
      </c>
      <c r="BC35" s="845" t="e">
        <f t="shared" ref="BC35:BC66" si="28">((S35-S36)/S36)</f>
        <v>#N/A</v>
      </c>
      <c r="BD35" s="845">
        <f t="shared" ref="BD35:BD66" si="29">((T35-T36)/T36)</f>
        <v>-0.46998801454703676</v>
      </c>
    </row>
    <row r="36" spans="1:56">
      <c r="A36" s="863">
        <v>2008</v>
      </c>
      <c r="B36" s="863">
        <v>3</v>
      </c>
      <c r="C36" s="864">
        <v>39721</v>
      </c>
      <c r="D36" s="136">
        <f t="shared" si="15"/>
        <v>108.8224228743416</v>
      </c>
      <c r="E36" s="136">
        <f t="shared" si="16"/>
        <v>14.951879979026776</v>
      </c>
      <c r="F36" s="136">
        <f t="shared" si="17"/>
        <v>126.36233514673681</v>
      </c>
      <c r="G36" s="136">
        <v>115.7</v>
      </c>
      <c r="H36" s="136">
        <v>88.4</v>
      </c>
      <c r="I36" s="136">
        <v>89.960000000000008</v>
      </c>
      <c r="J36" s="136">
        <v>0.9</v>
      </c>
      <c r="L36" s="136">
        <v>356.19</v>
      </c>
      <c r="M36" s="136">
        <v>1333.962</v>
      </c>
      <c r="N36" s="846">
        <v>-7.54</v>
      </c>
      <c r="O36" s="846">
        <v>-3.2600000000000002</v>
      </c>
      <c r="P36" s="846">
        <v>-6.87</v>
      </c>
      <c r="Q36" s="846">
        <v>-5.14</v>
      </c>
      <c r="R36" s="846">
        <v>-6.2050000000000001</v>
      </c>
      <c r="S36" s="136" t="e">
        <v>#N/A</v>
      </c>
      <c r="T36" s="136">
        <v>7538.3050000000003</v>
      </c>
      <c r="Y36" s="853">
        <v>2008</v>
      </c>
      <c r="Z36" s="853">
        <v>3</v>
      </c>
      <c r="AA36" s="854">
        <v>39721</v>
      </c>
      <c r="AB36" s="136">
        <v>5.9123000000000001</v>
      </c>
      <c r="AC36" s="136">
        <v>1.0632000000000001</v>
      </c>
      <c r="AD36" s="136">
        <v>0.71192099999999991</v>
      </c>
      <c r="AF36" s="138" t="s">
        <v>301</v>
      </c>
      <c r="AG36" s="136">
        <v>115.7</v>
      </c>
      <c r="AH36" s="136">
        <v>88.4</v>
      </c>
      <c r="AI36" s="136">
        <v>89.960000000000008</v>
      </c>
      <c r="AL36" s="853">
        <v>2008</v>
      </c>
      <c r="AM36" s="853">
        <v>3</v>
      </c>
      <c r="AN36" s="854">
        <v>39721</v>
      </c>
      <c r="AO36" s="136">
        <f t="shared" si="18"/>
        <v>108.8224228743416</v>
      </c>
      <c r="AP36" s="136">
        <f t="shared" si="19"/>
        <v>14.951879979026776</v>
      </c>
      <c r="AQ36" s="136">
        <f t="shared" si="20"/>
        <v>126.36233514673681</v>
      </c>
      <c r="AS36" s="853">
        <v>2008</v>
      </c>
      <c r="AT36" s="853">
        <v>3</v>
      </c>
      <c r="AU36" s="854">
        <v>39721</v>
      </c>
      <c r="AV36" s="845">
        <f t="shared" si="21"/>
        <v>-0.15358110355971674</v>
      </c>
      <c r="AW36" s="845">
        <f t="shared" si="22"/>
        <v>-0.26857777641309982</v>
      </c>
      <c r="AX36" s="845">
        <f t="shared" si="23"/>
        <v>-7.5399999999999995E-2</v>
      </c>
      <c r="AY36" s="845">
        <f t="shared" si="24"/>
        <v>-3.2600000000000004E-2</v>
      </c>
      <c r="AZ36" s="845">
        <f t="shared" si="25"/>
        <v>-6.8699999999999997E-2</v>
      </c>
      <c r="BA36" s="845">
        <f t="shared" si="26"/>
        <v>-5.1399999999999994E-2</v>
      </c>
      <c r="BB36" s="845">
        <f t="shared" si="27"/>
        <v>-6.2050000000000001E-2</v>
      </c>
      <c r="BC36" s="845" t="e">
        <f t="shared" si="28"/>
        <v>#N/A</v>
      </c>
      <c r="BD36" s="845">
        <f t="shared" si="29"/>
        <v>-0.28605408835409823</v>
      </c>
    </row>
    <row r="37" spans="1:56">
      <c r="A37" s="863">
        <v>2008</v>
      </c>
      <c r="B37" s="863">
        <v>2</v>
      </c>
      <c r="C37" s="864">
        <v>39629</v>
      </c>
      <c r="D37" s="136">
        <f t="shared" si="15"/>
        <v>112.85791730323788</v>
      </c>
      <c r="E37" s="136">
        <f t="shared" si="16"/>
        <v>17.133769841659383</v>
      </c>
      <c r="F37" s="136">
        <f t="shared" si="17"/>
        <v>141.1377676662481</v>
      </c>
      <c r="G37" s="136">
        <v>114.5</v>
      </c>
      <c r="H37" s="136">
        <v>87.27</v>
      </c>
      <c r="I37" s="136">
        <v>89.58</v>
      </c>
      <c r="J37" s="136">
        <v>1.87</v>
      </c>
      <c r="L37" s="136">
        <v>420.82</v>
      </c>
      <c r="M37" s="136">
        <v>1823.7920000000001</v>
      </c>
      <c r="N37" s="846">
        <v>-0.39</v>
      </c>
      <c r="O37" s="846">
        <v>-0.52</v>
      </c>
      <c r="P37" s="846">
        <v>-1.98</v>
      </c>
      <c r="Q37" s="846">
        <v>1.8</v>
      </c>
      <c r="R37" s="846">
        <v>-1.1559999999999999</v>
      </c>
      <c r="S37" s="136" t="e">
        <v>#N/A</v>
      </c>
      <c r="T37" s="136">
        <v>10558.65</v>
      </c>
      <c r="Y37" s="853">
        <v>2008</v>
      </c>
      <c r="Z37" s="853">
        <v>2</v>
      </c>
      <c r="AA37" s="854">
        <v>39629</v>
      </c>
      <c r="AB37" s="136">
        <v>5.0934500000000007</v>
      </c>
      <c r="AC37" s="136">
        <v>1.0145500000000001</v>
      </c>
      <c r="AD37" s="136">
        <v>0.63469900000000001</v>
      </c>
      <c r="AF37" s="138" t="s">
        <v>302</v>
      </c>
      <c r="AG37" s="136">
        <v>114.5</v>
      </c>
      <c r="AH37" s="136">
        <v>87.27</v>
      </c>
      <c r="AI37" s="136">
        <v>89.58</v>
      </c>
      <c r="AL37" s="853">
        <v>2008</v>
      </c>
      <c r="AM37" s="853">
        <v>2</v>
      </c>
      <c r="AN37" s="854">
        <v>39629</v>
      </c>
      <c r="AO37" s="136">
        <f t="shared" si="18"/>
        <v>112.85791730323788</v>
      </c>
      <c r="AP37" s="136">
        <f t="shared" si="19"/>
        <v>17.133769841659383</v>
      </c>
      <c r="AQ37" s="136">
        <f t="shared" si="20"/>
        <v>141.1377676662481</v>
      </c>
      <c r="AS37" s="853">
        <v>2008</v>
      </c>
      <c r="AT37" s="853">
        <v>2</v>
      </c>
      <c r="AU37" s="854">
        <v>39629</v>
      </c>
      <c r="AV37" s="845">
        <f t="shared" si="21"/>
        <v>-1.4911397738711123E-2</v>
      </c>
      <c r="AW37" s="845">
        <f t="shared" si="22"/>
        <v>-8.0647442103316466E-3</v>
      </c>
      <c r="AX37" s="845">
        <f t="shared" si="23"/>
        <v>-3.9000000000000003E-3</v>
      </c>
      <c r="AY37" s="845">
        <f t="shared" si="24"/>
        <v>-5.1999999999999998E-3</v>
      </c>
      <c r="AZ37" s="845">
        <f t="shared" si="25"/>
        <v>-1.9799999999999998E-2</v>
      </c>
      <c r="BA37" s="845">
        <f t="shared" si="26"/>
        <v>1.8000000000000002E-2</v>
      </c>
      <c r="BB37" s="845">
        <f t="shared" si="27"/>
        <v>-1.1559999999999999E-2</v>
      </c>
      <c r="BC37" s="845" t="e">
        <f t="shared" si="28"/>
        <v>#N/A</v>
      </c>
      <c r="BD37" s="845">
        <f t="shared" si="29"/>
        <v>0.2865009061487252</v>
      </c>
    </row>
    <row r="38" spans="1:56">
      <c r="A38" s="863">
        <v>2008</v>
      </c>
      <c r="B38" s="863">
        <v>1</v>
      </c>
      <c r="C38" s="864">
        <v>39538</v>
      </c>
      <c r="D38" s="136">
        <f t="shared" si="15"/>
        <v>109.35139613079284</v>
      </c>
      <c r="E38" s="136">
        <f t="shared" si="16"/>
        <v>17.125990062478476</v>
      </c>
      <c r="F38" s="136">
        <f t="shared" si="17"/>
        <v>139.93161082184272</v>
      </c>
      <c r="G38" s="136">
        <v>112.2</v>
      </c>
      <c r="H38" s="136">
        <v>87.03</v>
      </c>
      <c r="I38" s="136">
        <v>88.31</v>
      </c>
      <c r="J38" s="136">
        <v>1.36</v>
      </c>
      <c r="L38" s="136">
        <v>427.19</v>
      </c>
      <c r="M38" s="136">
        <v>1838.6200000000001</v>
      </c>
      <c r="N38" s="846">
        <v>0.13</v>
      </c>
      <c r="O38" s="846">
        <v>1.78</v>
      </c>
      <c r="P38" s="846">
        <v>-0.2</v>
      </c>
      <c r="Q38" s="846">
        <v>1.75</v>
      </c>
      <c r="R38" s="846">
        <v>-2.0619999999999998</v>
      </c>
      <c r="S38" s="136" t="e">
        <v>#N/A</v>
      </c>
      <c r="T38" s="136">
        <v>8207.2620000000006</v>
      </c>
      <c r="Y38" s="853">
        <v>2008</v>
      </c>
      <c r="Z38" s="853">
        <v>1</v>
      </c>
      <c r="AA38" s="854">
        <v>39538</v>
      </c>
      <c r="AB38" s="136">
        <v>5.0817500000000004</v>
      </c>
      <c r="AC38" s="136">
        <v>1.0260500000000001</v>
      </c>
      <c r="AD38" s="136">
        <v>0.63109399999999993</v>
      </c>
      <c r="AF38" s="138" t="s">
        <v>303</v>
      </c>
      <c r="AG38" s="136">
        <v>112.2</v>
      </c>
      <c r="AH38" s="136">
        <v>87.03</v>
      </c>
      <c r="AI38" s="136">
        <v>88.31</v>
      </c>
      <c r="AL38" s="853">
        <v>2008</v>
      </c>
      <c r="AM38" s="853">
        <v>1</v>
      </c>
      <c r="AN38" s="854">
        <v>39538</v>
      </c>
      <c r="AO38" s="136">
        <f t="shared" si="18"/>
        <v>109.35139613079284</v>
      </c>
      <c r="AP38" s="136">
        <f t="shared" si="19"/>
        <v>17.125990062478476</v>
      </c>
      <c r="AQ38" s="136">
        <f t="shared" si="20"/>
        <v>139.93161082184272</v>
      </c>
      <c r="AS38" s="853">
        <v>2008</v>
      </c>
      <c r="AT38" s="853">
        <v>1</v>
      </c>
      <c r="AU38" s="854">
        <v>39538</v>
      </c>
      <c r="AV38" s="845">
        <f t="shared" si="21"/>
        <v>-8.9457754284252761E-2</v>
      </c>
      <c r="AW38" s="845">
        <f t="shared" si="22"/>
        <v>-0.10924277739208531</v>
      </c>
      <c r="AX38" s="845">
        <f t="shared" si="23"/>
        <v>1.2999999999999999E-3</v>
      </c>
      <c r="AY38" s="845">
        <f t="shared" si="24"/>
        <v>1.78E-2</v>
      </c>
      <c r="AZ38" s="845">
        <f t="shared" si="25"/>
        <v>-2E-3</v>
      </c>
      <c r="BA38" s="845">
        <f t="shared" si="26"/>
        <v>1.7500000000000002E-2</v>
      </c>
      <c r="BB38" s="845">
        <f t="shared" si="27"/>
        <v>-2.0619999999999999E-2</v>
      </c>
      <c r="BC38" s="845" t="e">
        <f t="shared" si="28"/>
        <v>#N/A</v>
      </c>
      <c r="BD38" s="845">
        <f t="shared" si="29"/>
        <v>9.9241297258868766E-2</v>
      </c>
    </row>
    <row r="39" spans="1:56">
      <c r="A39" s="863">
        <v>2007</v>
      </c>
      <c r="B39" s="863">
        <v>4</v>
      </c>
      <c r="C39" s="864">
        <v>39447</v>
      </c>
      <c r="D39" s="136">
        <f t="shared" si="15"/>
        <v>113.27828157454785</v>
      </c>
      <c r="E39" s="136">
        <f t="shared" si="16"/>
        <v>15.869683324585393</v>
      </c>
      <c r="F39" s="136">
        <f t="shared" si="17"/>
        <v>128.06098504176347</v>
      </c>
      <c r="G39" s="136">
        <v>111.80000000000001</v>
      </c>
      <c r="H39" s="136">
        <v>86.17</v>
      </c>
      <c r="I39" s="136">
        <v>87.59</v>
      </c>
      <c r="J39" s="136">
        <v>3.29</v>
      </c>
      <c r="L39" s="136">
        <v>469.16</v>
      </c>
      <c r="M39" s="136">
        <v>2064.1089999999999</v>
      </c>
      <c r="N39" s="846">
        <v>-0.38</v>
      </c>
      <c r="O39" s="846">
        <v>-0.18</v>
      </c>
      <c r="P39" s="846">
        <v>0.63</v>
      </c>
      <c r="Q39" s="846">
        <v>-0.67</v>
      </c>
      <c r="R39" s="846">
        <v>0.46600000000000003</v>
      </c>
      <c r="S39" s="136" t="e">
        <v>#N/A</v>
      </c>
      <c r="T39" s="136">
        <v>7466.2970000000005</v>
      </c>
      <c r="Y39" s="853">
        <v>2007</v>
      </c>
      <c r="Z39" s="853">
        <v>4</v>
      </c>
      <c r="AA39" s="854">
        <v>39447</v>
      </c>
      <c r="AB39" s="136">
        <v>5.4298500000000001</v>
      </c>
      <c r="AC39" s="136">
        <v>0.9869500000000001</v>
      </c>
      <c r="AD39" s="136">
        <v>0.683971</v>
      </c>
      <c r="AF39" s="138" t="s">
        <v>304</v>
      </c>
      <c r="AG39" s="136">
        <v>111.80000000000001</v>
      </c>
      <c r="AH39" s="136">
        <v>86.17</v>
      </c>
      <c r="AI39" s="136">
        <v>87.59</v>
      </c>
      <c r="AL39" s="853">
        <v>2007</v>
      </c>
      <c r="AM39" s="853">
        <v>4</v>
      </c>
      <c r="AN39" s="854">
        <v>39447</v>
      </c>
      <c r="AO39" s="136">
        <f t="shared" si="18"/>
        <v>113.27828157454785</v>
      </c>
      <c r="AP39" s="136">
        <f t="shared" si="19"/>
        <v>15.869683324585393</v>
      </c>
      <c r="AQ39" s="136">
        <f t="shared" si="20"/>
        <v>128.06098504176347</v>
      </c>
      <c r="AS39" s="853">
        <v>2007</v>
      </c>
      <c r="AT39" s="853">
        <v>4</v>
      </c>
      <c r="AU39" s="854">
        <v>39447</v>
      </c>
      <c r="AV39" s="845">
        <f t="shared" si="21"/>
        <v>-2.5081561831141019E-2</v>
      </c>
      <c r="AW39" s="845">
        <f t="shared" si="22"/>
        <v>3.6558346013428333E-2</v>
      </c>
      <c r="AX39" s="845">
        <f t="shared" si="23"/>
        <v>-3.8E-3</v>
      </c>
      <c r="AY39" s="845">
        <f t="shared" si="24"/>
        <v>-1.8E-3</v>
      </c>
      <c r="AZ39" s="845">
        <f t="shared" si="25"/>
        <v>6.3E-3</v>
      </c>
      <c r="BA39" s="845">
        <f t="shared" si="26"/>
        <v>-6.7000000000000002E-3</v>
      </c>
      <c r="BB39" s="845">
        <f t="shared" si="27"/>
        <v>4.6600000000000001E-3</v>
      </c>
      <c r="BC39" s="845" t="e">
        <f t="shared" si="28"/>
        <v>#N/A</v>
      </c>
      <c r="BD39" s="845">
        <f t="shared" si="29"/>
        <v>0.11639953491682514</v>
      </c>
    </row>
    <row r="40" spans="1:56">
      <c r="A40" s="863">
        <v>2007</v>
      </c>
      <c r="B40" s="863">
        <v>3</v>
      </c>
      <c r="C40" s="864">
        <v>39355</v>
      </c>
      <c r="D40" s="136">
        <f t="shared" si="15"/>
        <v>112.60943946865251</v>
      </c>
      <c r="E40" s="136">
        <f t="shared" si="16"/>
        <v>15.571026787772604</v>
      </c>
      <c r="F40" s="136">
        <f t="shared" si="17"/>
        <v>124.01142839264409</v>
      </c>
      <c r="G40" s="136">
        <v>111.9</v>
      </c>
      <c r="H40" s="136">
        <v>84.43</v>
      </c>
      <c r="I40" s="136">
        <v>87.2</v>
      </c>
      <c r="J40" s="136">
        <v>3.72</v>
      </c>
      <c r="L40" s="136">
        <v>481.23</v>
      </c>
      <c r="M40" s="136">
        <v>1991.31</v>
      </c>
      <c r="N40" s="846">
        <v>1.98</v>
      </c>
      <c r="O40" s="846">
        <v>2.27</v>
      </c>
      <c r="P40" s="846">
        <v>2.31</v>
      </c>
      <c r="Q40" s="846">
        <v>2.5500000000000003</v>
      </c>
      <c r="R40" s="846">
        <v>2.4390000000000001</v>
      </c>
      <c r="S40" s="136" t="e">
        <v>#N/A</v>
      </c>
      <c r="T40" s="136">
        <v>6687.8360000000002</v>
      </c>
      <c r="Y40" s="853">
        <v>2007</v>
      </c>
      <c r="Z40" s="853">
        <v>3</v>
      </c>
      <c r="AA40" s="854">
        <v>39355</v>
      </c>
      <c r="AB40" s="136">
        <v>5.42225</v>
      </c>
      <c r="AC40" s="136">
        <v>0.99370000000000003</v>
      </c>
      <c r="AD40" s="136">
        <v>0.70316099999999992</v>
      </c>
      <c r="AF40" s="138" t="s">
        <v>305</v>
      </c>
      <c r="AG40" s="136">
        <v>111.9</v>
      </c>
      <c r="AH40" s="136">
        <v>84.43</v>
      </c>
      <c r="AI40" s="136">
        <v>87.2</v>
      </c>
      <c r="AL40" s="853">
        <v>2007</v>
      </c>
      <c r="AM40" s="853">
        <v>3</v>
      </c>
      <c r="AN40" s="854">
        <v>39355</v>
      </c>
      <c r="AO40" s="136">
        <f t="shared" si="18"/>
        <v>112.60943946865251</v>
      </c>
      <c r="AP40" s="136">
        <f t="shared" si="19"/>
        <v>15.571026787772604</v>
      </c>
      <c r="AQ40" s="136">
        <f t="shared" si="20"/>
        <v>124.01142839264409</v>
      </c>
      <c r="AS40" s="853">
        <v>2007</v>
      </c>
      <c r="AT40" s="853">
        <v>3</v>
      </c>
      <c r="AU40" s="854">
        <v>39355</v>
      </c>
      <c r="AV40" s="845">
        <f t="shared" si="21"/>
        <v>2.0722860900182372E-2</v>
      </c>
      <c r="AW40" s="845">
        <f t="shared" si="22"/>
        <v>0.1452149143465441</v>
      </c>
      <c r="AX40" s="845">
        <f t="shared" si="23"/>
        <v>1.9799999999999998E-2</v>
      </c>
      <c r="AY40" s="845">
        <f t="shared" si="24"/>
        <v>2.2700000000000001E-2</v>
      </c>
      <c r="AZ40" s="845">
        <f t="shared" si="25"/>
        <v>2.3099999999999999E-2</v>
      </c>
      <c r="BA40" s="845">
        <f t="shared" si="26"/>
        <v>2.5500000000000002E-2</v>
      </c>
      <c r="BB40" s="845">
        <f t="shared" si="27"/>
        <v>2.4390000000000002E-2</v>
      </c>
      <c r="BC40" s="845" t="e">
        <f t="shared" si="28"/>
        <v>#N/A</v>
      </c>
      <c r="BD40" s="845">
        <f t="shared" si="29"/>
        <v>0.1146800191540325</v>
      </c>
    </row>
    <row r="41" spans="1:56">
      <c r="A41" s="863">
        <v>2007</v>
      </c>
      <c r="B41" s="863">
        <v>2</v>
      </c>
      <c r="C41" s="864">
        <v>39263</v>
      </c>
      <c r="D41" s="136">
        <f t="shared" si="15"/>
        <v>105.19388954171562</v>
      </c>
      <c r="E41" s="136">
        <f t="shared" si="16"/>
        <v>14.311715357200301</v>
      </c>
      <c r="F41" s="136">
        <f t="shared" si="17"/>
        <v>118.25417083649026</v>
      </c>
      <c r="G41" s="136">
        <v>111.9</v>
      </c>
      <c r="H41" s="136">
        <v>84.53</v>
      </c>
      <c r="I41" s="136">
        <v>87.56</v>
      </c>
      <c r="J41" s="136">
        <v>4.68</v>
      </c>
      <c r="L41" s="136">
        <v>471.46000000000004</v>
      </c>
      <c r="M41" s="136">
        <v>1738.809</v>
      </c>
      <c r="N41" s="846">
        <v>-0.33</v>
      </c>
      <c r="O41" s="846">
        <v>-0.48</v>
      </c>
      <c r="P41" s="846">
        <v>-1.73</v>
      </c>
      <c r="Q41" s="846">
        <v>7.0000000000000007E-2</v>
      </c>
      <c r="R41" s="846">
        <v>0.623</v>
      </c>
      <c r="S41" s="136" t="e">
        <v>#N/A</v>
      </c>
      <c r="T41" s="136">
        <v>5999.7809999999999</v>
      </c>
      <c r="Y41" s="853">
        <v>2007</v>
      </c>
      <c r="Z41" s="853">
        <v>2</v>
      </c>
      <c r="AA41" s="854">
        <v>39263</v>
      </c>
      <c r="AB41" s="136">
        <v>5.9063500000000007</v>
      </c>
      <c r="AC41" s="136">
        <v>1.0637500000000002</v>
      </c>
      <c r="AD41" s="136">
        <v>0.74043899999999996</v>
      </c>
      <c r="AF41" s="138" t="s">
        <v>306</v>
      </c>
      <c r="AG41" s="136">
        <v>111.9</v>
      </c>
      <c r="AH41" s="136">
        <v>84.53</v>
      </c>
      <c r="AI41" s="136">
        <v>87.56</v>
      </c>
      <c r="AL41" s="853">
        <v>2007</v>
      </c>
      <c r="AM41" s="853">
        <v>2</v>
      </c>
      <c r="AN41" s="854">
        <v>39263</v>
      </c>
      <c r="AO41" s="136">
        <f t="shared" si="18"/>
        <v>105.19388954171562</v>
      </c>
      <c r="AP41" s="136">
        <f t="shared" si="19"/>
        <v>14.311715357200301</v>
      </c>
      <c r="AQ41" s="136">
        <f t="shared" si="20"/>
        <v>118.25417083649026</v>
      </c>
      <c r="AS41" s="853">
        <v>2007</v>
      </c>
      <c r="AT41" s="853">
        <v>2</v>
      </c>
      <c r="AU41" s="854">
        <v>39263</v>
      </c>
      <c r="AV41" s="845">
        <f t="shared" si="21"/>
        <v>6.817409429730166E-2</v>
      </c>
      <c r="AW41" s="845">
        <f t="shared" si="22"/>
        <v>0.15071982486489624</v>
      </c>
      <c r="AX41" s="845">
        <f t="shared" si="23"/>
        <v>-3.3E-3</v>
      </c>
      <c r="AY41" s="845">
        <f t="shared" si="24"/>
        <v>-4.7999999999999996E-3</v>
      </c>
      <c r="AZ41" s="845">
        <f t="shared" si="25"/>
        <v>-1.7299999999999999E-2</v>
      </c>
      <c r="BA41" s="845">
        <f t="shared" si="26"/>
        <v>7.000000000000001E-4</v>
      </c>
      <c r="BB41" s="845">
        <f t="shared" si="27"/>
        <v>6.2300000000000003E-3</v>
      </c>
      <c r="BC41" s="845" t="e">
        <f t="shared" si="28"/>
        <v>#N/A</v>
      </c>
      <c r="BD41" s="845">
        <f t="shared" si="29"/>
        <v>1.3382885061126863E-2</v>
      </c>
    </row>
    <row r="42" spans="1:56">
      <c r="A42" s="863">
        <v>2007</v>
      </c>
      <c r="B42" s="863">
        <v>1</v>
      </c>
      <c r="C42" s="864">
        <v>39172</v>
      </c>
      <c r="D42" s="136">
        <f t="shared" si="15"/>
        <v>95.522905560611974</v>
      </c>
      <c r="E42" s="136">
        <f t="shared" si="16"/>
        <v>13.772710145639815</v>
      </c>
      <c r="F42" s="136">
        <f t="shared" si="17"/>
        <v>115.09125034942696</v>
      </c>
      <c r="G42" s="136">
        <v>110.2</v>
      </c>
      <c r="H42" s="136">
        <v>84.070000000000007</v>
      </c>
      <c r="I42" s="136">
        <v>86.460000000000008</v>
      </c>
      <c r="J42" s="136">
        <v>4.9000000000000004</v>
      </c>
      <c r="L42" s="136">
        <v>441.37</v>
      </c>
      <c r="M42" s="136">
        <v>1511.0620000000001</v>
      </c>
      <c r="N42" s="846">
        <v>-0.15</v>
      </c>
      <c r="O42" s="846">
        <v>0.37</v>
      </c>
      <c r="P42" s="846">
        <v>0.81</v>
      </c>
      <c r="Q42" s="846">
        <v>-0.1</v>
      </c>
      <c r="R42" s="846">
        <v>0.81</v>
      </c>
      <c r="S42" s="136" t="e">
        <v>#N/A</v>
      </c>
      <c r="T42" s="136">
        <v>5920.5470000000005</v>
      </c>
      <c r="Y42" s="853">
        <v>2007</v>
      </c>
      <c r="Z42" s="853">
        <v>1</v>
      </c>
      <c r="AA42" s="854">
        <v>39172</v>
      </c>
      <c r="AB42" s="136">
        <v>6.1041000000000007</v>
      </c>
      <c r="AC42" s="136">
        <v>1.1536500000000001</v>
      </c>
      <c r="AD42" s="136">
        <v>0.75122999999999995</v>
      </c>
      <c r="AF42" s="138" t="s">
        <v>307</v>
      </c>
      <c r="AG42" s="136">
        <v>110.2</v>
      </c>
      <c r="AH42" s="136">
        <v>84.070000000000007</v>
      </c>
      <c r="AI42" s="136">
        <v>86.460000000000008</v>
      </c>
      <c r="AL42" s="853">
        <v>2007</v>
      </c>
      <c r="AM42" s="853">
        <v>1</v>
      </c>
      <c r="AN42" s="854">
        <v>39172</v>
      </c>
      <c r="AO42" s="136">
        <f t="shared" si="18"/>
        <v>95.522905560611974</v>
      </c>
      <c r="AP42" s="136">
        <f t="shared" si="19"/>
        <v>13.772710145639815</v>
      </c>
      <c r="AQ42" s="136">
        <f t="shared" si="20"/>
        <v>115.09125034942696</v>
      </c>
      <c r="AS42" s="853">
        <v>2007</v>
      </c>
      <c r="AT42" s="853">
        <v>1</v>
      </c>
      <c r="AU42" s="854">
        <v>39172</v>
      </c>
      <c r="AV42" s="845">
        <f t="shared" si="21"/>
        <v>2.9266358845203143E-2</v>
      </c>
      <c r="AW42" s="845">
        <f t="shared" si="22"/>
        <v>2.358899880032982E-2</v>
      </c>
      <c r="AX42" s="845">
        <f t="shared" si="23"/>
        <v>-1.5E-3</v>
      </c>
      <c r="AY42" s="845">
        <f t="shared" si="24"/>
        <v>3.7000000000000002E-3</v>
      </c>
      <c r="AZ42" s="845">
        <f t="shared" si="25"/>
        <v>8.1000000000000013E-3</v>
      </c>
      <c r="BA42" s="845">
        <f t="shared" si="26"/>
        <v>-1E-3</v>
      </c>
      <c r="BB42" s="845">
        <f t="shared" si="27"/>
        <v>8.1000000000000013E-3</v>
      </c>
      <c r="BC42" s="845" t="e">
        <f t="shared" si="28"/>
        <v>#N/A</v>
      </c>
      <c r="BD42" s="845">
        <f t="shared" si="29"/>
        <v>5.2047740785170896E-2</v>
      </c>
    </row>
    <row r="43" spans="1:56">
      <c r="A43" s="863">
        <v>2006</v>
      </c>
      <c r="B43" s="863">
        <v>4</v>
      </c>
      <c r="C43" s="864">
        <v>39082</v>
      </c>
      <c r="D43" s="136">
        <f t="shared" si="15"/>
        <v>93.83861820056714</v>
      </c>
      <c r="E43" s="136">
        <f t="shared" si="16"/>
        <v>13.651657873392917</v>
      </c>
      <c r="F43" s="136">
        <f t="shared" si="17"/>
        <v>113.45669749232216</v>
      </c>
      <c r="G43" s="136">
        <v>109.2</v>
      </c>
      <c r="H43" s="136">
        <v>85</v>
      </c>
      <c r="I43" s="136">
        <v>86.04</v>
      </c>
      <c r="J43" s="136">
        <v>4.8899999999999997</v>
      </c>
      <c r="L43" s="136">
        <v>428.82</v>
      </c>
      <c r="M43" s="136">
        <v>1476.239</v>
      </c>
      <c r="N43" s="846">
        <v>-1.24</v>
      </c>
      <c r="O43" s="846">
        <v>-0.83000000000000007</v>
      </c>
      <c r="P43" s="846">
        <v>0.9</v>
      </c>
      <c r="Q43" s="846">
        <v>-2.35</v>
      </c>
      <c r="R43" s="846">
        <v>1.333</v>
      </c>
      <c r="S43" s="136" t="e">
        <v>#N/A</v>
      </c>
      <c r="T43" s="136">
        <v>5627.6410000000005</v>
      </c>
      <c r="Y43" s="853">
        <v>2006</v>
      </c>
      <c r="Z43" s="853">
        <v>4</v>
      </c>
      <c r="AA43" s="854">
        <v>39082</v>
      </c>
      <c r="AB43" s="136">
        <v>6.2263500000000009</v>
      </c>
      <c r="AC43" s="136">
        <v>1.1637000000000002</v>
      </c>
      <c r="AD43" s="136">
        <v>0.758351</v>
      </c>
      <c r="AF43" s="138" t="s">
        <v>308</v>
      </c>
      <c r="AG43" s="136">
        <v>109.2</v>
      </c>
      <c r="AH43" s="136">
        <v>85</v>
      </c>
      <c r="AI43" s="136">
        <v>86.04</v>
      </c>
      <c r="AL43" s="853">
        <v>2006</v>
      </c>
      <c r="AM43" s="853">
        <v>4</v>
      </c>
      <c r="AN43" s="854">
        <v>39082</v>
      </c>
      <c r="AO43" s="136">
        <f t="shared" si="18"/>
        <v>93.83861820056714</v>
      </c>
      <c r="AP43" s="136">
        <f t="shared" si="19"/>
        <v>13.651657873392917</v>
      </c>
      <c r="AQ43" s="136">
        <f t="shared" si="20"/>
        <v>113.45669749232216</v>
      </c>
      <c r="AS43" s="853">
        <v>2006</v>
      </c>
      <c r="AT43" s="853">
        <v>4</v>
      </c>
      <c r="AU43" s="854">
        <v>39082</v>
      </c>
      <c r="AV43" s="845">
        <f t="shared" si="21"/>
        <v>8.6665653033297832E-2</v>
      </c>
      <c r="AW43" s="845">
        <f t="shared" si="22"/>
        <v>0.17635635595752741</v>
      </c>
      <c r="AX43" s="845">
        <f t="shared" si="23"/>
        <v>-1.24E-2</v>
      </c>
      <c r="AY43" s="845">
        <f t="shared" si="24"/>
        <v>-8.3000000000000001E-3</v>
      </c>
      <c r="AZ43" s="845">
        <f t="shared" si="25"/>
        <v>9.0000000000000011E-3</v>
      </c>
      <c r="BA43" s="845">
        <f t="shared" si="26"/>
        <v>-2.35E-2</v>
      </c>
      <c r="BB43" s="845">
        <f t="shared" si="27"/>
        <v>1.333E-2</v>
      </c>
      <c r="BC43" s="845" t="e">
        <f t="shared" si="28"/>
        <v>#N/A</v>
      </c>
      <c r="BD43" s="845">
        <f t="shared" si="29"/>
        <v>-4.5005542307867116E-2</v>
      </c>
    </row>
    <row r="44" spans="1:56">
      <c r="A44" s="863">
        <v>2006</v>
      </c>
      <c r="B44" s="863">
        <v>3</v>
      </c>
      <c r="C44" s="864">
        <v>38990</v>
      </c>
      <c r="D44" s="136">
        <f t="shared" si="15"/>
        <v>98.149061085465874</v>
      </c>
      <c r="E44" s="136">
        <f t="shared" si="16"/>
        <v>12.932125516786449</v>
      </c>
      <c r="F44" s="136">
        <f t="shared" si="17"/>
        <v>109.05447276615044</v>
      </c>
      <c r="G44" s="136">
        <v>109.5</v>
      </c>
      <c r="H44" s="136">
        <v>84.3</v>
      </c>
      <c r="I44" s="136">
        <v>86.09</v>
      </c>
      <c r="J44" s="136">
        <v>4.7700000000000005</v>
      </c>
      <c r="L44" s="136">
        <v>394.62</v>
      </c>
      <c r="M44" s="136">
        <v>1254.925</v>
      </c>
      <c r="N44" s="846">
        <v>0.15</v>
      </c>
      <c r="O44" s="846">
        <v>0.22</v>
      </c>
      <c r="P44" s="846">
        <v>0.57999999999999996</v>
      </c>
      <c r="Q44" s="846">
        <v>-0.83000000000000007</v>
      </c>
      <c r="R44" s="846">
        <v>-1.3000000000000001E-2</v>
      </c>
      <c r="S44" s="136" t="e">
        <v>#N/A</v>
      </c>
      <c r="T44" s="136">
        <v>5892.8519999999999</v>
      </c>
      <c r="Y44" s="853">
        <v>2006</v>
      </c>
      <c r="Z44" s="853">
        <v>3</v>
      </c>
      <c r="AA44" s="854">
        <v>38990</v>
      </c>
      <c r="AB44" s="136">
        <v>6.5186500000000009</v>
      </c>
      <c r="AC44" s="136">
        <v>1.11565</v>
      </c>
      <c r="AD44" s="136">
        <v>0.78942199999999996</v>
      </c>
      <c r="AF44" s="138" t="s">
        <v>309</v>
      </c>
      <c r="AG44" s="136">
        <v>109.5</v>
      </c>
      <c r="AH44" s="136">
        <v>84.3</v>
      </c>
      <c r="AI44" s="136">
        <v>86.09</v>
      </c>
      <c r="AL44" s="853">
        <v>2006</v>
      </c>
      <c r="AM44" s="853">
        <v>3</v>
      </c>
      <c r="AN44" s="854">
        <v>38990</v>
      </c>
      <c r="AO44" s="136">
        <f t="shared" si="18"/>
        <v>98.149061085465874</v>
      </c>
      <c r="AP44" s="136">
        <f t="shared" si="19"/>
        <v>12.932125516786449</v>
      </c>
      <c r="AQ44" s="136">
        <f t="shared" si="20"/>
        <v>109.05447276615044</v>
      </c>
      <c r="AS44" s="853">
        <v>2006</v>
      </c>
      <c r="AT44" s="853">
        <v>3</v>
      </c>
      <c r="AU44" s="854">
        <v>38990</v>
      </c>
      <c r="AV44" s="845">
        <f t="shared" si="21"/>
        <v>4.1378582361323711E-2</v>
      </c>
      <c r="AW44" s="845">
        <f t="shared" si="22"/>
        <v>4.9817881265612207E-2</v>
      </c>
      <c r="AX44" s="845">
        <f t="shared" si="23"/>
        <v>1.5E-3</v>
      </c>
      <c r="AY44" s="845">
        <f t="shared" si="24"/>
        <v>2.2000000000000001E-3</v>
      </c>
      <c r="AZ44" s="845">
        <f t="shared" si="25"/>
        <v>5.7999999999999996E-3</v>
      </c>
      <c r="BA44" s="845">
        <f t="shared" si="26"/>
        <v>-8.3000000000000001E-3</v>
      </c>
      <c r="BB44" s="845">
        <f t="shared" si="27"/>
        <v>-1.3000000000000002E-4</v>
      </c>
      <c r="BC44" s="845" t="e">
        <f t="shared" si="28"/>
        <v>#N/A</v>
      </c>
      <c r="BD44" s="845">
        <f t="shared" si="29"/>
        <v>-0.15526353701602577</v>
      </c>
    </row>
    <row r="45" spans="1:56">
      <c r="A45" s="863">
        <v>2006</v>
      </c>
      <c r="B45" s="863">
        <v>2</v>
      </c>
      <c r="C45" s="864">
        <v>38898</v>
      </c>
      <c r="D45" s="136">
        <f t="shared" si="15"/>
        <v>98.462368492042074</v>
      </c>
      <c r="E45" s="136">
        <f t="shared" si="16"/>
        <v>13.542570629640341</v>
      </c>
      <c r="F45" s="136">
        <f t="shared" si="17"/>
        <v>109.98945113959658</v>
      </c>
      <c r="G45" s="136">
        <v>109.5</v>
      </c>
      <c r="H45" s="136">
        <v>84.27</v>
      </c>
      <c r="I45" s="136">
        <v>86.02</v>
      </c>
      <c r="J45" s="136">
        <v>4.87</v>
      </c>
      <c r="L45" s="136">
        <v>378.94</v>
      </c>
      <c r="M45" s="136">
        <v>1195.374</v>
      </c>
      <c r="N45" s="846">
        <v>-0.67</v>
      </c>
      <c r="O45" s="846">
        <v>-0.41000000000000003</v>
      </c>
      <c r="P45" s="846">
        <v>-0.02</v>
      </c>
      <c r="Q45" s="846">
        <v>-0.38</v>
      </c>
      <c r="R45" s="846">
        <v>-0.43099999999999999</v>
      </c>
      <c r="S45" s="136" t="e">
        <v>#N/A</v>
      </c>
      <c r="T45" s="136">
        <v>6975.9650000000001</v>
      </c>
      <c r="Y45" s="853">
        <v>2006</v>
      </c>
      <c r="Z45" s="853">
        <v>2</v>
      </c>
      <c r="AA45" s="854">
        <v>38898</v>
      </c>
      <c r="AB45" s="136">
        <v>6.2226000000000008</v>
      </c>
      <c r="AC45" s="136">
        <v>1.1121000000000001</v>
      </c>
      <c r="AD45" s="136">
        <v>0.78207499999999996</v>
      </c>
      <c r="AF45" s="138" t="s">
        <v>310</v>
      </c>
      <c r="AG45" s="136">
        <v>109.5</v>
      </c>
      <c r="AH45" s="136">
        <v>84.27</v>
      </c>
      <c r="AI45" s="136">
        <v>86.02</v>
      </c>
      <c r="AL45" s="853">
        <v>2006</v>
      </c>
      <c r="AM45" s="853">
        <v>2</v>
      </c>
      <c r="AN45" s="854">
        <v>38898</v>
      </c>
      <c r="AO45" s="136">
        <f t="shared" si="18"/>
        <v>98.462368492042074</v>
      </c>
      <c r="AP45" s="136">
        <f t="shared" si="19"/>
        <v>13.542570629640341</v>
      </c>
      <c r="AQ45" s="136">
        <f t="shared" si="20"/>
        <v>109.98945113959658</v>
      </c>
      <c r="AS45" s="853">
        <v>2006</v>
      </c>
      <c r="AT45" s="853">
        <v>2</v>
      </c>
      <c r="AU45" s="854">
        <v>38898</v>
      </c>
      <c r="AV45" s="845">
        <f t="shared" si="21"/>
        <v>-7.4908328968046455E-3</v>
      </c>
      <c r="AW45" s="845">
        <f t="shared" si="22"/>
        <v>-4.2697547029286714E-2</v>
      </c>
      <c r="AX45" s="845">
        <f t="shared" si="23"/>
        <v>-6.7000000000000002E-3</v>
      </c>
      <c r="AY45" s="845">
        <f t="shared" si="24"/>
        <v>-4.1000000000000003E-3</v>
      </c>
      <c r="AZ45" s="845">
        <f t="shared" si="25"/>
        <v>-2.0000000000000001E-4</v>
      </c>
      <c r="BA45" s="845">
        <f t="shared" si="26"/>
        <v>-3.8E-3</v>
      </c>
      <c r="BB45" s="845">
        <f t="shared" si="27"/>
        <v>-4.3099999999999996E-3</v>
      </c>
      <c r="BC45" s="845" t="e">
        <f t="shared" si="28"/>
        <v>#N/A</v>
      </c>
      <c r="BD45" s="845">
        <f t="shared" si="29"/>
        <v>6.7415524026992205E-2</v>
      </c>
    </row>
    <row r="46" spans="1:56">
      <c r="A46" s="863">
        <v>2006</v>
      </c>
      <c r="B46" s="863">
        <v>1</v>
      </c>
      <c r="C46" s="864">
        <v>38807</v>
      </c>
      <c r="D46" s="136">
        <f t="shared" si="15"/>
        <v>92.833876221498372</v>
      </c>
      <c r="E46" s="136">
        <f t="shared" si="16"/>
        <v>12.681990293850994</v>
      </c>
      <c r="F46" s="136">
        <f t="shared" si="17"/>
        <v>103.00794826367712</v>
      </c>
      <c r="G46" s="136">
        <v>108.30000000000001</v>
      </c>
      <c r="H46" s="136">
        <v>83.23</v>
      </c>
      <c r="I46" s="136">
        <v>85.12</v>
      </c>
      <c r="J46" s="136">
        <v>4.5200000000000005</v>
      </c>
      <c r="L46" s="136">
        <v>381.8</v>
      </c>
      <c r="M46" s="136">
        <v>1248.69</v>
      </c>
      <c r="N46" s="846">
        <v>-1.06</v>
      </c>
      <c r="O46" s="846">
        <v>-1.25</v>
      </c>
      <c r="P46" s="846">
        <v>-1.78</v>
      </c>
      <c r="Q46" s="846">
        <v>-1.96</v>
      </c>
      <c r="R46" s="846">
        <v>1.754</v>
      </c>
      <c r="S46" s="136" t="e">
        <v>#N/A</v>
      </c>
      <c r="T46" s="136">
        <v>6535.3789999999999</v>
      </c>
      <c r="Y46" s="853">
        <v>2006</v>
      </c>
      <c r="Z46" s="853">
        <v>1</v>
      </c>
      <c r="AA46" s="854">
        <v>38807</v>
      </c>
      <c r="AB46" s="136">
        <v>6.562850000000001</v>
      </c>
      <c r="AC46" s="136">
        <v>1.1666000000000001</v>
      </c>
      <c r="AD46" s="136">
        <v>0.82634399999999997</v>
      </c>
      <c r="AF46" s="138" t="s">
        <v>311</v>
      </c>
      <c r="AG46" s="136">
        <v>108.30000000000001</v>
      </c>
      <c r="AH46" s="136">
        <v>83.23</v>
      </c>
      <c r="AI46" s="136">
        <v>85.12</v>
      </c>
      <c r="AL46" s="853">
        <v>2006</v>
      </c>
      <c r="AM46" s="853">
        <v>1</v>
      </c>
      <c r="AN46" s="854">
        <v>38807</v>
      </c>
      <c r="AO46" s="136">
        <f t="shared" si="18"/>
        <v>92.833876221498372</v>
      </c>
      <c r="AP46" s="136">
        <f t="shared" si="19"/>
        <v>12.681990293850994</v>
      </c>
      <c r="AQ46" s="136">
        <f t="shared" si="20"/>
        <v>103.00794826367712</v>
      </c>
      <c r="AS46" s="853">
        <v>2006</v>
      </c>
      <c r="AT46" s="853">
        <v>1</v>
      </c>
      <c r="AU46" s="854">
        <v>38807</v>
      </c>
      <c r="AV46" s="845">
        <f t="shared" si="21"/>
        <v>7.4010520689752182E-2</v>
      </c>
      <c r="AW46" s="845">
        <f t="shared" si="22"/>
        <v>0.12120153684945856</v>
      </c>
      <c r="AX46" s="845">
        <f t="shared" si="23"/>
        <v>-1.06E-2</v>
      </c>
      <c r="AY46" s="845">
        <f t="shared" si="24"/>
        <v>-1.2500000000000001E-2</v>
      </c>
      <c r="AZ46" s="845">
        <f t="shared" si="25"/>
        <v>-1.78E-2</v>
      </c>
      <c r="BA46" s="845">
        <f t="shared" si="26"/>
        <v>-1.9599999999999999E-2</v>
      </c>
      <c r="BB46" s="845">
        <f t="shared" si="27"/>
        <v>1.754E-2</v>
      </c>
      <c r="BC46" s="845" t="e">
        <f t="shared" si="28"/>
        <v>#N/A</v>
      </c>
      <c r="BD46" s="845">
        <f t="shared" si="29"/>
        <v>-1.3962001340390853E-2</v>
      </c>
    </row>
    <row r="47" spans="1:56">
      <c r="A47" s="863">
        <v>2005</v>
      </c>
      <c r="B47" s="863">
        <v>4</v>
      </c>
      <c r="C47" s="864">
        <v>38717</v>
      </c>
      <c r="D47" s="136">
        <f t="shared" si="15"/>
        <v>92.19706373325343</v>
      </c>
      <c r="E47" s="136">
        <f t="shared" si="16"/>
        <v>12.253276721432528</v>
      </c>
      <c r="F47" s="136">
        <f t="shared" si="17"/>
        <v>100.68638009108484</v>
      </c>
      <c r="G47" s="136">
        <v>107.7</v>
      </c>
      <c r="H47" s="136">
        <v>82.97</v>
      </c>
      <c r="I47" s="136">
        <v>85.36</v>
      </c>
      <c r="J47" s="136">
        <v>3.99</v>
      </c>
      <c r="L47" s="136">
        <v>355.49</v>
      </c>
      <c r="M47" s="136">
        <v>1113.7070000000001</v>
      </c>
      <c r="N47" s="846">
        <v>0.82000000000000006</v>
      </c>
      <c r="O47" s="846">
        <v>0.83000000000000007</v>
      </c>
      <c r="P47" s="846">
        <v>2.35</v>
      </c>
      <c r="Q47" s="846">
        <v>1.41</v>
      </c>
      <c r="R47" s="846">
        <v>1.6520000000000001</v>
      </c>
      <c r="S47" s="136" t="e">
        <v>#N/A</v>
      </c>
      <c r="T47" s="136">
        <v>6627.9180000000006</v>
      </c>
      <c r="Y47" s="853">
        <v>2005</v>
      </c>
      <c r="Z47" s="853">
        <v>4</v>
      </c>
      <c r="AA47" s="854">
        <v>38717</v>
      </c>
      <c r="AB47" s="136">
        <v>6.7712500000000002</v>
      </c>
      <c r="AC47" s="136">
        <v>1.16815</v>
      </c>
      <c r="AD47" s="136">
        <v>0.84778100000000001</v>
      </c>
      <c r="AF47" s="138" t="s">
        <v>312</v>
      </c>
      <c r="AG47" s="136">
        <v>107.7</v>
      </c>
      <c r="AH47" s="136">
        <v>82.97</v>
      </c>
      <c r="AI47" s="136">
        <v>85.36</v>
      </c>
      <c r="AL47" s="853">
        <v>2005</v>
      </c>
      <c r="AM47" s="853">
        <v>4</v>
      </c>
      <c r="AN47" s="854">
        <v>38717</v>
      </c>
      <c r="AO47" s="136">
        <f t="shared" si="18"/>
        <v>92.19706373325343</v>
      </c>
      <c r="AP47" s="136">
        <f t="shared" si="19"/>
        <v>12.253276721432528</v>
      </c>
      <c r="AQ47" s="136">
        <f t="shared" si="20"/>
        <v>100.68638009108484</v>
      </c>
      <c r="AS47" s="853">
        <v>2005</v>
      </c>
      <c r="AT47" s="853">
        <v>4</v>
      </c>
      <c r="AU47" s="854">
        <v>38717</v>
      </c>
      <c r="AV47" s="845">
        <f t="shared" si="21"/>
        <v>3.5025912770046089E-2</v>
      </c>
      <c r="AW47" s="845">
        <f t="shared" si="22"/>
        <v>7.2003904121851786E-2</v>
      </c>
      <c r="AX47" s="845">
        <f t="shared" si="23"/>
        <v>8.2000000000000007E-3</v>
      </c>
      <c r="AY47" s="845">
        <f t="shared" si="24"/>
        <v>8.3000000000000001E-3</v>
      </c>
      <c r="AZ47" s="845">
        <f t="shared" si="25"/>
        <v>2.35E-2</v>
      </c>
      <c r="BA47" s="845">
        <f t="shared" si="26"/>
        <v>1.41E-2</v>
      </c>
      <c r="BB47" s="845">
        <f t="shared" si="27"/>
        <v>1.652E-2</v>
      </c>
      <c r="BC47" s="845" t="e">
        <f t="shared" si="28"/>
        <v>#N/A</v>
      </c>
      <c r="BD47" s="845">
        <f t="shared" si="29"/>
        <v>-0.11302262957784939</v>
      </c>
    </row>
    <row r="48" spans="1:56">
      <c r="A48" s="863">
        <v>2005</v>
      </c>
      <c r="B48" s="863">
        <v>3</v>
      </c>
      <c r="C48" s="864">
        <v>38625</v>
      </c>
      <c r="D48" s="136">
        <f t="shared" si="15"/>
        <v>92.796829226262275</v>
      </c>
      <c r="E48" s="136">
        <f t="shared" si="16"/>
        <v>12.640436521925723</v>
      </c>
      <c r="F48" s="136">
        <f t="shared" si="17"/>
        <v>102.58877202120016</v>
      </c>
      <c r="G48" s="136">
        <v>107.7</v>
      </c>
      <c r="H48" s="136">
        <v>82.47</v>
      </c>
      <c r="I48" s="136">
        <v>85.09</v>
      </c>
      <c r="J48" s="136">
        <v>3.47</v>
      </c>
      <c r="L48" s="136">
        <v>343.46</v>
      </c>
      <c r="M48" s="136">
        <v>1038.902</v>
      </c>
      <c r="N48" s="846">
        <v>-1.74</v>
      </c>
      <c r="O48" s="846">
        <v>-0.97</v>
      </c>
      <c r="P48" s="846">
        <v>2.25</v>
      </c>
      <c r="Q48" s="846">
        <v>-0.73</v>
      </c>
      <c r="R48" s="846">
        <v>1.8540000000000001</v>
      </c>
      <c r="S48" s="136" t="e">
        <v>#N/A</v>
      </c>
      <c r="T48" s="136">
        <v>7472.4769999999999</v>
      </c>
      <c r="Y48" s="853">
        <v>2005</v>
      </c>
      <c r="Z48" s="853">
        <v>3</v>
      </c>
      <c r="AA48" s="854">
        <v>38625</v>
      </c>
      <c r="AB48" s="136">
        <v>6.5243000000000002</v>
      </c>
      <c r="AC48" s="136">
        <v>1.1606000000000001</v>
      </c>
      <c r="AD48" s="136">
        <v>0.82942799999999994</v>
      </c>
      <c r="AF48" s="138" t="s">
        <v>313</v>
      </c>
      <c r="AG48" s="136">
        <v>107.7</v>
      </c>
      <c r="AH48" s="136">
        <v>82.47</v>
      </c>
      <c r="AI48" s="136">
        <v>85.09</v>
      </c>
      <c r="AL48" s="853">
        <v>2005</v>
      </c>
      <c r="AM48" s="853">
        <v>3</v>
      </c>
      <c r="AN48" s="854">
        <v>38625</v>
      </c>
      <c r="AO48" s="136">
        <f t="shared" si="18"/>
        <v>92.796829226262275</v>
      </c>
      <c r="AP48" s="136">
        <f t="shared" si="19"/>
        <v>12.640436521925723</v>
      </c>
      <c r="AQ48" s="136">
        <f t="shared" si="20"/>
        <v>102.58877202120016</v>
      </c>
      <c r="AS48" s="853">
        <v>2005</v>
      </c>
      <c r="AT48" s="853">
        <v>3</v>
      </c>
      <c r="AU48" s="854">
        <v>38625</v>
      </c>
      <c r="AV48" s="845">
        <f t="shared" si="21"/>
        <v>7.5631831135886687E-2</v>
      </c>
      <c r="AW48" s="845">
        <f t="shared" si="22"/>
        <v>0.18113954905545401</v>
      </c>
      <c r="AX48" s="845">
        <f t="shared" si="23"/>
        <v>-1.7399999999999999E-2</v>
      </c>
      <c r="AY48" s="845">
        <f t="shared" si="24"/>
        <v>-9.7000000000000003E-3</v>
      </c>
      <c r="AZ48" s="845">
        <f t="shared" si="25"/>
        <v>2.2499999999999999E-2</v>
      </c>
      <c r="BA48" s="845">
        <f t="shared" si="26"/>
        <v>-7.3000000000000001E-3</v>
      </c>
      <c r="BB48" s="845">
        <f t="shared" si="27"/>
        <v>1.8540000000000001E-2</v>
      </c>
      <c r="BC48" s="845" t="e">
        <f t="shared" si="28"/>
        <v>#N/A</v>
      </c>
      <c r="BD48" s="845">
        <f t="shared" si="29"/>
        <v>0.21492648066622883</v>
      </c>
    </row>
    <row r="49" spans="1:56">
      <c r="A49" s="863">
        <v>2005</v>
      </c>
      <c r="B49" s="863">
        <v>2</v>
      </c>
      <c r="C49" s="864">
        <v>38533</v>
      </c>
      <c r="D49" s="136">
        <f t="shared" si="15"/>
        <v>87.116263879817112</v>
      </c>
      <c r="E49" s="136">
        <f t="shared" si="16"/>
        <v>12.58833246657897</v>
      </c>
      <c r="F49" s="136">
        <f t="shared" si="17"/>
        <v>102.78413032398188</v>
      </c>
      <c r="G49" s="136">
        <v>106.7</v>
      </c>
      <c r="H49" s="136">
        <v>82.3</v>
      </c>
      <c r="I49" s="136">
        <v>84.9</v>
      </c>
      <c r="J49" s="136">
        <v>3.06</v>
      </c>
      <c r="L49" s="136">
        <v>319.31</v>
      </c>
      <c r="M49" s="136">
        <v>879.57600000000002</v>
      </c>
      <c r="N49" s="846">
        <v>-0.06</v>
      </c>
      <c r="O49" s="846">
        <v>0.15</v>
      </c>
      <c r="P49" s="846">
        <v>1.81</v>
      </c>
      <c r="Q49" s="846">
        <v>0</v>
      </c>
      <c r="R49" s="846">
        <v>1.5290000000000001</v>
      </c>
      <c r="S49" s="136" t="e">
        <v>#N/A</v>
      </c>
      <c r="T49" s="136">
        <v>6150.5590000000002</v>
      </c>
      <c r="Y49" s="853">
        <v>2005</v>
      </c>
      <c r="Z49" s="853">
        <v>2</v>
      </c>
      <c r="AA49" s="854">
        <v>38533</v>
      </c>
      <c r="AB49" s="136">
        <v>6.5378000000000007</v>
      </c>
      <c r="AC49" s="136">
        <v>1.2248000000000001</v>
      </c>
      <c r="AD49" s="136">
        <v>0.82600299999999993</v>
      </c>
      <c r="AF49" s="138" t="s">
        <v>314</v>
      </c>
      <c r="AG49" s="136">
        <v>106.7</v>
      </c>
      <c r="AH49" s="136">
        <v>82.3</v>
      </c>
      <c r="AI49" s="136">
        <v>84.9</v>
      </c>
      <c r="AL49" s="853">
        <v>2005</v>
      </c>
      <c r="AM49" s="853">
        <v>2</v>
      </c>
      <c r="AN49" s="854">
        <v>38533</v>
      </c>
      <c r="AO49" s="136">
        <f t="shared" si="18"/>
        <v>87.116263879817112</v>
      </c>
      <c r="AP49" s="136">
        <f t="shared" si="19"/>
        <v>12.58833246657897</v>
      </c>
      <c r="AQ49" s="136">
        <f t="shared" si="20"/>
        <v>102.78413032398188</v>
      </c>
      <c r="AS49" s="853">
        <v>2005</v>
      </c>
      <c r="AT49" s="853">
        <v>2</v>
      </c>
      <c r="AU49" s="854">
        <v>38533</v>
      </c>
      <c r="AV49" s="845">
        <f t="shared" si="21"/>
        <v>1.0123058429027833E-2</v>
      </c>
      <c r="AW49" s="845">
        <f t="shared" si="22"/>
        <v>4.2398672671249055E-2</v>
      </c>
      <c r="AX49" s="845">
        <f t="shared" si="23"/>
        <v>-5.9999999999999995E-4</v>
      </c>
      <c r="AY49" s="845">
        <f t="shared" si="24"/>
        <v>1.5E-3</v>
      </c>
      <c r="AZ49" s="845">
        <f t="shared" si="25"/>
        <v>1.8100000000000002E-2</v>
      </c>
      <c r="BA49" s="845">
        <f t="shared" si="26"/>
        <v>0</v>
      </c>
      <c r="BB49" s="845">
        <f t="shared" si="27"/>
        <v>1.5290000000000002E-2</v>
      </c>
      <c r="BC49" s="845" t="e">
        <f t="shared" si="28"/>
        <v>#N/A</v>
      </c>
      <c r="BD49" s="845">
        <f t="shared" si="29"/>
        <v>-4.4852151115814073E-2</v>
      </c>
    </row>
    <row r="50" spans="1:56">
      <c r="A50" s="863">
        <v>2005</v>
      </c>
      <c r="B50" s="863">
        <v>1</v>
      </c>
      <c r="C50" s="864">
        <v>38442</v>
      </c>
      <c r="D50" s="136">
        <f t="shared" si="15"/>
        <v>87.448857296359051</v>
      </c>
      <c r="E50" s="136">
        <f t="shared" si="16"/>
        <v>12.891169390599265</v>
      </c>
      <c r="F50" s="136">
        <f t="shared" si="17"/>
        <v>109.41752291932553</v>
      </c>
      <c r="G50" s="136">
        <v>105.80000000000001</v>
      </c>
      <c r="H50" s="136">
        <v>81.400000000000006</v>
      </c>
      <c r="I50" s="136">
        <v>84.19</v>
      </c>
      <c r="J50" s="136">
        <v>2.73</v>
      </c>
      <c r="L50" s="136">
        <v>316.11</v>
      </c>
      <c r="M50" s="136">
        <v>843.80000000000007</v>
      </c>
      <c r="N50" s="846">
        <v>-1.6400000000000001</v>
      </c>
      <c r="O50" s="846">
        <v>-1.58</v>
      </c>
      <c r="P50" s="846">
        <v>-2.59</v>
      </c>
      <c r="Q50" s="846">
        <v>-0.79</v>
      </c>
      <c r="R50" s="846">
        <v>-0.93</v>
      </c>
      <c r="S50" s="136" t="e">
        <v>#N/A</v>
      </c>
      <c r="T50" s="136">
        <v>6439.3789999999999</v>
      </c>
      <c r="Y50" s="853">
        <v>2005</v>
      </c>
      <c r="Z50" s="853">
        <v>1</v>
      </c>
      <c r="AA50" s="854">
        <v>38442</v>
      </c>
      <c r="AB50" s="136">
        <v>6.3144000000000009</v>
      </c>
      <c r="AC50" s="136">
        <v>1.2098500000000001</v>
      </c>
      <c r="AD50" s="136">
        <v>0.76943799999999996</v>
      </c>
      <c r="AF50" s="138" t="s">
        <v>315</v>
      </c>
      <c r="AG50" s="136">
        <v>105.80000000000001</v>
      </c>
      <c r="AH50" s="136">
        <v>81.400000000000006</v>
      </c>
      <c r="AI50" s="136">
        <v>84.19</v>
      </c>
      <c r="AL50" s="853">
        <v>2005</v>
      </c>
      <c r="AM50" s="853">
        <v>1</v>
      </c>
      <c r="AN50" s="854">
        <v>38442</v>
      </c>
      <c r="AO50" s="136">
        <f t="shared" si="18"/>
        <v>87.448857296359051</v>
      </c>
      <c r="AP50" s="136">
        <f t="shared" si="19"/>
        <v>12.891169390599265</v>
      </c>
      <c r="AQ50" s="136">
        <f t="shared" si="20"/>
        <v>109.41752291932553</v>
      </c>
      <c r="AS50" s="853">
        <v>2005</v>
      </c>
      <c r="AT50" s="853">
        <v>1</v>
      </c>
      <c r="AU50" s="854">
        <v>38442</v>
      </c>
      <c r="AV50" s="845">
        <f t="shared" si="21"/>
        <v>-6.661848348678643E-3</v>
      </c>
      <c r="AW50" s="845">
        <f t="shared" si="22"/>
        <v>1.9359125366192616E-2</v>
      </c>
      <c r="AX50" s="845">
        <f t="shared" si="23"/>
        <v>-1.6400000000000001E-2</v>
      </c>
      <c r="AY50" s="845">
        <f t="shared" si="24"/>
        <v>-1.5800000000000002E-2</v>
      </c>
      <c r="AZ50" s="845">
        <f t="shared" si="25"/>
        <v>-2.5899999999999999E-2</v>
      </c>
      <c r="BA50" s="845">
        <f t="shared" si="26"/>
        <v>-7.9000000000000008E-3</v>
      </c>
      <c r="BB50" s="845">
        <f t="shared" si="27"/>
        <v>-9.300000000000001E-3</v>
      </c>
      <c r="BC50" s="845" t="e">
        <f t="shared" si="28"/>
        <v>#N/A</v>
      </c>
      <c r="BD50" s="845">
        <f t="shared" si="29"/>
        <v>0.21981569535158044</v>
      </c>
    </row>
    <row r="51" spans="1:56">
      <c r="A51" s="863">
        <v>2004</v>
      </c>
      <c r="B51" s="863">
        <v>4</v>
      </c>
      <c r="C51" s="864">
        <v>38352</v>
      </c>
      <c r="D51" s="136">
        <f t="shared" si="15"/>
        <v>87.968952134540757</v>
      </c>
      <c r="E51" s="136">
        <f t="shared" si="16"/>
        <v>13.451330355889807</v>
      </c>
      <c r="F51" s="136">
        <f t="shared" si="17"/>
        <v>113.9323093652304</v>
      </c>
      <c r="G51" s="136">
        <v>105.4</v>
      </c>
      <c r="H51" s="136">
        <v>81.47</v>
      </c>
      <c r="I51" s="136">
        <v>83.820000000000007</v>
      </c>
      <c r="J51" s="136">
        <v>2.1800000000000002</v>
      </c>
      <c r="L51" s="136">
        <v>318.23</v>
      </c>
      <c r="M51" s="136">
        <v>827.77499999999998</v>
      </c>
      <c r="N51" s="846">
        <v>1.68</v>
      </c>
      <c r="O51" s="846">
        <v>1.6</v>
      </c>
      <c r="P51" s="846">
        <v>2.34</v>
      </c>
      <c r="Q51" s="846">
        <v>2.23</v>
      </c>
      <c r="R51" s="846">
        <v>1.601</v>
      </c>
      <c r="S51" s="136" t="e">
        <v>#N/A</v>
      </c>
      <c r="T51" s="136">
        <v>5278.9769999999999</v>
      </c>
      <c r="Y51" s="853">
        <v>2004</v>
      </c>
      <c r="Z51" s="853">
        <v>4</v>
      </c>
      <c r="AA51" s="854">
        <v>38352</v>
      </c>
      <c r="AB51" s="136">
        <v>6.0566500000000003</v>
      </c>
      <c r="AC51" s="136">
        <v>1.19815</v>
      </c>
      <c r="AD51" s="136">
        <v>0.73570000000000002</v>
      </c>
      <c r="AF51" s="138" t="s">
        <v>316</v>
      </c>
      <c r="AG51" s="136">
        <v>105.4</v>
      </c>
      <c r="AH51" s="136">
        <v>81.47</v>
      </c>
      <c r="AI51" s="136">
        <v>83.820000000000007</v>
      </c>
      <c r="AL51" s="853">
        <v>2004</v>
      </c>
      <c r="AM51" s="853">
        <v>4</v>
      </c>
      <c r="AN51" s="854">
        <v>38352</v>
      </c>
      <c r="AO51" s="136">
        <f t="shared" si="18"/>
        <v>87.968952134540757</v>
      </c>
      <c r="AP51" s="136">
        <f t="shared" si="19"/>
        <v>13.451330355889807</v>
      </c>
      <c r="AQ51" s="136">
        <f t="shared" si="20"/>
        <v>113.9323093652304</v>
      </c>
      <c r="AS51" s="853">
        <v>2004</v>
      </c>
      <c r="AT51" s="853">
        <v>4</v>
      </c>
      <c r="AU51" s="854">
        <v>38352</v>
      </c>
      <c r="AV51" s="845">
        <f t="shared" si="21"/>
        <v>0.1259198981035948</v>
      </c>
      <c r="AW51" s="845">
        <f t="shared" si="22"/>
        <v>0.17266190107863216</v>
      </c>
      <c r="AX51" s="845">
        <f t="shared" si="23"/>
        <v>1.6799999999999999E-2</v>
      </c>
      <c r="AY51" s="845">
        <f t="shared" si="24"/>
        <v>1.6E-2</v>
      </c>
      <c r="AZ51" s="845">
        <f t="shared" si="25"/>
        <v>2.3399999999999997E-2</v>
      </c>
      <c r="BA51" s="845">
        <f t="shared" si="26"/>
        <v>2.23E-2</v>
      </c>
      <c r="BB51" s="845">
        <f t="shared" si="27"/>
        <v>1.601E-2</v>
      </c>
      <c r="BC51" s="845" t="e">
        <f t="shared" si="28"/>
        <v>#N/A</v>
      </c>
      <c r="BD51" s="845">
        <f t="shared" si="29"/>
        <v>-0.1078936294979409</v>
      </c>
    </row>
    <row r="52" spans="1:56">
      <c r="A52" s="863">
        <v>2004</v>
      </c>
      <c r="B52" s="863">
        <v>3</v>
      </c>
      <c r="C52" s="864">
        <v>38260</v>
      </c>
      <c r="D52" s="136">
        <f t="shared" si="15"/>
        <v>82.888862549879491</v>
      </c>
      <c r="E52" s="136">
        <f t="shared" si="16"/>
        <v>12.037435935526998</v>
      </c>
      <c r="F52" s="136">
        <f t="shared" si="17"/>
        <v>103.85603729974304</v>
      </c>
      <c r="G52" s="136">
        <v>104.9</v>
      </c>
      <c r="H52" s="136">
        <v>81.03</v>
      </c>
      <c r="I52" s="136">
        <v>83.62</v>
      </c>
      <c r="J52" s="136">
        <v>1.68</v>
      </c>
      <c r="L52" s="136">
        <v>282.64</v>
      </c>
      <c r="M52" s="136">
        <v>705.89400000000001</v>
      </c>
      <c r="N52" s="846">
        <v>1.27</v>
      </c>
      <c r="O52" s="846">
        <v>0.92</v>
      </c>
      <c r="P52" s="846">
        <v>1.54</v>
      </c>
      <c r="Q52" s="846">
        <v>1.34</v>
      </c>
      <c r="R52" s="846">
        <v>1.6560000000000001</v>
      </c>
      <c r="S52" s="136" t="e">
        <v>#N/A</v>
      </c>
      <c r="T52" s="136">
        <v>5917.43</v>
      </c>
      <c r="Y52" s="853">
        <v>2004</v>
      </c>
      <c r="Z52" s="853">
        <v>3</v>
      </c>
      <c r="AA52" s="854">
        <v>38260</v>
      </c>
      <c r="AB52" s="136">
        <v>6.7315000000000005</v>
      </c>
      <c r="AC52" s="136">
        <v>1.2655500000000002</v>
      </c>
      <c r="AD52" s="136">
        <v>0.80515300000000001</v>
      </c>
      <c r="AF52" s="138" t="s">
        <v>317</v>
      </c>
      <c r="AG52" s="136">
        <v>104.9</v>
      </c>
      <c r="AH52" s="136">
        <v>81.03</v>
      </c>
      <c r="AI52" s="136">
        <v>83.62</v>
      </c>
      <c r="AL52" s="853">
        <v>2004</v>
      </c>
      <c r="AM52" s="853">
        <v>3</v>
      </c>
      <c r="AN52" s="854">
        <v>38260</v>
      </c>
      <c r="AO52" s="136">
        <f t="shared" si="18"/>
        <v>82.888862549879491</v>
      </c>
      <c r="AP52" s="136">
        <f t="shared" si="19"/>
        <v>12.037435935526998</v>
      </c>
      <c r="AQ52" s="136">
        <f t="shared" si="20"/>
        <v>103.85603729974304</v>
      </c>
      <c r="AS52" s="853">
        <v>2004</v>
      </c>
      <c r="AT52" s="853">
        <v>3</v>
      </c>
      <c r="AU52" s="854">
        <v>38260</v>
      </c>
      <c r="AV52" s="845">
        <f t="shared" si="21"/>
        <v>-8.4894408194766575E-3</v>
      </c>
      <c r="AW52" s="845">
        <f t="shared" si="22"/>
        <v>8.2548265745697902E-2</v>
      </c>
      <c r="AX52" s="845">
        <f t="shared" si="23"/>
        <v>1.2699999999999999E-2</v>
      </c>
      <c r="AY52" s="845">
        <f t="shared" si="24"/>
        <v>9.1999999999999998E-3</v>
      </c>
      <c r="AZ52" s="845">
        <f t="shared" si="25"/>
        <v>1.54E-2</v>
      </c>
      <c r="BA52" s="845">
        <f t="shared" si="26"/>
        <v>1.34E-2</v>
      </c>
      <c r="BB52" s="845">
        <f t="shared" si="27"/>
        <v>1.6560000000000002E-2</v>
      </c>
      <c r="BC52" s="845" t="e">
        <f t="shared" si="28"/>
        <v>#N/A</v>
      </c>
      <c r="BD52" s="845">
        <f t="shared" si="29"/>
        <v>0.16632722710034514</v>
      </c>
    </row>
    <row r="53" spans="1:56">
      <c r="A53" s="863">
        <v>2004</v>
      </c>
      <c r="B53" s="863">
        <v>2</v>
      </c>
      <c r="C53" s="864">
        <v>38168</v>
      </c>
      <c r="D53" s="136">
        <f t="shared" si="15"/>
        <v>78.090620921126231</v>
      </c>
      <c r="E53" s="136">
        <f t="shared" si="16"/>
        <v>11.695881122412176</v>
      </c>
      <c r="F53" s="136">
        <f t="shared" si="17"/>
        <v>101.73628135763553</v>
      </c>
      <c r="G53" s="136">
        <v>104.7</v>
      </c>
      <c r="H53" s="136">
        <v>81.070000000000007</v>
      </c>
      <c r="I53" s="136">
        <v>83.62</v>
      </c>
      <c r="J53" s="136">
        <v>1.3</v>
      </c>
      <c r="L53" s="136">
        <v>285.06</v>
      </c>
      <c r="M53" s="136">
        <v>652.06700000000001</v>
      </c>
      <c r="N53" s="846">
        <v>0.28000000000000003</v>
      </c>
      <c r="O53" s="846">
        <v>0.22</v>
      </c>
      <c r="P53" s="846">
        <v>1.41</v>
      </c>
      <c r="Q53" s="846">
        <v>-0.05</v>
      </c>
      <c r="R53" s="846">
        <v>0.84599999999999997</v>
      </c>
      <c r="S53" s="136" t="e">
        <v>#N/A</v>
      </c>
      <c r="T53" s="136">
        <v>5073.5590000000002</v>
      </c>
      <c r="Y53" s="853">
        <v>2004</v>
      </c>
      <c r="Z53" s="853">
        <v>2</v>
      </c>
      <c r="AA53" s="854">
        <v>38168</v>
      </c>
      <c r="AB53" s="136">
        <v>6.9315000000000007</v>
      </c>
      <c r="AC53" s="136">
        <v>1.3407500000000001</v>
      </c>
      <c r="AD53" s="136">
        <v>0.82192899999999991</v>
      </c>
      <c r="AF53" s="138" t="s">
        <v>318</v>
      </c>
      <c r="AG53" s="136">
        <v>104.7</v>
      </c>
      <c r="AH53" s="136">
        <v>81.070000000000007</v>
      </c>
      <c r="AI53" s="136">
        <v>83.62</v>
      </c>
      <c r="AL53" s="853">
        <v>2004</v>
      </c>
      <c r="AM53" s="853">
        <v>2</v>
      </c>
      <c r="AN53" s="854">
        <v>38168</v>
      </c>
      <c r="AO53" s="136">
        <f t="shared" si="18"/>
        <v>78.090620921126231</v>
      </c>
      <c r="AP53" s="136">
        <f t="shared" si="19"/>
        <v>11.695881122412176</v>
      </c>
      <c r="AQ53" s="136">
        <f t="shared" si="20"/>
        <v>101.73628135763553</v>
      </c>
      <c r="AS53" s="853">
        <v>2004</v>
      </c>
      <c r="AT53" s="853">
        <v>2</v>
      </c>
      <c r="AU53" s="854">
        <v>38168</v>
      </c>
      <c r="AV53" s="845">
        <f t="shared" si="21"/>
        <v>8.1341066628943682E-3</v>
      </c>
      <c r="AW53" s="845">
        <f t="shared" si="22"/>
        <v>-9.5730400028844975E-2</v>
      </c>
      <c r="AX53" s="845">
        <f t="shared" si="23"/>
        <v>2.8000000000000004E-3</v>
      </c>
      <c r="AY53" s="845">
        <f t="shared" si="24"/>
        <v>2.2000000000000001E-3</v>
      </c>
      <c r="AZ53" s="845">
        <f t="shared" si="25"/>
        <v>1.41E-2</v>
      </c>
      <c r="BA53" s="845">
        <f t="shared" si="26"/>
        <v>-5.0000000000000001E-4</v>
      </c>
      <c r="BB53" s="845">
        <f t="shared" si="27"/>
        <v>8.4600000000000005E-3</v>
      </c>
      <c r="BC53" s="845" t="e">
        <f t="shared" si="28"/>
        <v>#N/A</v>
      </c>
      <c r="BD53" s="845">
        <f t="shared" si="29"/>
        <v>2.4593595390099383E-2</v>
      </c>
    </row>
    <row r="54" spans="1:56">
      <c r="A54" s="863">
        <v>2004</v>
      </c>
      <c r="B54" s="863">
        <v>1</v>
      </c>
      <c r="C54" s="864">
        <v>38077</v>
      </c>
      <c r="D54" s="136">
        <f t="shared" si="15"/>
        <v>78.82822902796272</v>
      </c>
      <c r="E54" s="136">
        <f t="shared" si="16"/>
        <v>11.739260251826066</v>
      </c>
      <c r="F54" s="136">
        <f t="shared" si="17"/>
        <v>101.8020586529292</v>
      </c>
      <c r="G54" s="136">
        <v>103.60000000000001</v>
      </c>
      <c r="H54" s="136">
        <v>80.600000000000009</v>
      </c>
      <c r="I54" s="136">
        <v>82.84</v>
      </c>
      <c r="J54" s="136">
        <v>0.93</v>
      </c>
      <c r="L54" s="136">
        <v>282.76</v>
      </c>
      <c r="M54" s="136">
        <v>721.09800000000007</v>
      </c>
      <c r="N54" s="846">
        <v>0.93</v>
      </c>
      <c r="O54" s="846">
        <v>1.25</v>
      </c>
      <c r="P54" s="846">
        <v>2.4700000000000002</v>
      </c>
      <c r="Q54" s="846">
        <v>1.25</v>
      </c>
      <c r="R54" s="846">
        <v>0.60499999999999998</v>
      </c>
      <c r="S54" s="136" t="e">
        <v>#N/A</v>
      </c>
      <c r="T54" s="136">
        <v>4951.777</v>
      </c>
      <c r="Y54" s="853">
        <v>2004</v>
      </c>
      <c r="Z54" s="853">
        <v>1</v>
      </c>
      <c r="AA54" s="854">
        <v>38077</v>
      </c>
      <c r="AB54" s="136">
        <v>6.8658500000000009</v>
      </c>
      <c r="AC54" s="136">
        <v>1.3142500000000001</v>
      </c>
      <c r="AD54" s="136">
        <v>0.81373600000000001</v>
      </c>
      <c r="AF54" s="138" t="s">
        <v>319</v>
      </c>
      <c r="AG54" s="136">
        <v>103.60000000000001</v>
      </c>
      <c r="AH54" s="136">
        <v>80.600000000000009</v>
      </c>
      <c r="AI54" s="136">
        <v>82.84</v>
      </c>
      <c r="AL54" s="853">
        <v>2004</v>
      </c>
      <c r="AM54" s="853">
        <v>1</v>
      </c>
      <c r="AN54" s="854">
        <v>38077</v>
      </c>
      <c r="AO54" s="136">
        <f t="shared" si="18"/>
        <v>78.82822902796272</v>
      </c>
      <c r="AP54" s="136">
        <f t="shared" si="19"/>
        <v>11.739260251826066</v>
      </c>
      <c r="AQ54" s="136">
        <f t="shared" si="20"/>
        <v>101.8020586529292</v>
      </c>
      <c r="AS54" s="853">
        <v>2004</v>
      </c>
      <c r="AT54" s="853">
        <v>1</v>
      </c>
      <c r="AU54" s="854">
        <v>38077</v>
      </c>
      <c r="AV54" s="845">
        <f t="shared" si="21"/>
        <v>3.8718683417823682E-2</v>
      </c>
      <c r="AW54" s="845">
        <f t="shared" si="22"/>
        <v>9.7202589715694315E-2</v>
      </c>
      <c r="AX54" s="845">
        <f t="shared" si="23"/>
        <v>9.300000000000001E-3</v>
      </c>
      <c r="AY54" s="845">
        <f t="shared" si="24"/>
        <v>1.2500000000000001E-2</v>
      </c>
      <c r="AZ54" s="845">
        <f t="shared" si="25"/>
        <v>2.4700000000000003E-2</v>
      </c>
      <c r="BA54" s="845">
        <f t="shared" si="26"/>
        <v>1.2500000000000001E-2</v>
      </c>
      <c r="BB54" s="845">
        <f t="shared" si="27"/>
        <v>6.0499999999999998E-3</v>
      </c>
      <c r="BC54" s="845" t="e">
        <f t="shared" si="28"/>
        <v>#N/A</v>
      </c>
      <c r="BD54" s="845">
        <f t="shared" si="29"/>
        <v>0.10008442061906964</v>
      </c>
    </row>
    <row r="55" spans="1:56">
      <c r="A55" s="863">
        <v>2003</v>
      </c>
      <c r="B55" s="863">
        <v>4</v>
      </c>
      <c r="C55" s="864">
        <v>37986</v>
      </c>
      <c r="D55" s="136">
        <f t="shared" si="15"/>
        <v>79.705939253240459</v>
      </c>
      <c r="E55" s="136">
        <f t="shared" si="16"/>
        <v>12.095658970658969</v>
      </c>
      <c r="F55" s="136">
        <f t="shared" si="17"/>
        <v>104.38937387818633</v>
      </c>
      <c r="G55" s="136">
        <v>103</v>
      </c>
      <c r="H55" s="136">
        <v>80.47</v>
      </c>
      <c r="I55" s="136">
        <v>82.76</v>
      </c>
      <c r="J55" s="136">
        <v>0.91</v>
      </c>
      <c r="L55" s="136">
        <v>272.22000000000003</v>
      </c>
      <c r="M55" s="136">
        <v>657.21500000000003</v>
      </c>
      <c r="N55" s="846">
        <v>3.2</v>
      </c>
      <c r="O55" s="846">
        <v>2.5</v>
      </c>
      <c r="P55" s="846">
        <v>2.88</v>
      </c>
      <c r="Q55" s="846">
        <v>4.1100000000000003</v>
      </c>
      <c r="R55" s="846">
        <v>1.871</v>
      </c>
      <c r="S55" s="136" t="e">
        <v>#N/A</v>
      </c>
      <c r="T55" s="136">
        <v>4501.2700000000004</v>
      </c>
      <c r="Y55" s="853">
        <v>2003</v>
      </c>
      <c r="Z55" s="853">
        <v>4</v>
      </c>
      <c r="AA55" s="854">
        <v>37986</v>
      </c>
      <c r="AB55" s="136">
        <v>6.6528000000000009</v>
      </c>
      <c r="AC55" s="136">
        <v>1.2922500000000001</v>
      </c>
      <c r="AD55" s="136">
        <v>0.79280099999999998</v>
      </c>
      <c r="AF55" s="138" t="s">
        <v>320</v>
      </c>
      <c r="AG55" s="136">
        <v>103</v>
      </c>
      <c r="AH55" s="136">
        <v>80.47</v>
      </c>
      <c r="AI55" s="136">
        <v>82.76</v>
      </c>
      <c r="AL55" s="853">
        <v>2003</v>
      </c>
      <c r="AM55" s="853">
        <v>4</v>
      </c>
      <c r="AN55" s="854">
        <v>37986</v>
      </c>
      <c r="AO55" s="136">
        <f t="shared" si="18"/>
        <v>79.705939253240459</v>
      </c>
      <c r="AP55" s="136">
        <f t="shared" si="19"/>
        <v>12.095658970658969</v>
      </c>
      <c r="AQ55" s="136">
        <f t="shared" si="20"/>
        <v>104.38937387818633</v>
      </c>
      <c r="AS55" s="853">
        <v>2003</v>
      </c>
      <c r="AT55" s="853">
        <v>4</v>
      </c>
      <c r="AU55" s="854">
        <v>37986</v>
      </c>
      <c r="AV55" s="845">
        <f t="shared" si="21"/>
        <v>0.14214986993370823</v>
      </c>
      <c r="AW55" s="845">
        <f t="shared" si="22"/>
        <v>0.17806434034742416</v>
      </c>
      <c r="AX55" s="845">
        <f t="shared" si="23"/>
        <v>3.2000000000000001E-2</v>
      </c>
      <c r="AY55" s="845">
        <f t="shared" si="24"/>
        <v>2.5000000000000001E-2</v>
      </c>
      <c r="AZ55" s="845">
        <f t="shared" si="25"/>
        <v>2.8799999999999999E-2</v>
      </c>
      <c r="BA55" s="845">
        <f t="shared" si="26"/>
        <v>4.1100000000000005E-2</v>
      </c>
      <c r="BB55" s="845">
        <f t="shared" si="27"/>
        <v>1.8710000000000001E-2</v>
      </c>
      <c r="BC55" s="845" t="e">
        <f t="shared" si="28"/>
        <v>#N/A</v>
      </c>
      <c r="BD55" s="845">
        <f t="shared" si="29"/>
        <v>0.11350873981426976</v>
      </c>
    </row>
    <row r="56" spans="1:56">
      <c r="A56" s="863">
        <v>2003</v>
      </c>
      <c r="B56" s="863">
        <v>3</v>
      </c>
      <c r="C56" s="864">
        <v>37894</v>
      </c>
      <c r="D56" s="136">
        <f t="shared" si="15"/>
        <v>76.253288376746085</v>
      </c>
      <c r="E56" s="136">
        <f t="shared" si="16"/>
        <v>11.347949942601227</v>
      </c>
      <c r="F56" s="136">
        <f t="shared" si="17"/>
        <v>96.284969972085761</v>
      </c>
      <c r="G56" s="136">
        <v>102.9</v>
      </c>
      <c r="H56" s="136">
        <v>80.070000000000007</v>
      </c>
      <c r="I56" s="136">
        <v>82.68</v>
      </c>
      <c r="J56" s="136">
        <v>0.93</v>
      </c>
      <c r="L56" s="136">
        <v>238.34</v>
      </c>
      <c r="M56" s="136">
        <v>557.87700000000007</v>
      </c>
      <c r="N56" s="846">
        <v>5</v>
      </c>
      <c r="O56" s="846">
        <v>4.55</v>
      </c>
      <c r="P56" s="846">
        <v>3.0500000000000003</v>
      </c>
      <c r="Q56" s="846">
        <v>5.29</v>
      </c>
      <c r="R56" s="846">
        <v>1.1830000000000001</v>
      </c>
      <c r="S56" s="136" t="e">
        <v>#N/A</v>
      </c>
      <c r="T56" s="136">
        <v>4042.42</v>
      </c>
      <c r="Y56" s="853">
        <v>2003</v>
      </c>
      <c r="Z56" s="853">
        <v>3</v>
      </c>
      <c r="AA56" s="854">
        <v>37894</v>
      </c>
      <c r="AB56" s="136">
        <v>7.0559000000000003</v>
      </c>
      <c r="AC56" s="136">
        <v>1.34945</v>
      </c>
      <c r="AD56" s="136">
        <v>0.85870099999999994</v>
      </c>
      <c r="AF56" s="138" t="s">
        <v>321</v>
      </c>
      <c r="AG56" s="136">
        <v>102.9</v>
      </c>
      <c r="AH56" s="136">
        <v>80.070000000000007</v>
      </c>
      <c r="AI56" s="136">
        <v>82.68</v>
      </c>
      <c r="AL56" s="853">
        <v>2003</v>
      </c>
      <c r="AM56" s="853">
        <v>3</v>
      </c>
      <c r="AN56" s="854">
        <v>37894</v>
      </c>
      <c r="AO56" s="136">
        <f t="shared" si="18"/>
        <v>76.253288376746085</v>
      </c>
      <c r="AP56" s="136">
        <f t="shared" si="19"/>
        <v>11.347949942601227</v>
      </c>
      <c r="AQ56" s="136">
        <f t="shared" si="20"/>
        <v>96.284969972085761</v>
      </c>
      <c r="AS56" s="853">
        <v>2003</v>
      </c>
      <c r="AT56" s="853">
        <v>3</v>
      </c>
      <c r="AU56" s="854">
        <v>37894</v>
      </c>
      <c r="AV56" s="845">
        <f t="shared" si="21"/>
        <v>6.0844794587617337E-2</v>
      </c>
      <c r="AW56" s="845">
        <f t="shared" si="22"/>
        <v>0.14226365490298865</v>
      </c>
      <c r="AX56" s="845">
        <f t="shared" si="23"/>
        <v>0.05</v>
      </c>
      <c r="AY56" s="845">
        <f t="shared" si="24"/>
        <v>4.5499999999999999E-2</v>
      </c>
      <c r="AZ56" s="845">
        <f t="shared" si="25"/>
        <v>3.0500000000000003E-2</v>
      </c>
      <c r="BA56" s="845">
        <f t="shared" si="26"/>
        <v>5.2900000000000003E-2</v>
      </c>
      <c r="BB56" s="845">
        <f t="shared" si="27"/>
        <v>1.183E-2</v>
      </c>
      <c r="BC56" s="845" t="e">
        <f t="shared" si="28"/>
        <v>#N/A</v>
      </c>
      <c r="BD56" s="845">
        <f t="shared" si="29"/>
        <v>5.4670633065037706E-3</v>
      </c>
    </row>
    <row r="57" spans="1:56">
      <c r="A57" s="863">
        <v>2003</v>
      </c>
      <c r="B57" s="863">
        <v>2</v>
      </c>
      <c r="C57" s="864">
        <v>37802</v>
      </c>
      <c r="D57" s="136">
        <f t="shared" si="15"/>
        <v>75.436982520699161</v>
      </c>
      <c r="E57" s="136">
        <f t="shared" si="16"/>
        <v>11.138202371716723</v>
      </c>
      <c r="F57" s="136">
        <f t="shared" si="17"/>
        <v>94.669935635008585</v>
      </c>
      <c r="G57" s="136">
        <v>102.5</v>
      </c>
      <c r="H57" s="136">
        <v>80.400000000000006</v>
      </c>
      <c r="I57" s="136">
        <v>82.44</v>
      </c>
      <c r="J57" s="136">
        <v>0.84</v>
      </c>
      <c r="L57" s="136">
        <v>224.67000000000002</v>
      </c>
      <c r="M57" s="136">
        <v>488.39600000000002</v>
      </c>
      <c r="N57" s="846">
        <v>-0.73</v>
      </c>
      <c r="O57" s="846">
        <v>-0.92</v>
      </c>
      <c r="P57" s="846">
        <v>0.43</v>
      </c>
      <c r="Q57" s="846">
        <v>-0.81</v>
      </c>
      <c r="R57" s="846">
        <v>1.4770000000000001</v>
      </c>
      <c r="S57" s="136" t="e">
        <v>#N/A</v>
      </c>
      <c r="T57" s="136">
        <v>4020.44</v>
      </c>
      <c r="Y57" s="853">
        <v>2003</v>
      </c>
      <c r="Z57" s="853">
        <v>2</v>
      </c>
      <c r="AA57" s="854">
        <v>37802</v>
      </c>
      <c r="AB57" s="136">
        <v>7.2184000000000008</v>
      </c>
      <c r="AC57" s="136">
        <v>1.3587500000000001</v>
      </c>
      <c r="AD57" s="136">
        <v>0.87081500000000001</v>
      </c>
      <c r="AF57" s="138" t="s">
        <v>322</v>
      </c>
      <c r="AG57" s="136">
        <v>102.5</v>
      </c>
      <c r="AH57" s="136">
        <v>80.400000000000006</v>
      </c>
      <c r="AI57" s="136">
        <v>82.44</v>
      </c>
      <c r="AL57" s="853">
        <v>2003</v>
      </c>
      <c r="AM57" s="853">
        <v>2</v>
      </c>
      <c r="AN57" s="854">
        <v>37802</v>
      </c>
      <c r="AO57" s="136">
        <f t="shared" si="18"/>
        <v>75.436982520699161</v>
      </c>
      <c r="AP57" s="136">
        <f t="shared" si="19"/>
        <v>11.138202371716723</v>
      </c>
      <c r="AQ57" s="136">
        <f t="shared" si="20"/>
        <v>94.669935635008585</v>
      </c>
      <c r="AS57" s="853">
        <v>2003</v>
      </c>
      <c r="AT57" s="853">
        <v>2</v>
      </c>
      <c r="AU57" s="854">
        <v>37802</v>
      </c>
      <c r="AV57" s="845">
        <f t="shared" si="21"/>
        <v>0.17998949579831938</v>
      </c>
      <c r="AW57" s="845">
        <f t="shared" si="22"/>
        <v>0.23376252655617288</v>
      </c>
      <c r="AX57" s="845">
        <f t="shared" si="23"/>
        <v>-7.3000000000000001E-3</v>
      </c>
      <c r="AY57" s="845">
        <f t="shared" si="24"/>
        <v>-9.1999999999999998E-3</v>
      </c>
      <c r="AZ57" s="845">
        <f t="shared" si="25"/>
        <v>4.3E-3</v>
      </c>
      <c r="BA57" s="845">
        <f t="shared" si="26"/>
        <v>-8.1000000000000013E-3</v>
      </c>
      <c r="BB57" s="845">
        <f t="shared" si="27"/>
        <v>1.477E-2</v>
      </c>
      <c r="BC57" s="845" t="e">
        <f t="shared" si="28"/>
        <v>#N/A</v>
      </c>
      <c r="BD57" s="845">
        <f t="shared" si="29"/>
        <v>3.0879408001517901E-2</v>
      </c>
    </row>
    <row r="58" spans="1:56">
      <c r="A58" s="863">
        <v>2003</v>
      </c>
      <c r="B58" s="863">
        <v>1</v>
      </c>
      <c r="C58" s="864">
        <v>37711</v>
      </c>
      <c r="D58" s="136">
        <f t="shared" si="15"/>
        <v>69.750841293041901</v>
      </c>
      <c r="E58" s="136">
        <f t="shared" si="16"/>
        <v>11.268207311863518</v>
      </c>
      <c r="F58" s="136">
        <f t="shared" si="17"/>
        <v>89.303836005682982</v>
      </c>
      <c r="G58" s="136">
        <v>102.60000000000001</v>
      </c>
      <c r="H58" s="136">
        <v>81.77</v>
      </c>
      <c r="I58" s="136">
        <v>81.84</v>
      </c>
      <c r="J58" s="136">
        <v>1.0900000000000001</v>
      </c>
      <c r="L58" s="136">
        <v>190.4</v>
      </c>
      <c r="M58" s="136">
        <v>395.85899999999998</v>
      </c>
      <c r="N58" s="846">
        <v>0.28000000000000003</v>
      </c>
      <c r="O58" s="846">
        <v>0.57000000000000006</v>
      </c>
      <c r="P58" s="846">
        <v>1.8</v>
      </c>
      <c r="Q58" s="846">
        <v>-0.55000000000000004</v>
      </c>
      <c r="R58" s="846">
        <v>0.26</v>
      </c>
      <c r="S58" s="136" t="e">
        <v>#N/A</v>
      </c>
      <c r="T58" s="136">
        <v>3900.01</v>
      </c>
      <c r="Y58" s="853">
        <v>2003</v>
      </c>
      <c r="Z58" s="853">
        <v>1</v>
      </c>
      <c r="AA58" s="854">
        <v>37711</v>
      </c>
      <c r="AB58" s="136">
        <v>7.2567000000000004</v>
      </c>
      <c r="AC58" s="136">
        <v>1.4709500000000002</v>
      </c>
      <c r="AD58" s="136">
        <v>0.91642199999999996</v>
      </c>
      <c r="AF58" s="138" t="s">
        <v>323</v>
      </c>
      <c r="AG58" s="136">
        <v>102.60000000000001</v>
      </c>
      <c r="AH58" s="136">
        <v>81.77</v>
      </c>
      <c r="AI58" s="136">
        <v>81.84</v>
      </c>
      <c r="AL58" s="853">
        <v>2003</v>
      </c>
      <c r="AM58" s="853">
        <v>1</v>
      </c>
      <c r="AN58" s="854">
        <v>37711</v>
      </c>
      <c r="AO58" s="136">
        <f t="shared" si="18"/>
        <v>69.750841293041901</v>
      </c>
      <c r="AP58" s="136">
        <f t="shared" si="19"/>
        <v>11.268207311863518</v>
      </c>
      <c r="AQ58" s="136">
        <f t="shared" si="20"/>
        <v>89.303836005682982</v>
      </c>
      <c r="AS58" s="853">
        <v>2003</v>
      </c>
      <c r="AT58" s="853">
        <v>1</v>
      </c>
      <c r="AU58" s="854">
        <v>37711</v>
      </c>
      <c r="AV58" s="845">
        <f t="shared" si="21"/>
        <v>-4.6665331464049636E-2</v>
      </c>
      <c r="AW58" s="845">
        <f t="shared" si="22"/>
        <v>-5.8695543618607432E-2</v>
      </c>
      <c r="AX58" s="845">
        <f t="shared" si="23"/>
        <v>2.8000000000000004E-3</v>
      </c>
      <c r="AY58" s="845">
        <f t="shared" si="24"/>
        <v>5.7000000000000002E-3</v>
      </c>
      <c r="AZ58" s="845">
        <f t="shared" si="25"/>
        <v>1.8000000000000002E-2</v>
      </c>
      <c r="BA58" s="845">
        <f t="shared" si="26"/>
        <v>-5.5000000000000005E-3</v>
      </c>
      <c r="BB58" s="845">
        <f t="shared" si="27"/>
        <v>2.5999999999999999E-3</v>
      </c>
      <c r="BC58" s="845" t="e">
        <f t="shared" si="28"/>
        <v>#N/A</v>
      </c>
      <c r="BD58" s="845">
        <f t="shared" si="29"/>
        <v>4.5926796039434017E-2</v>
      </c>
    </row>
    <row r="59" spans="1:56">
      <c r="A59" s="863">
        <v>2002</v>
      </c>
      <c r="B59" s="863">
        <v>4</v>
      </c>
      <c r="C59" s="864">
        <v>37621</v>
      </c>
      <c r="D59" s="136">
        <f t="shared" si="15"/>
        <v>64.122040764653761</v>
      </c>
      <c r="E59" s="136">
        <f t="shared" si="16"/>
        <v>11.475587311897801</v>
      </c>
      <c r="F59" s="136">
        <f t="shared" si="17"/>
        <v>85.25329905291602</v>
      </c>
      <c r="G59" s="136">
        <v>101.30000000000001</v>
      </c>
      <c r="H59" s="136">
        <v>79.5</v>
      </c>
      <c r="I59" s="136">
        <v>81.239999999999995</v>
      </c>
      <c r="J59" s="136">
        <v>1.19</v>
      </c>
      <c r="L59" s="136">
        <v>199.72</v>
      </c>
      <c r="M59" s="136">
        <v>420.54300000000001</v>
      </c>
      <c r="N59" s="846">
        <v>4.32</v>
      </c>
      <c r="O59" s="846">
        <v>3.62</v>
      </c>
      <c r="P59" s="846">
        <v>2.84</v>
      </c>
      <c r="Q59" s="846">
        <v>5.23</v>
      </c>
      <c r="R59" s="846">
        <v>-6.2E-2</v>
      </c>
      <c r="S59" s="136" t="e">
        <v>#N/A</v>
      </c>
      <c r="T59" s="136">
        <v>3728.76</v>
      </c>
      <c r="Y59" s="853">
        <v>2002</v>
      </c>
      <c r="Z59" s="853">
        <v>4</v>
      </c>
      <c r="AA59" s="854">
        <v>37621</v>
      </c>
      <c r="AB59" s="136">
        <v>6.9277500000000005</v>
      </c>
      <c r="AC59" s="136">
        <v>1.5798000000000001</v>
      </c>
      <c r="AD59" s="136">
        <v>0.95292499999999991</v>
      </c>
      <c r="AF59" s="138" t="s">
        <v>324</v>
      </c>
      <c r="AG59" s="136">
        <v>101.30000000000001</v>
      </c>
      <c r="AH59" s="136">
        <v>79.5</v>
      </c>
      <c r="AI59" s="136">
        <v>81.239999999999995</v>
      </c>
      <c r="AL59" s="853">
        <v>2002</v>
      </c>
      <c r="AM59" s="853">
        <v>4</v>
      </c>
      <c r="AN59" s="854">
        <v>37621</v>
      </c>
      <c r="AO59" s="136">
        <f t="shared" si="18"/>
        <v>64.122040764653761</v>
      </c>
      <c r="AP59" s="136">
        <f t="shared" si="19"/>
        <v>11.475587311897801</v>
      </c>
      <c r="AQ59" s="136">
        <f t="shared" si="20"/>
        <v>85.25329905291602</v>
      </c>
      <c r="AS59" s="853">
        <v>2002</v>
      </c>
      <c r="AT59" s="853">
        <v>4</v>
      </c>
      <c r="AU59" s="854">
        <v>37621</v>
      </c>
      <c r="AV59" s="845">
        <f t="shared" si="21"/>
        <v>6.8764381655696441E-2</v>
      </c>
      <c r="AW59" s="845">
        <f t="shared" si="22"/>
        <v>0.10037076479068932</v>
      </c>
      <c r="AX59" s="845">
        <f t="shared" si="23"/>
        <v>4.3200000000000002E-2</v>
      </c>
      <c r="AY59" s="845">
        <f t="shared" si="24"/>
        <v>3.6200000000000003E-2</v>
      </c>
      <c r="AZ59" s="845">
        <f t="shared" si="25"/>
        <v>2.8399999999999998E-2</v>
      </c>
      <c r="BA59" s="845">
        <f t="shared" si="26"/>
        <v>5.2300000000000006E-2</v>
      </c>
      <c r="BB59" s="845">
        <f t="shared" si="27"/>
        <v>-6.2E-4</v>
      </c>
      <c r="BC59" s="845" t="e">
        <f t="shared" si="28"/>
        <v>#N/A</v>
      </c>
      <c r="BD59" s="845">
        <f t="shared" si="29"/>
        <v>3.1854219418039967E-2</v>
      </c>
    </row>
    <row r="60" spans="1:56">
      <c r="A60" s="863">
        <v>2002</v>
      </c>
      <c r="B60" s="863">
        <v>3</v>
      </c>
      <c r="C60" s="864">
        <v>37529</v>
      </c>
      <c r="D60" s="136">
        <f t="shared" si="15"/>
        <v>63.548102383053845</v>
      </c>
      <c r="E60" s="136">
        <f t="shared" si="16"/>
        <v>10.602094240837696</v>
      </c>
      <c r="F60" s="136">
        <f t="shared" si="17"/>
        <v>80.058188200484437</v>
      </c>
      <c r="G60" s="136">
        <v>100.80000000000001</v>
      </c>
      <c r="H60" s="136">
        <v>78.570000000000007</v>
      </c>
      <c r="I60" s="136">
        <v>81.010000000000005</v>
      </c>
      <c r="J60" s="136">
        <v>1.6</v>
      </c>
      <c r="L60" s="136">
        <v>186.87</v>
      </c>
      <c r="M60" s="136">
        <v>382.18299999999999</v>
      </c>
      <c r="N60" s="846">
        <v>1.37</v>
      </c>
      <c r="O60" s="846">
        <v>0.96</v>
      </c>
      <c r="P60" s="846">
        <v>-2.9</v>
      </c>
      <c r="Q60" s="846">
        <v>2.58</v>
      </c>
      <c r="R60" s="846">
        <v>-1.411</v>
      </c>
      <c r="S60" s="136" t="e">
        <v>#N/A</v>
      </c>
      <c r="T60" s="136">
        <v>3613.65</v>
      </c>
      <c r="Y60" s="853">
        <v>2002</v>
      </c>
      <c r="Z60" s="853">
        <v>3</v>
      </c>
      <c r="AA60" s="854">
        <v>37529</v>
      </c>
      <c r="AB60" s="136">
        <v>7.4108000000000009</v>
      </c>
      <c r="AC60" s="136">
        <v>1.5862000000000001</v>
      </c>
      <c r="AD60" s="136">
        <v>1.011889</v>
      </c>
      <c r="AF60" s="138" t="s">
        <v>325</v>
      </c>
      <c r="AG60" s="136">
        <v>100.80000000000001</v>
      </c>
      <c r="AH60" s="136">
        <v>78.570000000000007</v>
      </c>
      <c r="AI60" s="136">
        <v>81.010000000000005</v>
      </c>
      <c r="AL60" s="853">
        <v>2002</v>
      </c>
      <c r="AM60" s="853">
        <v>3</v>
      </c>
      <c r="AN60" s="854">
        <v>37529</v>
      </c>
      <c r="AO60" s="136">
        <f t="shared" si="18"/>
        <v>63.548102383053845</v>
      </c>
      <c r="AP60" s="136">
        <f t="shared" si="19"/>
        <v>10.602094240837696</v>
      </c>
      <c r="AQ60" s="136">
        <f t="shared" si="20"/>
        <v>80.058188200484437</v>
      </c>
      <c r="AS60" s="853">
        <v>2002</v>
      </c>
      <c r="AT60" s="853">
        <v>3</v>
      </c>
      <c r="AU60" s="854">
        <v>37529</v>
      </c>
      <c r="AV60" s="845">
        <f t="shared" si="21"/>
        <v>-0.17594919962958064</v>
      </c>
      <c r="AW60" s="845">
        <f t="shared" si="22"/>
        <v>-0.16304121690723183</v>
      </c>
      <c r="AX60" s="845">
        <f t="shared" si="23"/>
        <v>1.37E-2</v>
      </c>
      <c r="AY60" s="845">
        <f t="shared" si="24"/>
        <v>9.5999999999999992E-3</v>
      </c>
      <c r="AZ60" s="845">
        <f t="shared" si="25"/>
        <v>-2.8999999999999998E-2</v>
      </c>
      <c r="BA60" s="845">
        <f t="shared" si="26"/>
        <v>2.58E-2</v>
      </c>
      <c r="BB60" s="845">
        <f t="shared" si="27"/>
        <v>-1.4110000000000001E-2</v>
      </c>
      <c r="BC60" s="845" t="e">
        <f t="shared" si="28"/>
        <v>#N/A</v>
      </c>
      <c r="BD60" s="845">
        <f t="shared" si="29"/>
        <v>0.11532063172644524</v>
      </c>
    </row>
    <row r="61" spans="1:56">
      <c r="A61" s="863">
        <v>2002</v>
      </c>
      <c r="B61" s="863">
        <v>2</v>
      </c>
      <c r="C61" s="864">
        <v>37437</v>
      </c>
      <c r="D61" s="136">
        <f t="shared" si="15"/>
        <v>65.553290814649216</v>
      </c>
      <c r="E61" s="136">
        <f t="shared" si="16"/>
        <v>10.477992617565928</v>
      </c>
      <c r="F61" s="136">
        <f t="shared" si="17"/>
        <v>79.817965264074815</v>
      </c>
      <c r="G61" s="136">
        <v>99.7</v>
      </c>
      <c r="H61" s="136">
        <v>78.63</v>
      </c>
      <c r="I61" s="136">
        <v>80.820000000000007</v>
      </c>
      <c r="J61" s="136">
        <v>1.67</v>
      </c>
      <c r="L61" s="136">
        <v>226.77</v>
      </c>
      <c r="M61" s="136">
        <v>456.63299999999998</v>
      </c>
      <c r="N61" s="846">
        <v>2.31</v>
      </c>
      <c r="O61" s="846">
        <v>2.23</v>
      </c>
      <c r="P61" s="846">
        <v>-5.5600000000000005</v>
      </c>
      <c r="Q61" s="846">
        <v>3.88</v>
      </c>
      <c r="R61" s="846">
        <v>-1.712</v>
      </c>
      <c r="S61" s="136" t="e">
        <v>#N/A</v>
      </c>
      <c r="T61" s="136">
        <v>3240.01</v>
      </c>
      <c r="Y61" s="853">
        <v>2002</v>
      </c>
      <c r="Z61" s="853">
        <v>2</v>
      </c>
      <c r="AA61" s="854">
        <v>37437</v>
      </c>
      <c r="AB61" s="136">
        <v>7.5043000000000006</v>
      </c>
      <c r="AC61" s="136">
        <v>1.5209000000000001</v>
      </c>
      <c r="AD61" s="136">
        <v>1.012554</v>
      </c>
      <c r="AF61" s="138" t="s">
        <v>326</v>
      </c>
      <c r="AG61" s="136">
        <v>99.7</v>
      </c>
      <c r="AH61" s="136">
        <v>78.63</v>
      </c>
      <c r="AI61" s="136">
        <v>80.820000000000007</v>
      </c>
      <c r="AL61" s="853">
        <v>2002</v>
      </c>
      <c r="AM61" s="853">
        <v>2</v>
      </c>
      <c r="AN61" s="854">
        <v>37437</v>
      </c>
      <c r="AO61" s="136">
        <f t="shared" si="18"/>
        <v>65.553290814649216</v>
      </c>
      <c r="AP61" s="136">
        <f t="shared" si="19"/>
        <v>10.477992617565928</v>
      </c>
      <c r="AQ61" s="136">
        <f t="shared" si="20"/>
        <v>79.817965264074815</v>
      </c>
      <c r="AS61" s="853">
        <v>2002</v>
      </c>
      <c r="AT61" s="853">
        <v>2</v>
      </c>
      <c r="AU61" s="854">
        <v>37437</v>
      </c>
      <c r="AV61" s="845">
        <f t="shared" si="21"/>
        <v>-8.1716946750354347E-2</v>
      </c>
      <c r="AW61" s="845">
        <f t="shared" si="22"/>
        <v>-8.3851797755739629E-2</v>
      </c>
      <c r="AX61" s="845">
        <f t="shared" si="23"/>
        <v>2.3099999999999999E-2</v>
      </c>
      <c r="AY61" s="845">
        <f t="shared" si="24"/>
        <v>2.23E-2</v>
      </c>
      <c r="AZ61" s="845">
        <f t="shared" si="25"/>
        <v>-5.5600000000000004E-2</v>
      </c>
      <c r="BA61" s="845">
        <f t="shared" si="26"/>
        <v>3.8800000000000001E-2</v>
      </c>
      <c r="BB61" s="845">
        <f t="shared" si="27"/>
        <v>-1.712E-2</v>
      </c>
      <c r="BC61" s="845" t="e">
        <f t="shared" si="28"/>
        <v>#N/A</v>
      </c>
      <c r="BD61" s="845">
        <f t="shared" si="29"/>
        <v>1.2347165245202074E-4</v>
      </c>
    </row>
    <row r="62" spans="1:56">
      <c r="A62" s="863">
        <v>2002</v>
      </c>
      <c r="B62" s="863">
        <v>1</v>
      </c>
      <c r="C62" s="864">
        <v>37346</v>
      </c>
      <c r="D62" s="136">
        <f t="shared" si="15"/>
        <v>61.551961890434995</v>
      </c>
      <c r="E62" s="136">
        <f t="shared" si="16"/>
        <v>8.8510705753139245</v>
      </c>
      <c r="F62" s="136">
        <f t="shared" si="17"/>
        <v>69.704892690233734</v>
      </c>
      <c r="G62" s="136">
        <v>98.2</v>
      </c>
      <c r="H62" s="136">
        <v>78.17</v>
      </c>
      <c r="I62" s="136">
        <v>79.900000000000006</v>
      </c>
      <c r="J62" s="136">
        <v>1.79</v>
      </c>
      <c r="L62" s="136">
        <v>246.95000000000002</v>
      </c>
      <c r="M62" s="136">
        <v>498.42700000000002</v>
      </c>
      <c r="N62" s="846">
        <v>-0.9</v>
      </c>
      <c r="O62" s="846">
        <v>-0.78</v>
      </c>
      <c r="P62" s="846">
        <v>-0.03</v>
      </c>
      <c r="Q62" s="846">
        <v>0.26</v>
      </c>
      <c r="R62" s="846">
        <v>2.0329999999999999</v>
      </c>
      <c r="S62" s="136" t="e">
        <v>#N/A</v>
      </c>
      <c r="T62" s="136">
        <v>3239.61</v>
      </c>
      <c r="Y62" s="853">
        <v>2002</v>
      </c>
      <c r="Z62" s="853">
        <v>1</v>
      </c>
      <c r="AA62" s="854">
        <v>37346</v>
      </c>
      <c r="AB62" s="136">
        <v>8.8317000000000014</v>
      </c>
      <c r="AC62" s="136">
        <v>1.5954000000000002</v>
      </c>
      <c r="AD62" s="136">
        <v>1.146261</v>
      </c>
      <c r="AF62" s="138" t="s">
        <v>327</v>
      </c>
      <c r="AG62" s="136">
        <v>98.2</v>
      </c>
      <c r="AH62" s="136">
        <v>78.17</v>
      </c>
      <c r="AI62" s="136">
        <v>79.900000000000006</v>
      </c>
      <c r="AL62" s="853">
        <v>2002</v>
      </c>
      <c r="AM62" s="853">
        <v>1</v>
      </c>
      <c r="AN62" s="854">
        <v>37346</v>
      </c>
      <c r="AO62" s="136">
        <f t="shared" si="18"/>
        <v>61.551961890434995</v>
      </c>
      <c r="AP62" s="136">
        <f t="shared" si="19"/>
        <v>8.8510705753139245</v>
      </c>
      <c r="AQ62" s="136">
        <f t="shared" si="20"/>
        <v>69.704892690233734</v>
      </c>
      <c r="AS62" s="853">
        <v>2002</v>
      </c>
      <c r="AT62" s="853">
        <v>1</v>
      </c>
      <c r="AU62" s="854">
        <v>37346</v>
      </c>
      <c r="AV62" s="845">
        <f t="shared" si="21"/>
        <v>1.0351035103510355E-2</v>
      </c>
      <c r="AW62" s="845">
        <f t="shared" si="22"/>
        <v>0.11408467389530769</v>
      </c>
      <c r="AX62" s="845">
        <f t="shared" si="23"/>
        <v>-9.0000000000000011E-3</v>
      </c>
      <c r="AY62" s="845">
        <f t="shared" si="24"/>
        <v>-7.8000000000000005E-3</v>
      </c>
      <c r="AZ62" s="845">
        <f t="shared" si="25"/>
        <v>-2.9999999999999997E-4</v>
      </c>
      <c r="BA62" s="845">
        <f t="shared" si="26"/>
        <v>2.5999999999999999E-3</v>
      </c>
      <c r="BB62" s="845">
        <f t="shared" si="27"/>
        <v>2.0330000000000001E-2</v>
      </c>
      <c r="BC62" s="845" t="e">
        <f t="shared" si="28"/>
        <v>#N/A</v>
      </c>
      <c r="BD62" s="845">
        <f t="shared" si="29"/>
        <v>0.14743478491862511</v>
      </c>
    </row>
    <row r="63" spans="1:56">
      <c r="A63" s="863">
        <v>2001</v>
      </c>
      <c r="B63" s="863">
        <v>4</v>
      </c>
      <c r="C63" s="864">
        <v>37256</v>
      </c>
      <c r="D63" s="136">
        <f t="shared" si="15"/>
        <v>61.143304620203601</v>
      </c>
      <c r="E63" s="136">
        <f t="shared" si="16"/>
        <v>8.6706877905745152</v>
      </c>
      <c r="F63" s="136">
        <f t="shared" si="17"/>
        <v>70.341584074665377</v>
      </c>
      <c r="G63" s="136">
        <v>97.600000000000009</v>
      </c>
      <c r="H63" s="136">
        <v>77.77</v>
      </c>
      <c r="I63" s="136">
        <v>79</v>
      </c>
      <c r="J63" s="136">
        <v>1.73</v>
      </c>
      <c r="L63" s="136">
        <v>244.42000000000002</v>
      </c>
      <c r="M63" s="136">
        <v>447.387</v>
      </c>
      <c r="N63" s="846">
        <v>-1.67</v>
      </c>
      <c r="O63" s="846">
        <v>-1.33</v>
      </c>
      <c r="P63" s="846">
        <v>0.67</v>
      </c>
      <c r="Q63" s="846">
        <v>-0.39</v>
      </c>
      <c r="R63" s="846">
        <v>1.85</v>
      </c>
      <c r="S63" s="136" t="e">
        <v>#N/A</v>
      </c>
      <c r="T63" s="136">
        <v>2823.35</v>
      </c>
      <c r="Y63" s="853">
        <v>2001</v>
      </c>
      <c r="Z63" s="853">
        <v>4</v>
      </c>
      <c r="AA63" s="854">
        <v>37256</v>
      </c>
      <c r="AB63" s="136">
        <v>8.9693000000000005</v>
      </c>
      <c r="AC63" s="136">
        <v>1.5962500000000002</v>
      </c>
      <c r="AD63" s="136">
        <v>1.1230909999999998</v>
      </c>
      <c r="AF63" s="138" t="s">
        <v>328</v>
      </c>
      <c r="AG63" s="136">
        <v>97.600000000000009</v>
      </c>
      <c r="AH63" s="136">
        <v>77.77</v>
      </c>
      <c r="AI63" s="136">
        <v>79</v>
      </c>
      <c r="AL63" s="853">
        <v>2001</v>
      </c>
      <c r="AM63" s="853">
        <v>4</v>
      </c>
      <c r="AN63" s="854">
        <v>37256</v>
      </c>
      <c r="AO63" s="136">
        <f t="shared" si="18"/>
        <v>61.143304620203601</v>
      </c>
      <c r="AP63" s="136">
        <f t="shared" si="19"/>
        <v>8.6706877905745152</v>
      </c>
      <c r="AQ63" s="136">
        <f t="shared" si="20"/>
        <v>70.341584074665377</v>
      </c>
      <c r="AS63" s="853">
        <v>2001</v>
      </c>
      <c r="AT63" s="853">
        <v>4</v>
      </c>
      <c r="AU63" s="854">
        <v>37256</v>
      </c>
      <c r="AV63" s="845">
        <f t="shared" si="21"/>
        <v>0.10482303485060794</v>
      </c>
      <c r="AW63" s="845">
        <f t="shared" si="22"/>
        <v>0.26604390815396711</v>
      </c>
      <c r="AX63" s="845">
        <f t="shared" si="23"/>
        <v>-1.67E-2</v>
      </c>
      <c r="AY63" s="845">
        <f t="shared" si="24"/>
        <v>-1.3300000000000001E-2</v>
      </c>
      <c r="AZ63" s="845">
        <f t="shared" si="25"/>
        <v>6.7000000000000002E-3</v>
      </c>
      <c r="BA63" s="845">
        <f t="shared" si="26"/>
        <v>-3.9000000000000003E-3</v>
      </c>
      <c r="BB63" s="845">
        <f t="shared" si="27"/>
        <v>1.8500000000000003E-2</v>
      </c>
      <c r="BC63" s="845" t="e">
        <f t="shared" si="28"/>
        <v>#N/A</v>
      </c>
      <c r="BD63" s="845">
        <f t="shared" si="29"/>
        <v>-0.11333630630856981</v>
      </c>
    </row>
    <row r="64" spans="1:56">
      <c r="A64" s="863">
        <v>2001</v>
      </c>
      <c r="B64" s="863">
        <v>3</v>
      </c>
      <c r="C64" s="864">
        <v>37164</v>
      </c>
      <c r="D64" s="136">
        <f t="shared" si="15"/>
        <v>62.353611445211115</v>
      </c>
      <c r="E64" s="136">
        <f t="shared" si="16"/>
        <v>8.7343777305500279</v>
      </c>
      <c r="F64" s="136">
        <f t="shared" si="17"/>
        <v>71.480871649533356</v>
      </c>
      <c r="G64" s="136">
        <v>98.5</v>
      </c>
      <c r="H64" s="136">
        <v>77.47</v>
      </c>
      <c r="I64" s="136">
        <v>78.489999999999995</v>
      </c>
      <c r="J64" s="136">
        <v>2.37</v>
      </c>
      <c r="L64" s="136">
        <v>221.23000000000002</v>
      </c>
      <c r="M64" s="136">
        <v>353.37400000000002</v>
      </c>
      <c r="N64" s="846">
        <v>-0.13</v>
      </c>
      <c r="O64" s="846">
        <v>0.24</v>
      </c>
      <c r="P64" s="846">
        <v>-3.47</v>
      </c>
      <c r="Q64" s="846">
        <v>-0.28999999999999998</v>
      </c>
      <c r="R64" s="846">
        <v>-2.754</v>
      </c>
      <c r="S64" s="136" t="e">
        <v>#N/A</v>
      </c>
      <c r="T64" s="136">
        <v>3184.2400000000002</v>
      </c>
      <c r="Y64" s="853">
        <v>2001</v>
      </c>
      <c r="Z64" s="853">
        <v>3</v>
      </c>
      <c r="AA64" s="854">
        <v>37164</v>
      </c>
      <c r="AB64" s="136">
        <v>8.8695500000000003</v>
      </c>
      <c r="AC64" s="136">
        <v>1.5797000000000001</v>
      </c>
      <c r="AD64" s="136">
        <v>1.0980559999999999</v>
      </c>
      <c r="AF64" s="138" t="s">
        <v>329</v>
      </c>
      <c r="AG64" s="136">
        <v>98.5</v>
      </c>
      <c r="AH64" s="136">
        <v>77.47</v>
      </c>
      <c r="AI64" s="136">
        <v>78.489999999999995</v>
      </c>
      <c r="AL64" s="853">
        <v>2001</v>
      </c>
      <c r="AM64" s="853">
        <v>3</v>
      </c>
      <c r="AN64" s="854">
        <v>37164</v>
      </c>
      <c r="AO64" s="136">
        <f t="shared" si="18"/>
        <v>62.353611445211115</v>
      </c>
      <c r="AP64" s="136">
        <f t="shared" si="19"/>
        <v>8.7343777305500279</v>
      </c>
      <c r="AQ64" s="136">
        <f t="shared" si="20"/>
        <v>71.480871649533356</v>
      </c>
      <c r="AS64" s="853">
        <v>2001</v>
      </c>
      <c r="AT64" s="853">
        <v>3</v>
      </c>
      <c r="AU64" s="854">
        <v>37164</v>
      </c>
      <c r="AV64" s="845">
        <f t="shared" si="21"/>
        <v>-0.15237547892720299</v>
      </c>
      <c r="AW64" s="845">
        <f t="shared" si="22"/>
        <v>-0.21599975151531287</v>
      </c>
      <c r="AX64" s="845">
        <f t="shared" si="23"/>
        <v>-1.2999999999999999E-3</v>
      </c>
      <c r="AY64" s="845">
        <f t="shared" si="24"/>
        <v>2.3999999999999998E-3</v>
      </c>
      <c r="AZ64" s="845">
        <f t="shared" si="25"/>
        <v>-3.4700000000000002E-2</v>
      </c>
      <c r="BA64" s="845">
        <f t="shared" si="26"/>
        <v>-2.8999999999999998E-3</v>
      </c>
      <c r="BB64" s="845">
        <f t="shared" si="27"/>
        <v>-2.7539999999999999E-2</v>
      </c>
      <c r="BC64" s="845" t="e">
        <f t="shared" si="28"/>
        <v>#N/A</v>
      </c>
      <c r="BD64" s="845">
        <f t="shared" si="29"/>
        <v>-9.8896061080281011E-2</v>
      </c>
    </row>
    <row r="65" spans="1:56">
      <c r="A65" s="863">
        <v>2001</v>
      </c>
      <c r="B65" s="863">
        <v>2</v>
      </c>
      <c r="C65" s="864">
        <v>37072</v>
      </c>
      <c r="D65" s="136">
        <f t="shared" si="15"/>
        <v>64.839219820769642</v>
      </c>
      <c r="E65" s="136">
        <f t="shared" si="16"/>
        <v>8.383810793875222</v>
      </c>
      <c r="F65" s="136">
        <f t="shared" si="17"/>
        <v>66.200217563374864</v>
      </c>
      <c r="G65" s="136">
        <v>98.4</v>
      </c>
      <c r="H65" s="136">
        <v>78.27</v>
      </c>
      <c r="I65" s="136">
        <v>78.2</v>
      </c>
      <c r="J65" s="136">
        <v>3.62</v>
      </c>
      <c r="L65" s="136">
        <v>261</v>
      </c>
      <c r="M65" s="136">
        <v>450.73200000000003</v>
      </c>
      <c r="N65" s="846">
        <v>-0.42</v>
      </c>
      <c r="O65" s="846">
        <v>-0.36</v>
      </c>
      <c r="P65" s="846">
        <v>2.1800000000000002</v>
      </c>
      <c r="Q65" s="846">
        <v>0.26</v>
      </c>
      <c r="R65" s="846">
        <v>0.33300000000000002</v>
      </c>
      <c r="S65" s="136" t="e">
        <v>#N/A</v>
      </c>
      <c r="T65" s="136">
        <v>3533.71</v>
      </c>
      <c r="Y65" s="853">
        <v>2001</v>
      </c>
      <c r="Z65" s="853">
        <v>2</v>
      </c>
      <c r="AA65" s="854">
        <v>37072</v>
      </c>
      <c r="AB65" s="136">
        <v>9.3358500000000006</v>
      </c>
      <c r="AC65" s="136">
        <v>1.5176000000000001</v>
      </c>
      <c r="AD65" s="136">
        <v>1.181265</v>
      </c>
      <c r="AF65" s="138" t="s">
        <v>330</v>
      </c>
      <c r="AG65" s="136">
        <v>98.4</v>
      </c>
      <c r="AH65" s="136">
        <v>78.27</v>
      </c>
      <c r="AI65" s="136">
        <v>78.2</v>
      </c>
      <c r="AL65" s="853">
        <v>2001</v>
      </c>
      <c r="AM65" s="853">
        <v>2</v>
      </c>
      <c r="AN65" s="854">
        <v>37072</v>
      </c>
      <c r="AO65" s="136">
        <f t="shared" si="18"/>
        <v>64.839219820769642</v>
      </c>
      <c r="AP65" s="136">
        <f t="shared" si="19"/>
        <v>8.383810793875222</v>
      </c>
      <c r="AQ65" s="136">
        <f t="shared" si="20"/>
        <v>66.200217563374864</v>
      </c>
      <c r="AS65" s="853">
        <v>2001</v>
      </c>
      <c r="AT65" s="853">
        <v>2</v>
      </c>
      <c r="AU65" s="854">
        <v>37072</v>
      </c>
      <c r="AV65" s="845">
        <f t="shared" si="21"/>
        <v>4.5045045045045043E-2</v>
      </c>
      <c r="AW65" s="845">
        <f t="shared" si="22"/>
        <v>4.0139567727732174E-2</v>
      </c>
      <c r="AX65" s="845">
        <f t="shared" si="23"/>
        <v>-4.1999999999999997E-3</v>
      </c>
      <c r="AY65" s="845">
        <f t="shared" si="24"/>
        <v>-3.5999999999999999E-3</v>
      </c>
      <c r="AZ65" s="845">
        <f t="shared" si="25"/>
        <v>2.18E-2</v>
      </c>
      <c r="BA65" s="845">
        <f t="shared" si="26"/>
        <v>2.5999999999999999E-3</v>
      </c>
      <c r="BB65" s="845">
        <f t="shared" si="27"/>
        <v>3.3300000000000001E-3</v>
      </c>
      <c r="BC65" s="845" t="e">
        <f t="shared" si="28"/>
        <v>#N/A</v>
      </c>
      <c r="BD65" s="845">
        <f t="shared" si="29"/>
        <v>-5.0366420952775118E-2</v>
      </c>
    </row>
    <row r="66" spans="1:56">
      <c r="A66" s="863">
        <v>2001</v>
      </c>
      <c r="B66" s="863">
        <v>1</v>
      </c>
      <c r="C66" s="864">
        <v>36981</v>
      </c>
      <c r="D66" s="136">
        <f t="shared" si="15"/>
        <v>61.412422202464114</v>
      </c>
      <c r="E66" s="136">
        <f t="shared" si="16"/>
        <v>8.4937040980997018</v>
      </c>
      <c r="F66" s="136">
        <f t="shared" si="17"/>
        <v>68.067983119140195</v>
      </c>
      <c r="G66" s="136">
        <v>96.7</v>
      </c>
      <c r="H66" s="136">
        <v>77.37</v>
      </c>
      <c r="I66" s="136">
        <v>77</v>
      </c>
      <c r="J66" s="136">
        <v>4.29</v>
      </c>
      <c r="L66" s="136">
        <v>249.75</v>
      </c>
      <c r="M66" s="136">
        <v>433.33800000000002</v>
      </c>
      <c r="N66" s="846">
        <v>-1.46</v>
      </c>
      <c r="O66" s="846">
        <v>-1.41</v>
      </c>
      <c r="P66" s="846">
        <v>-1.07</v>
      </c>
      <c r="Q66" s="846">
        <v>-1.54</v>
      </c>
      <c r="R66" s="846">
        <v>-1.7150000000000001</v>
      </c>
      <c r="S66" s="136" t="e">
        <v>#N/A</v>
      </c>
      <c r="T66" s="136">
        <v>3721.13</v>
      </c>
      <c r="Y66" s="853">
        <v>2001</v>
      </c>
      <c r="Z66" s="853">
        <v>1</v>
      </c>
      <c r="AA66" s="854">
        <v>36981</v>
      </c>
      <c r="AB66" s="136">
        <v>9.1091000000000015</v>
      </c>
      <c r="AC66" s="136">
        <v>1.5746000000000002</v>
      </c>
      <c r="AD66" s="136">
        <v>1.1312219999999999</v>
      </c>
      <c r="AF66" s="138" t="s">
        <v>331</v>
      </c>
      <c r="AG66" s="136">
        <v>96.7</v>
      </c>
      <c r="AH66" s="136">
        <v>77.37</v>
      </c>
      <c r="AI66" s="136">
        <v>77</v>
      </c>
      <c r="AL66" s="853">
        <v>2001</v>
      </c>
      <c r="AM66" s="853">
        <v>1</v>
      </c>
      <c r="AN66" s="854">
        <v>36981</v>
      </c>
      <c r="AO66" s="136">
        <f t="shared" si="18"/>
        <v>61.412422202464114</v>
      </c>
      <c r="AP66" s="136">
        <f t="shared" si="19"/>
        <v>8.4937040980997018</v>
      </c>
      <c r="AQ66" s="136">
        <f t="shared" si="20"/>
        <v>68.067983119140195</v>
      </c>
      <c r="AS66" s="853">
        <v>2001</v>
      </c>
      <c r="AT66" s="853">
        <v>1</v>
      </c>
      <c r="AU66" s="854">
        <v>36981</v>
      </c>
      <c r="AV66" s="845">
        <f t="shared" si="21"/>
        <v>-0.13202891499270178</v>
      </c>
      <c r="AW66" s="845">
        <f t="shared" si="22"/>
        <v>-5.4377783645421639E-2</v>
      </c>
      <c r="AX66" s="845">
        <f t="shared" si="23"/>
        <v>-1.46E-2</v>
      </c>
      <c r="AY66" s="845">
        <f t="shared" si="24"/>
        <v>-1.41E-2</v>
      </c>
      <c r="AZ66" s="845">
        <f t="shared" si="25"/>
        <v>-1.0700000000000001E-2</v>
      </c>
      <c r="BA66" s="845">
        <f t="shared" si="26"/>
        <v>-1.54E-2</v>
      </c>
      <c r="BB66" s="845">
        <f t="shared" si="27"/>
        <v>-1.7150000000000002E-2</v>
      </c>
      <c r="BC66" s="845" t="e">
        <f t="shared" si="28"/>
        <v>#N/A</v>
      </c>
      <c r="BD66" s="845">
        <f t="shared" si="29"/>
        <v>-0.10288777592891629</v>
      </c>
    </row>
    <row r="67" spans="1:56">
      <c r="A67" s="863">
        <v>2000</v>
      </c>
      <c r="B67" s="863">
        <v>4</v>
      </c>
      <c r="C67" s="864">
        <v>36891</v>
      </c>
      <c r="D67" s="136">
        <f t="shared" ref="D67:D75" si="30">AO67</f>
        <v>64.247669773635138</v>
      </c>
      <c r="E67" s="136">
        <f t="shared" ref="E67:E75" si="31">AP67</f>
        <v>8.6443272665419286</v>
      </c>
      <c r="F67" s="136">
        <f t="shared" ref="F67:F75" si="32">AQ67</f>
        <v>71.315171561056815</v>
      </c>
      <c r="G67" s="136">
        <v>96.5</v>
      </c>
      <c r="H67" s="136">
        <v>76.23</v>
      </c>
      <c r="I67" s="136">
        <v>75.960000000000008</v>
      </c>
      <c r="J67" s="136">
        <v>5.89</v>
      </c>
      <c r="L67" s="136">
        <v>287.74</v>
      </c>
      <c r="M67" s="136">
        <v>458.25700000000001</v>
      </c>
      <c r="N67" s="846">
        <v>2.2800000000000002</v>
      </c>
      <c r="O67" s="846">
        <v>2.5100000000000002</v>
      </c>
      <c r="P67" s="846">
        <v>3.31</v>
      </c>
      <c r="Q67" s="846">
        <v>3.44</v>
      </c>
      <c r="R67" s="846">
        <v>1.8220000000000001</v>
      </c>
      <c r="S67" s="136" t="e">
        <v>#N/A</v>
      </c>
      <c r="T67" s="136">
        <v>4147.8980000000001</v>
      </c>
      <c r="Y67" s="853">
        <v>2000</v>
      </c>
      <c r="Z67" s="853">
        <v>4</v>
      </c>
      <c r="AA67" s="854">
        <v>36891</v>
      </c>
      <c r="AB67" s="136">
        <v>8.8185000000000002</v>
      </c>
      <c r="AC67" s="136">
        <v>1.5020000000000002</v>
      </c>
      <c r="AD67" s="136">
        <v>1.065131</v>
      </c>
      <c r="AF67" s="138" t="s">
        <v>332</v>
      </c>
      <c r="AG67" s="136">
        <v>96.5</v>
      </c>
      <c r="AH67" s="136">
        <v>76.23</v>
      </c>
      <c r="AI67" s="136">
        <v>75.960000000000008</v>
      </c>
      <c r="AL67" s="853">
        <v>2000</v>
      </c>
      <c r="AM67" s="853">
        <v>4</v>
      </c>
      <c r="AN67" s="854">
        <v>36891</v>
      </c>
      <c r="AO67" s="136">
        <f t="shared" ref="AO67:AO75" si="33">AG67/AC67</f>
        <v>64.247669773635138</v>
      </c>
      <c r="AP67" s="136">
        <f t="shared" ref="AP67:AP75" si="34">AH67/AB67</f>
        <v>8.6443272665419286</v>
      </c>
      <c r="AQ67" s="136">
        <f t="shared" ref="AQ67:AQ75" si="35">AI67/AD67</f>
        <v>71.315171561056815</v>
      </c>
      <c r="AS67" s="853">
        <v>2000</v>
      </c>
      <c r="AT67" s="853">
        <v>4</v>
      </c>
      <c r="AU67" s="854">
        <v>36891</v>
      </c>
      <c r="AV67" s="845">
        <f t="shared" ref="AV67:AV78" si="36">((L67-L68)/L68)</f>
        <v>-6.4837986284897106E-2</v>
      </c>
      <c r="AW67" s="845">
        <f t="shared" ref="AW67:AW78" si="37">((M67-M68)/M68)</f>
        <v>-0.13316271133860708</v>
      </c>
      <c r="AX67" s="845">
        <f t="shared" ref="AX67:AX78" si="38">N67/100</f>
        <v>2.2800000000000001E-2</v>
      </c>
      <c r="AY67" s="845">
        <f t="shared" ref="AY67:AY78" si="39">O67/100</f>
        <v>2.5100000000000001E-2</v>
      </c>
      <c r="AZ67" s="845">
        <f t="shared" ref="AZ67:AZ78" si="40">P67/100</f>
        <v>3.3099999999999997E-2</v>
      </c>
      <c r="BA67" s="845">
        <f t="shared" ref="BA67:BA78" si="41">Q67/100</f>
        <v>3.44E-2</v>
      </c>
      <c r="BB67" s="845">
        <f t="shared" ref="BB67:BB78" si="42">R67/100</f>
        <v>1.822E-2</v>
      </c>
      <c r="BC67" s="845" t="e">
        <f t="shared" ref="BC67:BC78" si="43">((S67-S68)/S68)</f>
        <v>#N/A</v>
      </c>
      <c r="BD67" s="845">
        <f t="shared" ref="BD67:BD78" si="44">((T67-T68)/T68)</f>
        <v>7.2046501289692352E-2</v>
      </c>
    </row>
    <row r="68" spans="1:56">
      <c r="A68" s="863">
        <v>2000</v>
      </c>
      <c r="B68" s="863">
        <v>3</v>
      </c>
      <c r="C68" s="864">
        <v>36799</v>
      </c>
      <c r="D68" s="136">
        <f t="shared" si="30"/>
        <v>63.73787053037352</v>
      </c>
      <c r="E68" s="136">
        <f t="shared" si="31"/>
        <v>8.3197937951279695</v>
      </c>
      <c r="F68" s="136">
        <f t="shared" si="32"/>
        <v>66.422109994025803</v>
      </c>
      <c r="G68" s="136">
        <v>95.9</v>
      </c>
      <c r="H68" s="136">
        <v>75.53</v>
      </c>
      <c r="I68" s="136">
        <v>75.27</v>
      </c>
      <c r="J68" s="136">
        <v>6.21</v>
      </c>
      <c r="L68" s="136">
        <v>307.69</v>
      </c>
      <c r="M68" s="136">
        <v>528.654</v>
      </c>
      <c r="N68" s="846">
        <v>0.39</v>
      </c>
      <c r="O68" s="846">
        <v>0.23</v>
      </c>
      <c r="P68" s="846">
        <v>-0.91</v>
      </c>
      <c r="Q68" s="846">
        <v>0.91</v>
      </c>
      <c r="R68" s="846">
        <v>-1.47</v>
      </c>
      <c r="S68" s="136" t="e">
        <v>#N/A</v>
      </c>
      <c r="T68" s="136">
        <v>3869.14</v>
      </c>
      <c r="Y68" s="853">
        <v>2000</v>
      </c>
      <c r="Z68" s="853">
        <v>3</v>
      </c>
      <c r="AA68" s="854">
        <v>36799</v>
      </c>
      <c r="AB68" s="136">
        <v>9.0783500000000004</v>
      </c>
      <c r="AC68" s="136">
        <v>1.5046000000000002</v>
      </c>
      <c r="AD68" s="136">
        <v>1.1332069999999999</v>
      </c>
      <c r="AF68" s="138" t="s">
        <v>333</v>
      </c>
      <c r="AG68" s="136">
        <v>95.9</v>
      </c>
      <c r="AH68" s="136">
        <v>75.53</v>
      </c>
      <c r="AI68" s="136">
        <v>75.27</v>
      </c>
      <c r="AL68" s="853">
        <v>2000</v>
      </c>
      <c r="AM68" s="853">
        <v>3</v>
      </c>
      <c r="AN68" s="854">
        <v>36799</v>
      </c>
      <c r="AO68" s="136">
        <f t="shared" si="33"/>
        <v>63.73787053037352</v>
      </c>
      <c r="AP68" s="136">
        <f t="shared" si="34"/>
        <v>8.3197937951279695</v>
      </c>
      <c r="AQ68" s="136">
        <f t="shared" si="35"/>
        <v>66.422109994025803</v>
      </c>
      <c r="AS68" s="853">
        <v>2000</v>
      </c>
      <c r="AT68" s="853">
        <v>3</v>
      </c>
      <c r="AU68" s="854">
        <v>36799</v>
      </c>
      <c r="AV68" s="845">
        <f t="shared" si="36"/>
        <v>-1.7529855035442906E-2</v>
      </c>
      <c r="AW68" s="845">
        <f t="shared" si="37"/>
        <v>-0.12999817328152702</v>
      </c>
      <c r="AX68" s="845">
        <f t="shared" si="38"/>
        <v>3.9000000000000003E-3</v>
      </c>
      <c r="AY68" s="845">
        <f t="shared" si="39"/>
        <v>2.3E-3</v>
      </c>
      <c r="AZ68" s="845">
        <f t="shared" si="40"/>
        <v>-9.1000000000000004E-3</v>
      </c>
      <c r="BA68" s="845">
        <f t="shared" si="41"/>
        <v>9.1000000000000004E-3</v>
      </c>
      <c r="BB68" s="845">
        <f t="shared" si="42"/>
        <v>-1.47E-2</v>
      </c>
      <c r="BC68" s="845" t="e">
        <f t="shared" si="43"/>
        <v>#N/A</v>
      </c>
      <c r="BD68" s="845">
        <f t="shared" si="44"/>
        <v>5.0868449285006168E-2</v>
      </c>
    </row>
    <row r="69" spans="1:56">
      <c r="A69" s="863">
        <v>2000</v>
      </c>
      <c r="B69" s="863">
        <v>2</v>
      </c>
      <c r="C69" s="864">
        <v>36707</v>
      </c>
      <c r="D69" s="136">
        <f t="shared" si="30"/>
        <v>64.11554295741378</v>
      </c>
      <c r="E69" s="136">
        <f t="shared" si="31"/>
        <v>8.8093873205657651</v>
      </c>
      <c r="F69" s="136">
        <f t="shared" si="32"/>
        <v>71.805007850527488</v>
      </c>
      <c r="G69" s="136">
        <v>95</v>
      </c>
      <c r="H69" s="136">
        <v>75.3</v>
      </c>
      <c r="I69" s="136">
        <v>74.91</v>
      </c>
      <c r="J69" s="136">
        <v>5.87</v>
      </c>
      <c r="L69" s="136">
        <v>313.18</v>
      </c>
      <c r="M69" s="136">
        <v>607.64700000000005</v>
      </c>
      <c r="N69" s="846" t="e">
        <v>#N/A</v>
      </c>
      <c r="O69" s="846" t="e">
        <v>#N/A</v>
      </c>
      <c r="P69" s="846">
        <v>4.37</v>
      </c>
      <c r="Q69" s="846">
        <v>3.09</v>
      </c>
      <c r="R69" s="846">
        <v>3.3930000000000002</v>
      </c>
      <c r="S69" s="136" t="e">
        <v>#N/A</v>
      </c>
      <c r="T69" s="136">
        <v>3681.85</v>
      </c>
      <c r="Y69" s="853">
        <v>2000</v>
      </c>
      <c r="Z69" s="853">
        <v>2</v>
      </c>
      <c r="AA69" s="854">
        <v>36707</v>
      </c>
      <c r="AB69" s="136">
        <v>8.5477000000000007</v>
      </c>
      <c r="AC69" s="136">
        <v>1.4817</v>
      </c>
      <c r="AD69" s="136">
        <v>1.043242</v>
      </c>
      <c r="AF69" s="138" t="s">
        <v>334</v>
      </c>
      <c r="AG69" s="136">
        <v>95</v>
      </c>
      <c r="AH69" s="136">
        <v>75.3</v>
      </c>
      <c r="AI69" s="136">
        <v>74.91</v>
      </c>
      <c r="AL69" s="853">
        <v>2000</v>
      </c>
      <c r="AM69" s="853">
        <v>2</v>
      </c>
      <c r="AN69" s="854">
        <v>36707</v>
      </c>
      <c r="AO69" s="136">
        <f t="shared" si="33"/>
        <v>64.11554295741378</v>
      </c>
      <c r="AP69" s="136">
        <f t="shared" si="34"/>
        <v>8.8093873205657651</v>
      </c>
      <c r="AQ69" s="136">
        <f t="shared" si="35"/>
        <v>71.805007850527488</v>
      </c>
      <c r="AS69" s="853">
        <v>2000</v>
      </c>
      <c r="AT69" s="853">
        <v>2</v>
      </c>
      <c r="AU69" s="854">
        <v>36707</v>
      </c>
      <c r="AV69" s="845">
        <f t="shared" si="36"/>
        <v>-2.7270468381165279E-2</v>
      </c>
      <c r="AW69" s="845">
        <f t="shared" si="37"/>
        <v>-0.10164813232367732</v>
      </c>
      <c r="AX69" s="845" t="e">
        <f t="shared" si="38"/>
        <v>#N/A</v>
      </c>
      <c r="AY69" s="845" t="e">
        <f t="shared" si="39"/>
        <v>#N/A</v>
      </c>
      <c r="AZ69" s="845">
        <f t="shared" si="40"/>
        <v>4.3700000000000003E-2</v>
      </c>
      <c r="BA69" s="845">
        <f t="shared" si="41"/>
        <v>3.0899999999999997E-2</v>
      </c>
      <c r="BB69" s="845">
        <f t="shared" si="42"/>
        <v>3.3930000000000002E-2</v>
      </c>
      <c r="BC69" s="845" t="e">
        <f t="shared" si="43"/>
        <v>#N/A</v>
      </c>
      <c r="BD69" s="845">
        <f t="shared" si="44"/>
        <v>0.18037143782279597</v>
      </c>
    </row>
    <row r="70" spans="1:56">
      <c r="A70" s="863">
        <v>2000</v>
      </c>
      <c r="B70" s="863">
        <v>1</v>
      </c>
      <c r="C70" s="864">
        <v>36616</v>
      </c>
      <c r="D70" s="136">
        <f t="shared" si="30"/>
        <v>64.816090370574457</v>
      </c>
      <c r="E70" s="136">
        <f t="shared" si="31"/>
        <v>8.8551047492653314</v>
      </c>
      <c r="F70" s="136">
        <f t="shared" si="32"/>
        <v>70.877737577257889</v>
      </c>
      <c r="G70" s="136">
        <v>94.100000000000009</v>
      </c>
      <c r="H70" s="136">
        <v>74.73</v>
      </c>
      <c r="I70" s="136">
        <v>74.070000000000007</v>
      </c>
      <c r="J70" s="136">
        <v>5.88</v>
      </c>
      <c r="L70" s="136">
        <v>321.95999999999998</v>
      </c>
      <c r="M70" s="136">
        <v>676.40200000000004</v>
      </c>
      <c r="N70" s="846" t="e">
        <v>#N/A</v>
      </c>
      <c r="O70" s="846" t="e">
        <v>#N/A</v>
      </c>
      <c r="P70" s="846">
        <v>2.79</v>
      </c>
      <c r="Q70" s="846">
        <v>2.16</v>
      </c>
      <c r="R70" s="846">
        <v>0.68700000000000006</v>
      </c>
      <c r="S70" s="136" t="e">
        <v>#N/A</v>
      </c>
      <c r="T70" s="136">
        <v>3119.23</v>
      </c>
      <c r="Y70" s="853">
        <v>2000</v>
      </c>
      <c r="Z70" s="853">
        <v>1</v>
      </c>
      <c r="AA70" s="854">
        <v>36616</v>
      </c>
      <c r="AB70" s="136">
        <v>8.4392000000000014</v>
      </c>
      <c r="AC70" s="136">
        <v>1.4518000000000002</v>
      </c>
      <c r="AD70" s="136">
        <v>1.0450390000000001</v>
      </c>
      <c r="AF70" s="138" t="s">
        <v>335</v>
      </c>
      <c r="AG70" s="136">
        <v>94.100000000000009</v>
      </c>
      <c r="AH70" s="136">
        <v>74.73</v>
      </c>
      <c r="AI70" s="136">
        <v>74.070000000000007</v>
      </c>
      <c r="AL70" s="853">
        <v>2000</v>
      </c>
      <c r="AM70" s="853">
        <v>1</v>
      </c>
      <c r="AN70" s="854">
        <v>36616</v>
      </c>
      <c r="AO70" s="136">
        <f t="shared" si="33"/>
        <v>64.816090370574457</v>
      </c>
      <c r="AP70" s="136">
        <f t="shared" si="34"/>
        <v>8.8551047492653314</v>
      </c>
      <c r="AQ70" s="136">
        <f t="shared" si="35"/>
        <v>70.877737577257889</v>
      </c>
      <c r="AS70" s="853">
        <v>2000</v>
      </c>
      <c r="AT70" s="853">
        <v>1</v>
      </c>
      <c r="AU70" s="854">
        <v>36616</v>
      </c>
      <c r="AV70" s="845">
        <f t="shared" si="36"/>
        <v>2.902071081564812E-2</v>
      </c>
      <c r="AW70" s="845">
        <f t="shared" si="37"/>
        <v>2.4219912871910811E-2</v>
      </c>
      <c r="AX70" s="845" t="e">
        <f t="shared" si="38"/>
        <v>#N/A</v>
      </c>
      <c r="AY70" s="845" t="e">
        <f t="shared" si="39"/>
        <v>#N/A</v>
      </c>
      <c r="AZ70" s="845">
        <f t="shared" si="40"/>
        <v>2.7900000000000001E-2</v>
      </c>
      <c r="BA70" s="845">
        <f t="shared" si="41"/>
        <v>2.1600000000000001E-2</v>
      </c>
      <c r="BB70" s="845">
        <f t="shared" si="42"/>
        <v>6.8700000000000002E-3</v>
      </c>
      <c r="BC70" s="845" t="e">
        <f t="shared" si="43"/>
        <v>#N/A</v>
      </c>
      <c r="BD70" s="845">
        <f t="shared" si="44"/>
        <v>0.12607174703340412</v>
      </c>
    </row>
    <row r="71" spans="1:56">
      <c r="A71" s="863">
        <v>1999</v>
      </c>
      <c r="B71" s="863">
        <v>4</v>
      </c>
      <c r="C71" s="864">
        <v>36525</v>
      </c>
      <c r="D71" s="136">
        <f t="shared" si="30"/>
        <v>64.562805760352788</v>
      </c>
      <c r="E71" s="136">
        <f t="shared" si="31"/>
        <v>9.1985343063150502</v>
      </c>
      <c r="F71" s="136">
        <f t="shared" si="32"/>
        <v>74.013487614969492</v>
      </c>
      <c r="G71" s="136">
        <v>93.7</v>
      </c>
      <c r="H71" s="136">
        <v>73.930000000000007</v>
      </c>
      <c r="I71" s="136">
        <v>73.84</v>
      </c>
      <c r="J71" s="136">
        <v>5.22</v>
      </c>
      <c r="L71" s="136">
        <v>312.88</v>
      </c>
      <c r="M71" s="136">
        <v>660.40700000000004</v>
      </c>
      <c r="N71" s="846" t="e">
        <v>#N/A</v>
      </c>
      <c r="O71" s="846" t="e">
        <v>#N/A</v>
      </c>
      <c r="P71" s="846">
        <v>4.28</v>
      </c>
      <c r="Q71" s="846">
        <v>1.1200000000000001</v>
      </c>
      <c r="R71" s="846">
        <v>7.4039999999999999</v>
      </c>
      <c r="S71" s="136" t="e">
        <v>#N/A</v>
      </c>
      <c r="T71" s="136">
        <v>2770.01</v>
      </c>
      <c r="Y71" s="853">
        <v>1999</v>
      </c>
      <c r="Z71" s="853">
        <v>4</v>
      </c>
      <c r="AA71" s="854">
        <v>36525</v>
      </c>
      <c r="AB71" s="136">
        <v>8.0371500000000005</v>
      </c>
      <c r="AC71" s="136">
        <v>1.4513</v>
      </c>
      <c r="AD71" s="136">
        <v>0.99765599999999999</v>
      </c>
      <c r="AF71" s="138" t="s">
        <v>336</v>
      </c>
      <c r="AG71" s="136">
        <v>93.7</v>
      </c>
      <c r="AH71" s="136">
        <v>73.930000000000007</v>
      </c>
      <c r="AI71" s="136">
        <v>73.84</v>
      </c>
      <c r="AL71" s="853">
        <v>1999</v>
      </c>
      <c r="AM71" s="853">
        <v>4</v>
      </c>
      <c r="AN71" s="854">
        <v>36525</v>
      </c>
      <c r="AO71" s="136">
        <f t="shared" si="33"/>
        <v>64.562805760352788</v>
      </c>
      <c r="AP71" s="136">
        <f t="shared" si="34"/>
        <v>9.1985343063150502</v>
      </c>
      <c r="AQ71" s="136">
        <f t="shared" si="35"/>
        <v>74.013487614969492</v>
      </c>
      <c r="AS71" s="853">
        <v>1999</v>
      </c>
      <c r="AT71" s="853">
        <v>4</v>
      </c>
      <c r="AU71" s="854">
        <v>36525</v>
      </c>
      <c r="AV71" s="845">
        <f t="shared" si="36"/>
        <v>0.16040499944368208</v>
      </c>
      <c r="AW71" s="845">
        <f t="shared" si="37"/>
        <v>0.25440099378504472</v>
      </c>
      <c r="AX71" s="845" t="e">
        <f t="shared" si="38"/>
        <v>#N/A</v>
      </c>
      <c r="AY71" s="845" t="e">
        <f t="shared" si="39"/>
        <v>#N/A</v>
      </c>
      <c r="AZ71" s="845">
        <f t="shared" si="40"/>
        <v>4.2800000000000005E-2</v>
      </c>
      <c r="BA71" s="845">
        <f t="shared" si="41"/>
        <v>1.1200000000000002E-2</v>
      </c>
      <c r="BB71" s="845">
        <f t="shared" si="42"/>
        <v>7.4039999999999995E-2</v>
      </c>
      <c r="BC71" s="845" t="e">
        <f t="shared" si="43"/>
        <v>#N/A</v>
      </c>
      <c r="BD71" s="845">
        <f t="shared" si="44"/>
        <v>2.8489425533178878E-2</v>
      </c>
    </row>
    <row r="72" spans="1:56">
      <c r="A72" s="863">
        <v>1999</v>
      </c>
      <c r="B72" s="863">
        <v>3</v>
      </c>
      <c r="C72" s="864">
        <v>72958</v>
      </c>
      <c r="D72" s="136">
        <f t="shared" si="30"/>
        <v>63.490983327662477</v>
      </c>
      <c r="E72" s="136">
        <f t="shared" si="31"/>
        <v>9.4201870364398577</v>
      </c>
      <c r="F72" s="136">
        <f t="shared" si="32"/>
        <v>78.209946422352886</v>
      </c>
      <c r="G72" s="136">
        <v>93.300000000000011</v>
      </c>
      <c r="H72" s="136">
        <v>73.03</v>
      </c>
      <c r="I72" s="136">
        <v>73.44</v>
      </c>
      <c r="J72" s="136">
        <v>4.8600000000000003</v>
      </c>
      <c r="L72" s="136">
        <v>269.63</v>
      </c>
      <c r="M72" s="136">
        <v>526.47199999999998</v>
      </c>
      <c r="N72" s="846" t="e">
        <v>#N/A</v>
      </c>
      <c r="O72" s="846" t="e">
        <v>#N/A</v>
      </c>
      <c r="P72" s="846">
        <v>1.97</v>
      </c>
      <c r="Q72" s="846">
        <v>1.7</v>
      </c>
      <c r="R72" s="846">
        <v>-7.4999999999999997E-2</v>
      </c>
      <c r="S72" s="136" t="e">
        <v>#N/A</v>
      </c>
      <c r="T72" s="136">
        <v>2693.28</v>
      </c>
      <c r="Y72" s="853">
        <v>1999</v>
      </c>
      <c r="Z72" s="853">
        <v>3</v>
      </c>
      <c r="AA72" s="854">
        <v>72958</v>
      </c>
      <c r="AB72" s="136">
        <v>7.7525000000000004</v>
      </c>
      <c r="AC72" s="136">
        <v>1.4695</v>
      </c>
      <c r="AD72" s="136">
        <v>0.93901099999999993</v>
      </c>
      <c r="AF72" s="138" t="s">
        <v>337</v>
      </c>
      <c r="AG72" s="136">
        <v>93.300000000000011</v>
      </c>
      <c r="AH72" s="136">
        <v>73.03</v>
      </c>
      <c r="AI72" s="136">
        <v>73.44</v>
      </c>
      <c r="AL72" s="853">
        <v>1999</v>
      </c>
      <c r="AM72" s="853">
        <v>3</v>
      </c>
      <c r="AN72" s="854">
        <v>72958</v>
      </c>
      <c r="AO72" s="136">
        <f t="shared" si="33"/>
        <v>63.490983327662477</v>
      </c>
      <c r="AP72" s="136">
        <f t="shared" si="34"/>
        <v>9.4201870364398577</v>
      </c>
      <c r="AQ72" s="136">
        <f t="shared" si="35"/>
        <v>78.209946422352886</v>
      </c>
      <c r="AS72" s="853">
        <v>1999</v>
      </c>
      <c r="AT72" s="853">
        <v>3</v>
      </c>
      <c r="AU72" s="854">
        <v>72958</v>
      </c>
      <c r="AV72" s="845">
        <f t="shared" si="36"/>
        <v>-1.7240122466831966E-2</v>
      </c>
      <c r="AW72" s="845">
        <f t="shared" si="37"/>
        <v>-5.1536808274137702E-2</v>
      </c>
      <c r="AX72" s="845" t="e">
        <f t="shared" si="38"/>
        <v>#N/A</v>
      </c>
      <c r="AY72" s="845" t="e">
        <f t="shared" si="39"/>
        <v>#N/A</v>
      </c>
      <c r="AZ72" s="845">
        <f t="shared" si="40"/>
        <v>1.9699999999999999E-2</v>
      </c>
      <c r="BA72" s="845">
        <f t="shared" si="41"/>
        <v>1.7000000000000001E-2</v>
      </c>
      <c r="BB72" s="845">
        <f t="shared" si="42"/>
        <v>-7.5000000000000002E-4</v>
      </c>
      <c r="BC72" s="845" t="e">
        <f t="shared" si="43"/>
        <v>#N/A</v>
      </c>
      <c r="BD72" s="845">
        <f t="shared" si="44"/>
        <v>0.16759006372740273</v>
      </c>
    </row>
    <row r="73" spans="1:56" ht="16.5" thickBot="1">
      <c r="A73" s="863">
        <v>1999</v>
      </c>
      <c r="B73" s="863">
        <v>2</v>
      </c>
      <c r="C73" s="864">
        <v>36341</v>
      </c>
      <c r="D73" s="136">
        <f t="shared" si="30"/>
        <v>62.630903317343417</v>
      </c>
      <c r="E73" s="136">
        <f t="shared" si="31"/>
        <v>9.2943791679898382</v>
      </c>
      <c r="F73" s="136">
        <f t="shared" si="32"/>
        <v>75.611247637148523</v>
      </c>
      <c r="G73" s="136">
        <v>92.7</v>
      </c>
      <c r="H73" s="136">
        <v>73.17</v>
      </c>
      <c r="I73" s="136">
        <v>73.320000000000007</v>
      </c>
      <c r="J73" s="136">
        <v>4.78</v>
      </c>
      <c r="L73" s="136">
        <v>274.36</v>
      </c>
      <c r="M73" s="136">
        <v>555.07900000000006</v>
      </c>
      <c r="N73" s="846" t="e">
        <v>#N/A</v>
      </c>
      <c r="O73" s="846" t="e">
        <v>#N/A</v>
      </c>
      <c r="P73" s="846">
        <v>3.18</v>
      </c>
      <c r="Q73" s="846">
        <v>-0.97</v>
      </c>
      <c r="R73" s="846">
        <v>3.45</v>
      </c>
      <c r="S73" s="136" t="e">
        <v>#N/A</v>
      </c>
      <c r="T73" s="136">
        <v>2306.7000000000003</v>
      </c>
      <c r="Y73" s="853">
        <v>1999</v>
      </c>
      <c r="Z73" s="853">
        <v>2</v>
      </c>
      <c r="AA73" s="854">
        <v>36341</v>
      </c>
      <c r="AB73" s="136">
        <v>7.8725000000000005</v>
      </c>
      <c r="AC73" s="136">
        <v>1.4801000000000002</v>
      </c>
      <c r="AD73" s="136">
        <v>0.96969699999999992</v>
      </c>
      <c r="AF73" s="138" t="s">
        <v>338</v>
      </c>
      <c r="AG73" s="136">
        <v>92.7</v>
      </c>
      <c r="AH73" s="136">
        <v>73.17</v>
      </c>
      <c r="AI73" s="136">
        <v>73.320000000000007</v>
      </c>
      <c r="AL73" s="853">
        <v>1999</v>
      </c>
      <c r="AM73" s="853">
        <v>2</v>
      </c>
      <c r="AN73" s="854">
        <v>36341</v>
      </c>
      <c r="AO73" s="136">
        <f t="shared" si="33"/>
        <v>62.630903317343417</v>
      </c>
      <c r="AP73" s="136">
        <f t="shared" si="34"/>
        <v>9.2943791679898382</v>
      </c>
      <c r="AQ73" s="136">
        <f t="shared" si="35"/>
        <v>75.611247637148523</v>
      </c>
      <c r="AS73" s="853">
        <v>1999</v>
      </c>
      <c r="AT73" s="853">
        <v>2</v>
      </c>
      <c r="AU73" s="854">
        <v>36341</v>
      </c>
      <c r="AV73" s="845">
        <f t="shared" si="36"/>
        <v>5.9223226005713975E-2</v>
      </c>
      <c r="AW73" s="845">
        <f t="shared" si="37"/>
        <v>0.24397486407867092</v>
      </c>
      <c r="AX73" s="845" t="e">
        <f t="shared" si="38"/>
        <v>#N/A</v>
      </c>
      <c r="AY73" s="845" t="e">
        <f t="shared" si="39"/>
        <v>#N/A</v>
      </c>
      <c r="AZ73" s="845">
        <f t="shared" si="40"/>
        <v>3.1800000000000002E-2</v>
      </c>
      <c r="BA73" s="845">
        <f t="shared" si="41"/>
        <v>-9.7000000000000003E-3</v>
      </c>
      <c r="BB73" s="845">
        <f t="shared" si="42"/>
        <v>3.4500000000000003E-2</v>
      </c>
      <c r="BC73" s="845" t="e">
        <f t="shared" si="43"/>
        <v>#N/A</v>
      </c>
      <c r="BD73" s="845">
        <f t="shared" si="44"/>
        <v>4.78236774445586E-2</v>
      </c>
    </row>
    <row r="74" spans="1:56" ht="16.5" thickBot="1">
      <c r="A74" s="863">
        <v>1999</v>
      </c>
      <c r="B74" s="863">
        <v>1</v>
      </c>
      <c r="C74" s="864">
        <v>36250</v>
      </c>
      <c r="D74" s="136">
        <f t="shared" si="30"/>
        <v>60.61607615018508</v>
      </c>
      <c r="E74" s="136">
        <f t="shared" si="31"/>
        <v>9.3973799126637534</v>
      </c>
      <c r="F74" s="136">
        <f t="shared" si="32"/>
        <v>78.486919026762209</v>
      </c>
      <c r="G74" s="136">
        <v>91.7</v>
      </c>
      <c r="H74" s="136">
        <v>72.63</v>
      </c>
      <c r="I74" s="136">
        <v>72.7</v>
      </c>
      <c r="J74" s="136">
        <v>4.5</v>
      </c>
      <c r="L74" s="136">
        <v>259.02</v>
      </c>
      <c r="M74" s="136">
        <v>446.214</v>
      </c>
      <c r="N74" s="846" t="e">
        <v>#N/A</v>
      </c>
      <c r="O74" s="846" t="e">
        <v>#N/A</v>
      </c>
      <c r="P74" s="847">
        <v>5.39</v>
      </c>
      <c r="Q74" s="846">
        <v>1.29</v>
      </c>
      <c r="R74" s="846">
        <v>3</v>
      </c>
      <c r="S74" s="136" t="e">
        <v>#N/A</v>
      </c>
      <c r="T74" s="136">
        <v>2201.42</v>
      </c>
      <c r="Y74" s="853">
        <v>1999</v>
      </c>
      <c r="Z74" s="853">
        <v>1</v>
      </c>
      <c r="AA74" s="854">
        <v>36250</v>
      </c>
      <c r="AB74" s="136">
        <v>7.7287500000000007</v>
      </c>
      <c r="AC74" s="136">
        <v>1.5128000000000001</v>
      </c>
      <c r="AD74" s="136">
        <v>0.92626900000000001</v>
      </c>
      <c r="AF74" s="138" t="s">
        <v>339</v>
      </c>
      <c r="AG74" s="136">
        <v>91.7</v>
      </c>
      <c r="AH74" s="136">
        <v>72.63</v>
      </c>
      <c r="AI74" s="136">
        <v>72.7</v>
      </c>
      <c r="AL74" s="853">
        <v>1999</v>
      </c>
      <c r="AM74" s="853">
        <v>1</v>
      </c>
      <c r="AN74" s="854">
        <v>36250</v>
      </c>
      <c r="AO74" s="136">
        <f t="shared" si="33"/>
        <v>60.61607615018508</v>
      </c>
      <c r="AP74" s="136">
        <f t="shared" si="34"/>
        <v>9.3973799126637534</v>
      </c>
      <c r="AQ74" s="136">
        <f t="shared" si="35"/>
        <v>78.486919026762209</v>
      </c>
      <c r="AS74" s="853">
        <v>1999</v>
      </c>
      <c r="AT74" s="853">
        <v>1</v>
      </c>
      <c r="AU74" s="854">
        <v>36250</v>
      </c>
      <c r="AV74" s="845">
        <f t="shared" si="36"/>
        <v>2.7530942557917999E-2</v>
      </c>
      <c r="AW74" s="845">
        <f t="shared" si="37"/>
        <v>0.1243612357002469</v>
      </c>
      <c r="AX74" s="845" t="e">
        <f t="shared" si="38"/>
        <v>#N/A</v>
      </c>
      <c r="AY74" s="845" t="e">
        <f t="shared" si="39"/>
        <v>#N/A</v>
      </c>
      <c r="AZ74" s="845">
        <f t="shared" si="40"/>
        <v>5.3899999999999997E-2</v>
      </c>
      <c r="BA74" s="845">
        <f t="shared" si="41"/>
        <v>1.29E-2</v>
      </c>
      <c r="BB74" s="845">
        <f t="shared" si="42"/>
        <v>0.03</v>
      </c>
      <c r="BC74" s="845" t="e">
        <f t="shared" si="43"/>
        <v>#N/A</v>
      </c>
      <c r="BD74" s="845">
        <f t="shared" si="44"/>
        <v>0.11994505634268561</v>
      </c>
    </row>
    <row r="75" spans="1:56">
      <c r="A75" s="863">
        <v>1998</v>
      </c>
      <c r="B75" s="863">
        <v>4</v>
      </c>
      <c r="C75" s="864">
        <v>36160</v>
      </c>
      <c r="D75" s="136">
        <f t="shared" si="30"/>
        <v>59.5703125</v>
      </c>
      <c r="E75" s="136">
        <f t="shared" si="31"/>
        <v>9.4500590628691423</v>
      </c>
      <c r="F75" s="136">
        <f t="shared" si="32"/>
        <v>84.945285794973501</v>
      </c>
      <c r="G75" s="136">
        <v>91.5</v>
      </c>
      <c r="H75" s="136">
        <v>72</v>
      </c>
      <c r="I75" s="136">
        <v>72.34</v>
      </c>
      <c r="J75" s="136">
        <v>4.47</v>
      </c>
      <c r="L75" s="136">
        <v>252.08</v>
      </c>
      <c r="M75" s="136">
        <v>396.86</v>
      </c>
      <c r="N75" s="846" t="e">
        <v>#N/A</v>
      </c>
      <c r="O75" s="846" t="e">
        <v>#N/A</v>
      </c>
      <c r="P75" s="846">
        <v>-1.9000000000000001</v>
      </c>
      <c r="Q75" s="846">
        <v>3.06</v>
      </c>
      <c r="R75" s="846" t="e">
        <v>#N/A</v>
      </c>
      <c r="S75" s="136" t="e">
        <v>#N/A</v>
      </c>
      <c r="T75" s="136">
        <v>1965.65</v>
      </c>
      <c r="Y75" s="853">
        <v>1998</v>
      </c>
      <c r="Z75" s="853">
        <v>4</v>
      </c>
      <c r="AA75" s="854">
        <v>36160</v>
      </c>
      <c r="AB75" s="136">
        <v>7.6190000000000007</v>
      </c>
      <c r="AC75" s="136">
        <v>1.536</v>
      </c>
      <c r="AD75" s="136">
        <v>0.851607</v>
      </c>
      <c r="AF75" s="138" t="s">
        <v>340</v>
      </c>
      <c r="AG75" s="136">
        <v>91.5</v>
      </c>
      <c r="AH75" s="136">
        <v>72</v>
      </c>
      <c r="AI75" s="136">
        <v>72.34</v>
      </c>
      <c r="AL75" s="853">
        <v>1998</v>
      </c>
      <c r="AM75" s="853">
        <v>4</v>
      </c>
      <c r="AN75" s="854">
        <v>36160</v>
      </c>
      <c r="AO75" s="136">
        <f t="shared" si="33"/>
        <v>59.5703125</v>
      </c>
      <c r="AP75" s="136">
        <f t="shared" si="34"/>
        <v>9.4500590628691423</v>
      </c>
      <c r="AQ75" s="136">
        <f t="shared" si="35"/>
        <v>84.945285794973501</v>
      </c>
      <c r="AS75" s="853">
        <v>1998</v>
      </c>
      <c r="AT75" s="853">
        <v>4</v>
      </c>
      <c r="AU75" s="854">
        <v>36160</v>
      </c>
      <c r="AV75" s="845" t="e">
        <f t="shared" si="36"/>
        <v>#DIV/0!</v>
      </c>
      <c r="AW75" s="845" t="e">
        <f t="shared" si="37"/>
        <v>#DIV/0!</v>
      </c>
      <c r="AX75" s="845" t="e">
        <f t="shared" si="38"/>
        <v>#N/A</v>
      </c>
      <c r="AY75" s="845" t="e">
        <f t="shared" si="39"/>
        <v>#N/A</v>
      </c>
      <c r="AZ75" s="845">
        <f t="shared" si="40"/>
        <v>-1.9000000000000003E-2</v>
      </c>
      <c r="BA75" s="845">
        <f t="shared" si="41"/>
        <v>3.0600000000000002E-2</v>
      </c>
      <c r="BB75" s="845" t="e">
        <f t="shared" si="42"/>
        <v>#N/A</v>
      </c>
      <c r="BC75" s="845" t="e">
        <f t="shared" si="43"/>
        <v>#N/A</v>
      </c>
      <c r="BD75" s="845" t="e">
        <f t="shared" si="44"/>
        <v>#DIV/0!</v>
      </c>
    </row>
    <row r="76" spans="1:56">
      <c r="A76" s="863">
        <v>1998</v>
      </c>
      <c r="B76" s="863">
        <v>3</v>
      </c>
      <c r="C76" s="864">
        <v>72593</v>
      </c>
      <c r="Y76" s="853">
        <v>1998</v>
      </c>
      <c r="Z76" s="853">
        <v>3</v>
      </c>
      <c r="AA76" s="854">
        <v>72593</v>
      </c>
      <c r="AB76" s="848"/>
      <c r="AC76" s="563"/>
      <c r="AF76" s="138"/>
      <c r="AL76" s="853">
        <v>1998</v>
      </c>
      <c r="AM76" s="853">
        <v>3</v>
      </c>
      <c r="AN76" s="854">
        <v>72593</v>
      </c>
      <c r="AS76" s="853">
        <v>1998</v>
      </c>
      <c r="AT76" s="853">
        <v>3</v>
      </c>
      <c r="AU76" s="854">
        <v>72593</v>
      </c>
      <c r="AV76" s="845" t="e">
        <f t="shared" si="36"/>
        <v>#DIV/0!</v>
      </c>
      <c r="AW76" s="845" t="e">
        <f t="shared" si="37"/>
        <v>#DIV/0!</v>
      </c>
      <c r="AX76" s="845">
        <f t="shared" si="38"/>
        <v>0</v>
      </c>
      <c r="AY76" s="845">
        <f t="shared" si="39"/>
        <v>0</v>
      </c>
      <c r="AZ76" s="845">
        <f t="shared" si="40"/>
        <v>0</v>
      </c>
      <c r="BA76" s="845">
        <f t="shared" si="41"/>
        <v>0</v>
      </c>
      <c r="BB76" s="845">
        <f t="shared" si="42"/>
        <v>0</v>
      </c>
      <c r="BC76" s="845" t="e">
        <f t="shared" si="43"/>
        <v>#DIV/0!</v>
      </c>
      <c r="BD76" s="845" t="e">
        <f t="shared" si="44"/>
        <v>#DIV/0!</v>
      </c>
    </row>
    <row r="77" spans="1:56">
      <c r="A77" s="863">
        <v>1998</v>
      </c>
      <c r="B77" s="863">
        <v>2</v>
      </c>
      <c r="C77" s="864">
        <v>35976</v>
      </c>
      <c r="Y77" s="853">
        <v>1998</v>
      </c>
      <c r="Z77" s="853">
        <v>2</v>
      </c>
      <c r="AA77" s="854">
        <v>35976</v>
      </c>
      <c r="AB77" s="849"/>
      <c r="AC77" s="563"/>
      <c r="AF77" s="138"/>
      <c r="AL77" s="853">
        <v>1998</v>
      </c>
      <c r="AM77" s="853">
        <v>2</v>
      </c>
      <c r="AN77" s="854">
        <v>35976</v>
      </c>
      <c r="AS77" s="853">
        <v>1998</v>
      </c>
      <c r="AT77" s="853">
        <v>2</v>
      </c>
      <c r="AU77" s="854">
        <v>35976</v>
      </c>
      <c r="AV77" s="845" t="e">
        <f t="shared" si="36"/>
        <v>#DIV/0!</v>
      </c>
      <c r="AW77" s="845" t="e">
        <f t="shared" si="37"/>
        <v>#DIV/0!</v>
      </c>
      <c r="AX77" s="845">
        <f t="shared" si="38"/>
        <v>0</v>
      </c>
      <c r="AY77" s="845">
        <f t="shared" si="39"/>
        <v>0</v>
      </c>
      <c r="AZ77" s="845">
        <f t="shared" si="40"/>
        <v>0</v>
      </c>
      <c r="BA77" s="845">
        <f t="shared" si="41"/>
        <v>0</v>
      </c>
      <c r="BB77" s="845">
        <f t="shared" si="42"/>
        <v>0</v>
      </c>
      <c r="BC77" s="845" t="e">
        <f t="shared" si="43"/>
        <v>#DIV/0!</v>
      </c>
      <c r="BD77" s="845" t="e">
        <f t="shared" si="44"/>
        <v>#DIV/0!</v>
      </c>
    </row>
    <row r="78" spans="1:56">
      <c r="A78" s="865">
        <v>1998</v>
      </c>
      <c r="B78" s="865">
        <v>1</v>
      </c>
      <c r="C78" s="866">
        <v>35885</v>
      </c>
      <c r="Y78" s="858">
        <v>1998</v>
      </c>
      <c r="Z78" s="858">
        <v>1</v>
      </c>
      <c r="AA78" s="859">
        <v>35885</v>
      </c>
      <c r="AB78" s="850"/>
      <c r="AC78" s="563"/>
      <c r="AF78" s="138"/>
      <c r="AL78" s="858">
        <v>1998</v>
      </c>
      <c r="AM78" s="858">
        <v>1</v>
      </c>
      <c r="AN78" s="859">
        <v>35885</v>
      </c>
      <c r="AS78" s="858">
        <v>1998</v>
      </c>
      <c r="AT78" s="858">
        <v>1</v>
      </c>
      <c r="AU78" s="859">
        <v>35885</v>
      </c>
      <c r="AV78" s="845" t="e">
        <f t="shared" si="36"/>
        <v>#DIV/0!</v>
      </c>
      <c r="AW78" s="845" t="e">
        <f t="shared" si="37"/>
        <v>#DIV/0!</v>
      </c>
      <c r="AX78" s="845">
        <f t="shared" si="38"/>
        <v>0</v>
      </c>
      <c r="AY78" s="845">
        <f t="shared" si="39"/>
        <v>0</v>
      </c>
      <c r="AZ78" s="845">
        <f t="shared" si="40"/>
        <v>0</v>
      </c>
      <c r="BA78" s="845">
        <f t="shared" si="41"/>
        <v>0</v>
      </c>
      <c r="BB78" s="845">
        <f t="shared" si="42"/>
        <v>0</v>
      </c>
      <c r="BC78" s="845" t="e">
        <f t="shared" si="43"/>
        <v>#DIV/0!</v>
      </c>
      <c r="BD78" s="845" t="e">
        <f t="shared" si="44"/>
        <v>#DIV/0!</v>
      </c>
    </row>
    <row r="79" spans="1:56">
      <c r="AC79" s="563"/>
      <c r="AF79" s="138"/>
    </row>
    <row r="80" spans="1:56">
      <c r="W80" s="857"/>
      <c r="AC80" s="563"/>
      <c r="AF80" s="138"/>
    </row>
    <row r="81" spans="3:47">
      <c r="AC81" s="563"/>
      <c r="AF81" s="138"/>
    </row>
    <row r="82" spans="3:47">
      <c r="AF82" s="138"/>
    </row>
    <row r="83" spans="3:47">
      <c r="C83" s="851"/>
      <c r="AA83" s="851"/>
      <c r="AF83" s="138"/>
      <c r="AN83" s="851"/>
      <c r="AU83" s="851"/>
    </row>
    <row r="84" spans="3:47">
      <c r="AF84" s="138"/>
    </row>
    <row r="85" spans="3:47">
      <c r="AF85" s="138"/>
    </row>
    <row r="86" spans="3:47">
      <c r="AD86" s="567"/>
      <c r="AF86" s="138"/>
    </row>
    <row r="87" spans="3:47">
      <c r="AD87" s="567"/>
      <c r="AF87" s="138"/>
    </row>
    <row r="88" spans="3:47">
      <c r="AD88" s="567"/>
      <c r="AF88" s="138"/>
    </row>
    <row r="89" spans="3:47">
      <c r="AD89" s="567"/>
      <c r="AF89" s="138"/>
    </row>
    <row r="90" spans="3:47">
      <c r="AD90" s="567"/>
      <c r="AF90" s="138"/>
    </row>
    <row r="91" spans="3:47">
      <c r="AD91" s="567"/>
      <c r="AF91" s="138"/>
    </row>
    <row r="92" spans="3:47">
      <c r="AD92" s="567"/>
      <c r="AF92" s="138"/>
    </row>
    <row r="93" spans="3:47">
      <c r="AD93" s="567"/>
      <c r="AF93" s="138"/>
    </row>
    <row r="94" spans="3:47">
      <c r="AD94" s="567"/>
      <c r="AF94" s="138"/>
    </row>
    <row r="95" spans="3:47">
      <c r="AD95" s="567"/>
      <c r="AF95" s="138"/>
    </row>
    <row r="96" spans="3:47">
      <c r="AD96" s="567"/>
      <c r="AF96" s="138"/>
    </row>
    <row r="97" spans="19:32">
      <c r="AD97" s="567"/>
      <c r="AF97" s="138"/>
    </row>
    <row r="98" spans="19:32">
      <c r="AD98" s="567"/>
      <c r="AF98" s="138"/>
    </row>
    <row r="99" spans="19:32">
      <c r="AD99" s="567"/>
      <c r="AF99" s="138"/>
    </row>
    <row r="100" spans="19:32">
      <c r="AD100" s="567"/>
      <c r="AF100" s="138"/>
    </row>
    <row r="101" spans="19:32">
      <c r="AD101" s="567"/>
      <c r="AF101" s="138"/>
    </row>
    <row r="102" spans="19:32">
      <c r="AD102" s="567"/>
      <c r="AF102" s="138"/>
    </row>
    <row r="103" spans="19:32">
      <c r="AD103" s="567"/>
      <c r="AF103" s="138"/>
    </row>
    <row r="104" spans="19:32">
      <c r="AD104" s="567"/>
      <c r="AF104" s="138"/>
    </row>
    <row r="105" spans="19:32">
      <c r="AD105" s="567"/>
      <c r="AF105" s="138"/>
    </row>
    <row r="106" spans="19:32">
      <c r="AD106" s="567"/>
      <c r="AF106" s="138"/>
    </row>
    <row r="107" spans="19:32">
      <c r="AD107" s="567"/>
      <c r="AF107" s="138"/>
    </row>
    <row r="108" spans="19:32">
      <c r="AD108" s="567"/>
      <c r="AF108" s="138"/>
    </row>
    <row r="109" spans="19:32">
      <c r="AD109" s="567"/>
      <c r="AF109" s="138"/>
    </row>
    <row r="110" spans="19:32">
      <c r="S110" s="860"/>
      <c r="AD110" s="567"/>
      <c r="AF110" s="138"/>
    </row>
    <row r="111" spans="19:32">
      <c r="AD111" s="567"/>
      <c r="AF111" s="138"/>
    </row>
    <row r="112" spans="19:32">
      <c r="AD112" s="567"/>
      <c r="AF112" s="138"/>
    </row>
    <row r="113" spans="30:32">
      <c r="AD113" s="567"/>
      <c r="AF113" s="138"/>
    </row>
    <row r="114" spans="30:32">
      <c r="AD114" s="567"/>
      <c r="AF114" s="138"/>
    </row>
    <row r="115" spans="30:32">
      <c r="AD115" s="567"/>
      <c r="AF115" s="138"/>
    </row>
    <row r="116" spans="30:32">
      <c r="AD116" s="567"/>
      <c r="AF116" s="138"/>
    </row>
    <row r="117" spans="30:32">
      <c r="AD117" s="567"/>
      <c r="AF117" s="138"/>
    </row>
    <row r="118" spans="30:32">
      <c r="AD118" s="567"/>
      <c r="AF118" s="138"/>
    </row>
    <row r="119" spans="30:32">
      <c r="AD119" s="567"/>
      <c r="AF119" s="138"/>
    </row>
    <row r="120" spans="30:32">
      <c r="AD120" s="567"/>
      <c r="AF120" s="138"/>
    </row>
    <row r="121" spans="30:32">
      <c r="AD121" s="567"/>
      <c r="AF121" s="138"/>
    </row>
    <row r="122" spans="30:32">
      <c r="AD122" s="567"/>
      <c r="AF122" s="138"/>
    </row>
    <row r="123" spans="30:32">
      <c r="AD123" s="567"/>
      <c r="AF123" s="138"/>
    </row>
    <row r="124" spans="30:32">
      <c r="AD124" s="567"/>
      <c r="AF124" s="138"/>
    </row>
    <row r="125" spans="30:32">
      <c r="AD125" s="567"/>
      <c r="AF125" s="138"/>
    </row>
    <row r="126" spans="30:32">
      <c r="AD126" s="567"/>
      <c r="AF126" s="138"/>
    </row>
    <row r="127" spans="30:32">
      <c r="AD127" s="567"/>
      <c r="AF127" s="138"/>
    </row>
    <row r="128" spans="30:32">
      <c r="AD128" s="567"/>
      <c r="AF128" s="138"/>
    </row>
    <row r="129" spans="30:32">
      <c r="AD129" s="567"/>
      <c r="AF129" s="138"/>
    </row>
    <row r="130" spans="30:32">
      <c r="AD130" s="567"/>
      <c r="AF130" s="138"/>
    </row>
    <row r="131" spans="30:32">
      <c r="AD131" s="567"/>
      <c r="AF131" s="138"/>
    </row>
    <row r="132" spans="30:32">
      <c r="AD132" s="567"/>
      <c r="AF132" s="138"/>
    </row>
    <row r="133" spans="30:32">
      <c r="AD133" s="567"/>
      <c r="AF133" s="138"/>
    </row>
    <row r="134" spans="30:32">
      <c r="AD134" s="567"/>
      <c r="AF134" s="138"/>
    </row>
    <row r="135" spans="30:32">
      <c r="AD135" s="567"/>
      <c r="AF135" s="138"/>
    </row>
    <row r="136" spans="30:32">
      <c r="AD136" s="567"/>
      <c r="AF136" s="138"/>
    </row>
    <row r="137" spans="30:32">
      <c r="AD137" s="567"/>
      <c r="AF137" s="138"/>
    </row>
    <row r="138" spans="30:32">
      <c r="AD138" s="567"/>
      <c r="AF138" s="138"/>
    </row>
    <row r="139" spans="30:32">
      <c r="AD139" s="567"/>
      <c r="AF139" s="138"/>
    </row>
    <row r="140" spans="30:32">
      <c r="AD140" s="567"/>
      <c r="AF140" s="138"/>
    </row>
    <row r="141" spans="30:32">
      <c r="AD141" s="567"/>
      <c r="AF141" s="138"/>
    </row>
    <row r="142" spans="30:32">
      <c r="AD142" s="567"/>
      <c r="AF142" s="138"/>
    </row>
    <row r="143" spans="30:32">
      <c r="AD143" s="567"/>
      <c r="AF143" s="138"/>
    </row>
    <row r="144" spans="30:32">
      <c r="AD144" s="567"/>
      <c r="AF144" s="138"/>
    </row>
    <row r="145" spans="30:32">
      <c r="AD145" s="567"/>
      <c r="AF145" s="138"/>
    </row>
    <row r="146" spans="30:32">
      <c r="AD146" s="567"/>
      <c r="AF146" s="138"/>
    </row>
    <row r="147" spans="30:32">
      <c r="AD147" s="567"/>
      <c r="AF147" s="138"/>
    </row>
    <row r="148" spans="30:32">
      <c r="AD148" s="567"/>
      <c r="AF148" s="138"/>
    </row>
    <row r="149" spans="30:32">
      <c r="AD149" s="567"/>
      <c r="AF149" s="138"/>
    </row>
    <row r="150" spans="30:32">
      <c r="AD150" s="567"/>
      <c r="AF150" s="138"/>
    </row>
    <row r="151" spans="30:32">
      <c r="AD151" s="567"/>
      <c r="AF151" s="138"/>
    </row>
    <row r="152" spans="30:32">
      <c r="AD152" s="567"/>
      <c r="AF152" s="138"/>
    </row>
    <row r="153" spans="30:32">
      <c r="AD153" s="567"/>
      <c r="AF153" s="138"/>
    </row>
    <row r="154" spans="30:32">
      <c r="AD154" s="567"/>
      <c r="AF154" s="138"/>
    </row>
    <row r="155" spans="30:32">
      <c r="AD155" s="567"/>
      <c r="AF155" s="138"/>
    </row>
    <row r="156" spans="30:32">
      <c r="AD156" s="567"/>
      <c r="AF156" s="138"/>
    </row>
    <row r="157" spans="30:32">
      <c r="AD157" s="567"/>
      <c r="AF157" s="138"/>
    </row>
    <row r="158" spans="30:32">
      <c r="AD158" s="567"/>
      <c r="AF158" s="138"/>
    </row>
    <row r="159" spans="30:32">
      <c r="AD159" s="567"/>
      <c r="AF159" s="138"/>
    </row>
    <row r="160" spans="30:32">
      <c r="AD160" s="567"/>
      <c r="AF160" s="138"/>
    </row>
    <row r="161" spans="30:32">
      <c r="AD161" s="567"/>
      <c r="AF161" s="138"/>
    </row>
    <row r="162" spans="30:32">
      <c r="AD162" s="567"/>
      <c r="AF162" s="138"/>
    </row>
    <row r="163" spans="30:32">
      <c r="AF163" s="138"/>
    </row>
    <row r="164" spans="30:32">
      <c r="AF164" s="138"/>
    </row>
    <row r="165" spans="30:32">
      <c r="AF165" s="138"/>
    </row>
    <row r="166" spans="30:32">
      <c r="AF166" s="138"/>
    </row>
    <row r="167" spans="30:32">
      <c r="AF167" s="138"/>
    </row>
    <row r="168" spans="30:32">
      <c r="AF168" s="138"/>
    </row>
    <row r="169" spans="30:32">
      <c r="AF169" s="138"/>
    </row>
    <row r="170" spans="30:32">
      <c r="AF170" s="138"/>
    </row>
    <row r="171" spans="30:32">
      <c r="AF171" s="138"/>
    </row>
    <row r="172" spans="30:32">
      <c r="AF172" s="138"/>
    </row>
    <row r="173" spans="30:32">
      <c r="AF173" s="138"/>
    </row>
    <row r="174" spans="30:32">
      <c r="AF174" s="138"/>
    </row>
    <row r="175" spans="30:32">
      <c r="AF175" s="138"/>
    </row>
    <row r="176" spans="30:32">
      <c r="AF176" s="138"/>
    </row>
    <row r="177" spans="32:32">
      <c r="AF177" s="138"/>
    </row>
    <row r="178" spans="32:32">
      <c r="AF178" s="138"/>
    </row>
    <row r="179" spans="32:32">
      <c r="AF179" s="138"/>
    </row>
    <row r="180" spans="32:32">
      <c r="AF180" s="138"/>
    </row>
    <row r="181" spans="32:32">
      <c r="AF181" s="138"/>
    </row>
    <row r="182" spans="32:32">
      <c r="AF182" s="138"/>
    </row>
    <row r="183" spans="32:32">
      <c r="AF183" s="138"/>
    </row>
    <row r="184" spans="32:32">
      <c r="AF184" s="138"/>
    </row>
    <row r="185" spans="32:32">
      <c r="AF185" s="138"/>
    </row>
    <row r="186" spans="32:32">
      <c r="AF186" s="138"/>
    </row>
    <row r="187" spans="32:32">
      <c r="AF187" s="138"/>
    </row>
    <row r="188" spans="32:32">
      <c r="AF188" s="138"/>
    </row>
    <row r="189" spans="32:32">
      <c r="AF189" s="138"/>
    </row>
    <row r="190" spans="32:32">
      <c r="AF190" s="138"/>
    </row>
    <row r="191" spans="32:32">
      <c r="AF191" s="138"/>
    </row>
    <row r="192" spans="32:32">
      <c r="AF192" s="138"/>
    </row>
    <row r="193" spans="32:32">
      <c r="AF193" s="138"/>
    </row>
    <row r="194" spans="32:32">
      <c r="AF194" s="138"/>
    </row>
    <row r="195" spans="32:32">
      <c r="AF195" s="138"/>
    </row>
    <row r="196" spans="32:32">
      <c r="AF196" s="138"/>
    </row>
    <row r="197" spans="32:32">
      <c r="AF197" s="138"/>
    </row>
    <row r="198" spans="32:32">
      <c r="AF198" s="138"/>
    </row>
    <row r="199" spans="32:32">
      <c r="AF199" s="138"/>
    </row>
    <row r="200" spans="32:32">
      <c r="AF200" s="138"/>
    </row>
    <row r="201" spans="32:32">
      <c r="AF201" s="138"/>
    </row>
    <row r="202" spans="32:32">
      <c r="AF202" s="138"/>
    </row>
    <row r="203" spans="32:32">
      <c r="AF203" s="138"/>
    </row>
    <row r="204" spans="32:32">
      <c r="AF204" s="138"/>
    </row>
    <row r="205" spans="32:32">
      <c r="AF205" s="138"/>
    </row>
    <row r="206" spans="32:32">
      <c r="AF206" s="138"/>
    </row>
    <row r="207" spans="32:32">
      <c r="AF207" s="138"/>
    </row>
    <row r="208" spans="32:32">
      <c r="AF208" s="138"/>
    </row>
    <row r="209" spans="32:32">
      <c r="AF209" s="138"/>
    </row>
    <row r="210" spans="32:32">
      <c r="AF210" s="138"/>
    </row>
    <row r="211" spans="32:32">
      <c r="AF211" s="138"/>
    </row>
    <row r="212" spans="32:32">
      <c r="AF212" s="138"/>
    </row>
    <row r="213" spans="32:32">
      <c r="AF213" s="138"/>
    </row>
    <row r="214" spans="32:32">
      <c r="AF214" s="138"/>
    </row>
    <row r="215" spans="32:32">
      <c r="AF215" s="138"/>
    </row>
    <row r="216" spans="32:32">
      <c r="AF216" s="138"/>
    </row>
    <row r="217" spans="32:32">
      <c r="AF217" s="138"/>
    </row>
    <row r="218" spans="32:32">
      <c r="AF218" s="138"/>
    </row>
    <row r="219" spans="32:32">
      <c r="AF219" s="138"/>
    </row>
    <row r="220" spans="32:32">
      <c r="AF220" s="138"/>
    </row>
    <row r="221" spans="32:32">
      <c r="AF221" s="138"/>
    </row>
    <row r="222" spans="32:32">
      <c r="AF222" s="138"/>
    </row>
    <row r="223" spans="32:32">
      <c r="AF223" s="138"/>
    </row>
    <row r="224" spans="32:32">
      <c r="AF224" s="138"/>
    </row>
    <row r="225" spans="32:32">
      <c r="AF225" s="138"/>
    </row>
    <row r="226" spans="32:32">
      <c r="AF226" s="138"/>
    </row>
    <row r="227" spans="32:32">
      <c r="AF227" s="138"/>
    </row>
    <row r="228" spans="32:32">
      <c r="AF228" s="138"/>
    </row>
    <row r="229" spans="32:32">
      <c r="AF229" s="138"/>
    </row>
    <row r="230" spans="32:32">
      <c r="AF230" s="138"/>
    </row>
    <row r="231" spans="32:32">
      <c r="AF231" s="138"/>
    </row>
    <row r="232" spans="32:32">
      <c r="AF232" s="138"/>
    </row>
    <row r="233" spans="32:32">
      <c r="AF233" s="138"/>
    </row>
    <row r="234" spans="32:32">
      <c r="AF234" s="138"/>
    </row>
    <row r="235" spans="32:32">
      <c r="AF235" s="138"/>
    </row>
    <row r="236" spans="32:32">
      <c r="AF236" s="138"/>
    </row>
    <row r="237" spans="32:32">
      <c r="AF237" s="138"/>
    </row>
    <row r="238" spans="32:32">
      <c r="AF238" s="138"/>
    </row>
    <row r="239" spans="32:32">
      <c r="AF239" s="138"/>
    </row>
    <row r="240" spans="32:32">
      <c r="AF240" s="138"/>
    </row>
    <row r="241" spans="32:32">
      <c r="AF241" s="138"/>
    </row>
    <row r="242" spans="32:32">
      <c r="AF242" s="138"/>
    </row>
    <row r="243" spans="32:32">
      <c r="AF243" s="138"/>
    </row>
    <row r="244" spans="32:32">
      <c r="AF244" s="138"/>
    </row>
    <row r="245" spans="32:32">
      <c r="AF245" s="138"/>
    </row>
    <row r="246" spans="32:32">
      <c r="AF246" s="138"/>
    </row>
    <row r="247" spans="32:32">
      <c r="AF247" s="138"/>
    </row>
    <row r="248" spans="32:32">
      <c r="AF248" s="138"/>
    </row>
    <row r="249" spans="32:32">
      <c r="AF249" s="138"/>
    </row>
    <row r="250" spans="32:32">
      <c r="AF250" s="138"/>
    </row>
    <row r="251" spans="32:32">
      <c r="AF251" s="138"/>
    </row>
    <row r="252" spans="32:32">
      <c r="AF252" s="138"/>
    </row>
    <row r="253" spans="32:32">
      <c r="AF253" s="138"/>
    </row>
    <row r="254" spans="32:32">
      <c r="AF254" s="138"/>
    </row>
    <row r="255" spans="32:32">
      <c r="AF255" s="138"/>
    </row>
    <row r="256" spans="32:32">
      <c r="AF256" s="138"/>
    </row>
    <row r="257" spans="32:32">
      <c r="AF257" s="138"/>
    </row>
    <row r="258" spans="32:32">
      <c r="AF258" s="138"/>
    </row>
    <row r="259" spans="32:32">
      <c r="AF259" s="138"/>
    </row>
    <row r="260" spans="32:32">
      <c r="AF260" s="138"/>
    </row>
    <row r="261" spans="32:32">
      <c r="AF261" s="138"/>
    </row>
    <row r="262" spans="32:32">
      <c r="AF262" s="138"/>
    </row>
    <row r="263" spans="32:32">
      <c r="AF263" s="138"/>
    </row>
    <row r="264" spans="32:32">
      <c r="AF264" s="138"/>
    </row>
    <row r="265" spans="32:32">
      <c r="AF265" s="138"/>
    </row>
    <row r="266" spans="32:32">
      <c r="AF266" s="138"/>
    </row>
    <row r="267" spans="32:32">
      <c r="AF267" s="138"/>
    </row>
    <row r="268" spans="32:32">
      <c r="AF268" s="138"/>
    </row>
    <row r="269" spans="32:32">
      <c r="AF269" s="138"/>
    </row>
    <row r="270" spans="32:32">
      <c r="AF270" s="138"/>
    </row>
    <row r="271" spans="32:32">
      <c r="AF271" s="138"/>
    </row>
    <row r="272" spans="32:32">
      <c r="AF272" s="138"/>
    </row>
    <row r="273" spans="32:32">
      <c r="AF273" s="138"/>
    </row>
    <row r="274" spans="32:32">
      <c r="AF274" s="138"/>
    </row>
    <row r="275" spans="32:32">
      <c r="AF275" s="138"/>
    </row>
    <row r="276" spans="32:32">
      <c r="AF276" s="138"/>
    </row>
    <row r="277" spans="32:32">
      <c r="AF277" s="138"/>
    </row>
    <row r="278" spans="32:32">
      <c r="AF278" s="138"/>
    </row>
    <row r="279" spans="32:32">
      <c r="AF279" s="138"/>
    </row>
    <row r="280" spans="32:32">
      <c r="AF280" s="138"/>
    </row>
    <row r="281" spans="32:32">
      <c r="AF281" s="138"/>
    </row>
    <row r="282" spans="32:32">
      <c r="AF282" s="138"/>
    </row>
    <row r="283" spans="32:32">
      <c r="AF283" s="138"/>
    </row>
    <row r="284" spans="32:32">
      <c r="AF284" s="138"/>
    </row>
    <row r="285" spans="32:32">
      <c r="AF285" s="138"/>
    </row>
    <row r="286" spans="32:32">
      <c r="AF286" s="138"/>
    </row>
    <row r="287" spans="32:32">
      <c r="AF287" s="138"/>
    </row>
    <row r="288" spans="32:32">
      <c r="AF288" s="138"/>
    </row>
    <row r="289" spans="32:32">
      <c r="AF289" s="138"/>
    </row>
    <row r="290" spans="32:32">
      <c r="AF290" s="138"/>
    </row>
    <row r="291" spans="32:32">
      <c r="AF291" s="138"/>
    </row>
    <row r="292" spans="32:32">
      <c r="AF292" s="138"/>
    </row>
    <row r="293" spans="32:32">
      <c r="AF293" s="138"/>
    </row>
    <row r="294" spans="32:32">
      <c r="AF294" s="138"/>
    </row>
    <row r="295" spans="32:32">
      <c r="AF295" s="138"/>
    </row>
    <row r="296" spans="32:32">
      <c r="AF296" s="138"/>
    </row>
    <row r="297" spans="32:32">
      <c r="AF297" s="138"/>
    </row>
    <row r="298" spans="32:32">
      <c r="AF298" s="138"/>
    </row>
    <row r="299" spans="32:32">
      <c r="AF299" s="138"/>
    </row>
    <row r="300" spans="32:32">
      <c r="AF300" s="138"/>
    </row>
    <row r="301" spans="32:32">
      <c r="AF301" s="138"/>
    </row>
    <row r="302" spans="32:32">
      <c r="AF302" s="138"/>
    </row>
    <row r="303" spans="32:32">
      <c r="AF303" s="138"/>
    </row>
    <row r="304" spans="32:32">
      <c r="AF304" s="138"/>
    </row>
    <row r="305" spans="32:32">
      <c r="AF305" s="138"/>
    </row>
    <row r="306" spans="32:32">
      <c r="AF306" s="138"/>
    </row>
    <row r="307" spans="32:32">
      <c r="AF307" s="138"/>
    </row>
    <row r="308" spans="32:32">
      <c r="AF308" s="138"/>
    </row>
    <row r="309" spans="32:32">
      <c r="AF309" s="138"/>
    </row>
    <row r="310" spans="32:32">
      <c r="AF310" s="138"/>
    </row>
    <row r="311" spans="32:32">
      <c r="AF311" s="138"/>
    </row>
    <row r="312" spans="32:32">
      <c r="AF312" s="138"/>
    </row>
    <row r="313" spans="32:32">
      <c r="AF313" s="138"/>
    </row>
    <row r="314" spans="32:32">
      <c r="AF314" s="138"/>
    </row>
    <row r="315" spans="32:32">
      <c r="AF315" s="138"/>
    </row>
    <row r="316" spans="32:32">
      <c r="AF316" s="138"/>
    </row>
    <row r="317" spans="32:32">
      <c r="AF317" s="138"/>
    </row>
    <row r="318" spans="32:32">
      <c r="AF318" s="138"/>
    </row>
    <row r="319" spans="32:32">
      <c r="AF319" s="138"/>
    </row>
    <row r="320" spans="32:32">
      <c r="AF320" s="138"/>
    </row>
    <row r="321" spans="32:32">
      <c r="AF321" s="138"/>
    </row>
    <row r="322" spans="32:32">
      <c r="AF322" s="138"/>
    </row>
    <row r="323" spans="32:32">
      <c r="AF323" s="138"/>
    </row>
    <row r="324" spans="32:32">
      <c r="AF324" s="138"/>
    </row>
    <row r="325" spans="32:32">
      <c r="AF325" s="138"/>
    </row>
    <row r="326" spans="32:32">
      <c r="AF326" s="138"/>
    </row>
    <row r="327" spans="32:32">
      <c r="AF327" s="138"/>
    </row>
    <row r="328" spans="32:32">
      <c r="AF328" s="138"/>
    </row>
    <row r="329" spans="32:32">
      <c r="AF329" s="138"/>
    </row>
    <row r="330" spans="32:32">
      <c r="AF330" s="138"/>
    </row>
    <row r="331" spans="32:32">
      <c r="AF331" s="138"/>
    </row>
    <row r="332" spans="32:32">
      <c r="AF332" s="138"/>
    </row>
    <row r="333" spans="32:32">
      <c r="AF333" s="138"/>
    </row>
    <row r="334" spans="32:32">
      <c r="AF334" s="138"/>
    </row>
    <row r="335" spans="32:32">
      <c r="AF335" s="138"/>
    </row>
    <row r="336" spans="32:32">
      <c r="AF336" s="138"/>
    </row>
    <row r="337" spans="32:32">
      <c r="AF337" s="138"/>
    </row>
    <row r="338" spans="32:32">
      <c r="AF338" s="138"/>
    </row>
    <row r="339" spans="32:32">
      <c r="AF339" s="138"/>
    </row>
    <row r="340" spans="32:32">
      <c r="AF340" s="138"/>
    </row>
    <row r="341" spans="32:32">
      <c r="AF341" s="138"/>
    </row>
    <row r="342" spans="32:32">
      <c r="AF342" s="138"/>
    </row>
    <row r="343" spans="32:32">
      <c r="AF343" s="138"/>
    </row>
    <row r="344" spans="32:32">
      <c r="AF344" s="138"/>
    </row>
    <row r="345" spans="32:32">
      <c r="AF345" s="138"/>
    </row>
    <row r="346" spans="32:32">
      <c r="AF346" s="138"/>
    </row>
    <row r="347" spans="32:32">
      <c r="AF347" s="138"/>
    </row>
    <row r="348" spans="32:32">
      <c r="AF348" s="138"/>
    </row>
    <row r="349" spans="32:32">
      <c r="AF349" s="138"/>
    </row>
    <row r="350" spans="32:32">
      <c r="AF350" s="138"/>
    </row>
    <row r="351" spans="32:32">
      <c r="AF351" s="138"/>
    </row>
    <row r="352" spans="32:32">
      <c r="AF352" s="138"/>
    </row>
    <row r="353" spans="32:32">
      <c r="AF353" s="138"/>
    </row>
    <row r="354" spans="32:32">
      <c r="AF354" s="138"/>
    </row>
    <row r="355" spans="32:32">
      <c r="AF355" s="138"/>
    </row>
    <row r="356" spans="32:32">
      <c r="AF356" s="138"/>
    </row>
    <row r="357" spans="32:32">
      <c r="AF357" s="138"/>
    </row>
    <row r="358" spans="32:32">
      <c r="AF358" s="138"/>
    </row>
    <row r="359" spans="32:32">
      <c r="AF359" s="138"/>
    </row>
    <row r="360" spans="32:32">
      <c r="AF360" s="138"/>
    </row>
    <row r="361" spans="32:32">
      <c r="AF361" s="138"/>
    </row>
    <row r="362" spans="32:32">
      <c r="AF362" s="138"/>
    </row>
    <row r="363" spans="32:32">
      <c r="AF363" s="138"/>
    </row>
    <row r="364" spans="32:32">
      <c r="AF364" s="138"/>
    </row>
    <row r="365" spans="32:32">
      <c r="AF365" s="138"/>
    </row>
    <row r="366" spans="32:32">
      <c r="AF366" s="138"/>
    </row>
    <row r="367" spans="32:32">
      <c r="AF367" s="138"/>
    </row>
    <row r="368" spans="32:32">
      <c r="AF368" s="138"/>
    </row>
    <row r="369" spans="32:32">
      <c r="AF369" s="138"/>
    </row>
    <row r="370" spans="32:32">
      <c r="AF370" s="138"/>
    </row>
    <row r="371" spans="32:32">
      <c r="AF371" s="138"/>
    </row>
    <row r="372" spans="32:32">
      <c r="AF372" s="138"/>
    </row>
    <row r="373" spans="32:32">
      <c r="AF373" s="138"/>
    </row>
    <row r="374" spans="32:32">
      <c r="AF374" s="138"/>
    </row>
    <row r="375" spans="32:32">
      <c r="AF375" s="138"/>
    </row>
    <row r="376" spans="32:32">
      <c r="AF376" s="138"/>
    </row>
    <row r="377" spans="32:32">
      <c r="AF377" s="138"/>
    </row>
    <row r="378" spans="32:32">
      <c r="AF378" s="138"/>
    </row>
    <row r="379" spans="32:32">
      <c r="AF379" s="138"/>
    </row>
    <row r="380" spans="32:32">
      <c r="AF380" s="138"/>
    </row>
    <row r="381" spans="32:32">
      <c r="AF381" s="138"/>
    </row>
    <row r="382" spans="32:32">
      <c r="AF382" s="138"/>
    </row>
    <row r="383" spans="32:32">
      <c r="AF383" s="138"/>
    </row>
    <row r="384" spans="32:32">
      <c r="AF384" s="138"/>
    </row>
    <row r="385" spans="32:32">
      <c r="AF385" s="138"/>
    </row>
    <row r="386" spans="32:32">
      <c r="AF386" s="138"/>
    </row>
    <row r="387" spans="32:32">
      <c r="AF387" s="138"/>
    </row>
    <row r="388" spans="32:32">
      <c r="AF388" s="138"/>
    </row>
    <row r="389" spans="32:32">
      <c r="AF389" s="138"/>
    </row>
    <row r="390" spans="32:32">
      <c r="AF390" s="138"/>
    </row>
    <row r="391" spans="32:32">
      <c r="AF391" s="138"/>
    </row>
    <row r="392" spans="32:32">
      <c r="AF392" s="138"/>
    </row>
    <row r="393" spans="32:32">
      <c r="AF393" s="138"/>
    </row>
    <row r="394" spans="32:32">
      <c r="AF394" s="138"/>
    </row>
    <row r="395" spans="32:32">
      <c r="AF395" s="138"/>
    </row>
    <row r="396" spans="32:32">
      <c r="AF396" s="138"/>
    </row>
    <row r="397" spans="32:32">
      <c r="AF397" s="138"/>
    </row>
    <row r="398" spans="32:32">
      <c r="AF398" s="138"/>
    </row>
    <row r="399" spans="32:32">
      <c r="AF399" s="138"/>
    </row>
    <row r="400" spans="32:32">
      <c r="AF400" s="138"/>
    </row>
    <row r="401" spans="32:32">
      <c r="AF401" s="138"/>
    </row>
    <row r="402" spans="32:32">
      <c r="AF402" s="138"/>
    </row>
    <row r="403" spans="32:32">
      <c r="AF403" s="138"/>
    </row>
    <row r="404" spans="32:32">
      <c r="AF404" s="138"/>
    </row>
    <row r="405" spans="32:32">
      <c r="AF405" s="138"/>
    </row>
    <row r="406" spans="32:32">
      <c r="AF406" s="138"/>
    </row>
    <row r="407" spans="32:32">
      <c r="AF407" s="138"/>
    </row>
    <row r="408" spans="32:32">
      <c r="AF408" s="138"/>
    </row>
    <row r="409" spans="32:32">
      <c r="AF409" s="138"/>
    </row>
    <row r="410" spans="32:32">
      <c r="AF410" s="138"/>
    </row>
    <row r="411" spans="32:32">
      <c r="AF411" s="138"/>
    </row>
    <row r="412" spans="32:32">
      <c r="AF412" s="138"/>
    </row>
    <row r="413" spans="32:32">
      <c r="AF413" s="138"/>
    </row>
    <row r="414" spans="32:32">
      <c r="AF414" s="138"/>
    </row>
    <row r="415" spans="32:32">
      <c r="AF415" s="138"/>
    </row>
    <row r="416" spans="32:32">
      <c r="AF416" s="138"/>
    </row>
    <row r="417" spans="32:32">
      <c r="AF417" s="138"/>
    </row>
    <row r="418" spans="32:32">
      <c r="AF418" s="138"/>
    </row>
    <row r="419" spans="32:32">
      <c r="AF419" s="138"/>
    </row>
    <row r="420" spans="32:32">
      <c r="AF420" s="138"/>
    </row>
    <row r="421" spans="32:32">
      <c r="AF421" s="138"/>
    </row>
    <row r="422" spans="32:32">
      <c r="AF422" s="138"/>
    </row>
    <row r="423" spans="32:32">
      <c r="AF423" s="138"/>
    </row>
    <row r="424" spans="32:32">
      <c r="AF424" s="138"/>
    </row>
    <row r="425" spans="32:32">
      <c r="AF425" s="138"/>
    </row>
    <row r="426" spans="32:32">
      <c r="AF426" s="138"/>
    </row>
    <row r="427" spans="32:32">
      <c r="AF427" s="138"/>
    </row>
    <row r="428" spans="32:32">
      <c r="AF428" s="138"/>
    </row>
    <row r="429" spans="32:32">
      <c r="AF429" s="138"/>
    </row>
    <row r="430" spans="32:32">
      <c r="AF430" s="138"/>
    </row>
    <row r="431" spans="32:32">
      <c r="AF431" s="138"/>
    </row>
    <row r="432" spans="32:32">
      <c r="AF432" s="138"/>
    </row>
    <row r="433" spans="32:32">
      <c r="AF433" s="138"/>
    </row>
    <row r="434" spans="32:32">
      <c r="AF434" s="138"/>
    </row>
    <row r="435" spans="32:32">
      <c r="AF435" s="138"/>
    </row>
    <row r="436" spans="32:32">
      <c r="AF436" s="138"/>
    </row>
    <row r="437" spans="32:32">
      <c r="AF437" s="138"/>
    </row>
    <row r="438" spans="32:32">
      <c r="AF438" s="138"/>
    </row>
    <row r="439" spans="32:32">
      <c r="AF439" s="138"/>
    </row>
    <row r="440" spans="32:32">
      <c r="AF440" s="138"/>
    </row>
    <row r="441" spans="32:32">
      <c r="AF441" s="138"/>
    </row>
    <row r="442" spans="32:32">
      <c r="AF442" s="138"/>
    </row>
    <row r="443" spans="32:32">
      <c r="AF443" s="138"/>
    </row>
    <row r="444" spans="32:32">
      <c r="AF444" s="138"/>
    </row>
    <row r="445" spans="32:32">
      <c r="AF445" s="138"/>
    </row>
    <row r="446" spans="32:32">
      <c r="AF446" s="138"/>
    </row>
    <row r="447" spans="32:32">
      <c r="AF447" s="138"/>
    </row>
    <row r="448" spans="32:32">
      <c r="AF448" s="138"/>
    </row>
    <row r="449" spans="32:32">
      <c r="AF449" s="138"/>
    </row>
    <row r="450" spans="32:32">
      <c r="AF450" s="138"/>
    </row>
    <row r="451" spans="32:32">
      <c r="AF451" s="138"/>
    </row>
    <row r="452" spans="32:32">
      <c r="AF452" s="138"/>
    </row>
    <row r="453" spans="32:32">
      <c r="AF453" s="138"/>
    </row>
    <row r="454" spans="32:32">
      <c r="AF454" s="138"/>
    </row>
    <row r="455" spans="32:32">
      <c r="AF455" s="138"/>
    </row>
    <row r="456" spans="32:32">
      <c r="AF456" s="138"/>
    </row>
    <row r="457" spans="32:32">
      <c r="AF457" s="138"/>
    </row>
    <row r="458" spans="32:32">
      <c r="AF458" s="138"/>
    </row>
    <row r="459" spans="32:32">
      <c r="AF459" s="138"/>
    </row>
    <row r="460" spans="32:32">
      <c r="AF460" s="138"/>
    </row>
    <row r="461" spans="32:32">
      <c r="AF461" s="138"/>
    </row>
    <row r="462" spans="32:32">
      <c r="AF462" s="138"/>
    </row>
    <row r="463" spans="32:32">
      <c r="AF463" s="138"/>
    </row>
    <row r="464" spans="32:32">
      <c r="AF464" s="138"/>
    </row>
    <row r="465" spans="32:32">
      <c r="AF465" s="138"/>
    </row>
    <row r="466" spans="32:32">
      <c r="AF466" s="138"/>
    </row>
    <row r="467" spans="32:32">
      <c r="AF467" s="138"/>
    </row>
    <row r="468" spans="32:32">
      <c r="AF468" s="138"/>
    </row>
    <row r="469" spans="32:32">
      <c r="AF469" s="138"/>
    </row>
    <row r="470" spans="32:32">
      <c r="AF470" s="138"/>
    </row>
    <row r="471" spans="32:32">
      <c r="AF471" s="138"/>
    </row>
    <row r="472" spans="32:32">
      <c r="AF472" s="138"/>
    </row>
    <row r="473" spans="32:32">
      <c r="AF473" s="138"/>
    </row>
    <row r="474" spans="32:32">
      <c r="AF474" s="138"/>
    </row>
    <row r="475" spans="32:32">
      <c r="AF475" s="138"/>
    </row>
    <row r="476" spans="32:32">
      <c r="AF476" s="138"/>
    </row>
    <row r="477" spans="32:32">
      <c r="AF477" s="138"/>
    </row>
    <row r="478" spans="32:32">
      <c r="AF478" s="138"/>
    </row>
    <row r="479" spans="32:32">
      <c r="AF479" s="138"/>
    </row>
    <row r="480" spans="32:32">
      <c r="AF480" s="138"/>
    </row>
    <row r="481" spans="32:32">
      <c r="AF481" s="138"/>
    </row>
    <row r="482" spans="32:32">
      <c r="AF482" s="138"/>
    </row>
    <row r="483" spans="32:32">
      <c r="AF483" s="138"/>
    </row>
    <row r="484" spans="32:32">
      <c r="AF484" s="138"/>
    </row>
    <row r="485" spans="32:32">
      <c r="AF485" s="138"/>
    </row>
    <row r="486" spans="32:32">
      <c r="AF486" s="138"/>
    </row>
    <row r="487" spans="32:32">
      <c r="AF487" s="138"/>
    </row>
    <row r="488" spans="32:32">
      <c r="AF488" s="138"/>
    </row>
    <row r="489" spans="32:32">
      <c r="AF489" s="138"/>
    </row>
    <row r="490" spans="32:32">
      <c r="AF490" s="138"/>
    </row>
    <row r="491" spans="32:32">
      <c r="AF491" s="138"/>
    </row>
    <row r="492" spans="32:32">
      <c r="AF492" s="138"/>
    </row>
    <row r="493" spans="32:32">
      <c r="AF493" s="138"/>
    </row>
    <row r="494" spans="32:32">
      <c r="AF494" s="138"/>
    </row>
    <row r="495" spans="32:32">
      <c r="AF495" s="138"/>
    </row>
    <row r="496" spans="32:32">
      <c r="AF496" s="138"/>
    </row>
    <row r="497" spans="32:32">
      <c r="AF497" s="138"/>
    </row>
    <row r="498" spans="32:32">
      <c r="AF498" s="138"/>
    </row>
    <row r="499" spans="32:32">
      <c r="AF499" s="138"/>
    </row>
    <row r="500" spans="32:32">
      <c r="AF500" s="138"/>
    </row>
    <row r="501" spans="32:32">
      <c r="AF501" s="138"/>
    </row>
    <row r="502" spans="32:32">
      <c r="AF502" s="138"/>
    </row>
    <row r="503" spans="32:32">
      <c r="AF503" s="138"/>
    </row>
    <row r="504" spans="32:32">
      <c r="AF504" s="138"/>
    </row>
    <row r="505" spans="32:32">
      <c r="AF505" s="138"/>
    </row>
    <row r="506" spans="32:32">
      <c r="AF506" s="138"/>
    </row>
    <row r="507" spans="32:32">
      <c r="AF507" s="138"/>
    </row>
    <row r="508" spans="32:32">
      <c r="AF508" s="138"/>
    </row>
    <row r="509" spans="32:32">
      <c r="AF509" s="138"/>
    </row>
    <row r="510" spans="32:32">
      <c r="AF510" s="138"/>
    </row>
    <row r="511" spans="32:32">
      <c r="AF511" s="138"/>
    </row>
    <row r="512" spans="32:32">
      <c r="AF512" s="138"/>
    </row>
    <row r="513" spans="32:32">
      <c r="AF513" s="138"/>
    </row>
    <row r="514" spans="32:32">
      <c r="AF514" s="138"/>
    </row>
    <row r="515" spans="32:32">
      <c r="AF515" s="138"/>
    </row>
    <row r="516" spans="32:32">
      <c r="AF516" s="138"/>
    </row>
    <row r="517" spans="32:32">
      <c r="AF517" s="138"/>
    </row>
    <row r="518" spans="32:32">
      <c r="AF518" s="138"/>
    </row>
    <row r="519" spans="32:32">
      <c r="AF519" s="138"/>
    </row>
    <row r="520" spans="32:32">
      <c r="AF520" s="138"/>
    </row>
    <row r="521" spans="32:32">
      <c r="AF521" s="138"/>
    </row>
    <row r="522" spans="32:32">
      <c r="AF522" s="138"/>
    </row>
    <row r="523" spans="32:32">
      <c r="AF523" s="138"/>
    </row>
    <row r="524" spans="32:32">
      <c r="AF524" s="138"/>
    </row>
    <row r="525" spans="32:32">
      <c r="AF525" s="138"/>
    </row>
    <row r="526" spans="32:32">
      <c r="AF526" s="138"/>
    </row>
    <row r="527" spans="32:32">
      <c r="AF527" s="138"/>
    </row>
    <row r="528" spans="32:32">
      <c r="AF528" s="138"/>
    </row>
    <row r="529" spans="32:32">
      <c r="AF529" s="138"/>
    </row>
    <row r="530" spans="32:32">
      <c r="AF530" s="138"/>
    </row>
    <row r="531" spans="32:32">
      <c r="AF531" s="138"/>
    </row>
    <row r="532" spans="32:32">
      <c r="AF532" s="138"/>
    </row>
    <row r="533" spans="32:32">
      <c r="AF533" s="138"/>
    </row>
    <row r="534" spans="32:32">
      <c r="AF534" s="138"/>
    </row>
    <row r="535" spans="32:32">
      <c r="AF535" s="138"/>
    </row>
    <row r="536" spans="32:32">
      <c r="AF536" s="138"/>
    </row>
    <row r="537" spans="32:32">
      <c r="AF537" s="138"/>
    </row>
    <row r="538" spans="32:32">
      <c r="AF538" s="138"/>
    </row>
    <row r="539" spans="32:32">
      <c r="AF539" s="138"/>
    </row>
    <row r="540" spans="32:32">
      <c r="AF540" s="138"/>
    </row>
    <row r="541" spans="32:32">
      <c r="AF541" s="138"/>
    </row>
    <row r="542" spans="32:32">
      <c r="AF542" s="138"/>
    </row>
    <row r="543" spans="32:32">
      <c r="AF543" s="138"/>
    </row>
    <row r="544" spans="32:32">
      <c r="AF544" s="138"/>
    </row>
    <row r="545" spans="32:32">
      <c r="AF545" s="138"/>
    </row>
    <row r="546" spans="32:32">
      <c r="AF546" s="138"/>
    </row>
    <row r="547" spans="32:32">
      <c r="AF547" s="138"/>
    </row>
    <row r="548" spans="32:32">
      <c r="AF548" s="138"/>
    </row>
    <row r="549" spans="32:32">
      <c r="AF549" s="138"/>
    </row>
    <row r="550" spans="32:32">
      <c r="AF550" s="138"/>
    </row>
    <row r="551" spans="32:32">
      <c r="AF551" s="138"/>
    </row>
    <row r="552" spans="32:32">
      <c r="AF552" s="138"/>
    </row>
    <row r="553" spans="32:32">
      <c r="AF553" s="138"/>
    </row>
    <row r="554" spans="32:32">
      <c r="AF554" s="138"/>
    </row>
    <row r="555" spans="32:32">
      <c r="AF555" s="138"/>
    </row>
    <row r="556" spans="32:32">
      <c r="AF556" s="138"/>
    </row>
    <row r="557" spans="32:32">
      <c r="AF557" s="138"/>
    </row>
    <row r="558" spans="32:32">
      <c r="AF558" s="138"/>
    </row>
    <row r="559" spans="32:32">
      <c r="AF559" s="138"/>
    </row>
    <row r="560" spans="32:32">
      <c r="AF560" s="138"/>
    </row>
    <row r="561" spans="32:32">
      <c r="AF561" s="138"/>
    </row>
    <row r="562" spans="32:32">
      <c r="AF562" s="138"/>
    </row>
    <row r="563" spans="32:32">
      <c r="AF563" s="138"/>
    </row>
    <row r="564" spans="32:32">
      <c r="AF564" s="138"/>
    </row>
    <row r="565" spans="32:32">
      <c r="AF565" s="138"/>
    </row>
    <row r="566" spans="32:32">
      <c r="AF566" s="138"/>
    </row>
    <row r="567" spans="32:32">
      <c r="AF567" s="138"/>
    </row>
    <row r="568" spans="32:32">
      <c r="AF568" s="138"/>
    </row>
    <row r="569" spans="32:32">
      <c r="AF569" s="138"/>
    </row>
    <row r="570" spans="32:32">
      <c r="AF570" s="138"/>
    </row>
    <row r="571" spans="32:32">
      <c r="AF571" s="138"/>
    </row>
    <row r="572" spans="32:32">
      <c r="AF572" s="138"/>
    </row>
    <row r="573" spans="32:32">
      <c r="AF573" s="138"/>
    </row>
    <row r="574" spans="32:32">
      <c r="AF574" s="138"/>
    </row>
    <row r="575" spans="32:32">
      <c r="AF575" s="138"/>
    </row>
    <row r="576" spans="32:32">
      <c r="AF576" s="138"/>
    </row>
    <row r="577" spans="32:32">
      <c r="AF577" s="138"/>
    </row>
    <row r="578" spans="32:32">
      <c r="AF578" s="138"/>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97"/>
  <sheetViews>
    <sheetView workbookViewId="0">
      <selection activeCell="B2" sqref="B2"/>
    </sheetView>
  </sheetViews>
  <sheetFormatPr defaultColWidth="8.85546875" defaultRowHeight="15"/>
  <cols>
    <col min="1" max="1" width="10.7109375" bestFit="1" customWidth="1"/>
    <col min="2" max="16" width="12.7109375" customWidth="1"/>
  </cols>
  <sheetData>
    <row r="1" spans="1:16">
      <c r="A1" t="s">
        <v>226</v>
      </c>
      <c r="B1" t="s">
        <v>254</v>
      </c>
      <c r="C1" t="s">
        <v>253</v>
      </c>
      <c r="D1" t="s">
        <v>252</v>
      </c>
      <c r="E1" t="s">
        <v>251</v>
      </c>
      <c r="F1" t="s">
        <v>250</v>
      </c>
      <c r="G1" t="s">
        <v>249</v>
      </c>
      <c r="H1" t="s">
        <v>248</v>
      </c>
      <c r="I1" t="s">
        <v>247</v>
      </c>
      <c r="J1" t="s">
        <v>246</v>
      </c>
      <c r="K1" t="s">
        <v>245</v>
      </c>
      <c r="L1" t="s">
        <v>244</v>
      </c>
      <c r="M1" t="s">
        <v>243</v>
      </c>
      <c r="N1" t="s">
        <v>242</v>
      </c>
      <c r="O1" t="s">
        <v>241</v>
      </c>
      <c r="P1" t="s">
        <v>240</v>
      </c>
    </row>
    <row r="2" spans="1:16">
      <c r="A2" s="82">
        <v>34059</v>
      </c>
    </row>
    <row r="3" spans="1:16">
      <c r="A3" s="82">
        <v>34150</v>
      </c>
    </row>
    <row r="4" spans="1:16">
      <c r="A4" s="82">
        <v>34242</v>
      </c>
    </row>
    <row r="5" spans="1:16">
      <c r="A5" s="82">
        <v>34334</v>
      </c>
    </row>
    <row r="6" spans="1:16">
      <c r="A6" s="82">
        <v>34424</v>
      </c>
    </row>
    <row r="7" spans="1:16">
      <c r="A7" s="82">
        <v>34515</v>
      </c>
    </row>
    <row r="8" spans="1:16">
      <c r="A8" s="82">
        <v>34607</v>
      </c>
    </row>
    <row r="9" spans="1:16">
      <c r="A9" s="82">
        <v>34699</v>
      </c>
    </row>
    <row r="10" spans="1:16">
      <c r="A10" s="82">
        <v>34789</v>
      </c>
    </row>
    <row r="11" spans="1:16">
      <c r="A11" s="82">
        <v>34880</v>
      </c>
    </row>
    <row r="12" spans="1:16">
      <c r="A12" s="82">
        <v>34972</v>
      </c>
    </row>
    <row r="13" spans="1:16">
      <c r="A13" s="82">
        <v>35064</v>
      </c>
    </row>
    <row r="14" spans="1:16">
      <c r="A14" s="82">
        <v>35155</v>
      </c>
      <c r="B14" s="83">
        <v>103342545071.72</v>
      </c>
    </row>
    <row r="15" spans="1:16">
      <c r="A15" s="82">
        <v>35246</v>
      </c>
      <c r="B15" s="81">
        <v>103342545071.72</v>
      </c>
    </row>
    <row r="16" spans="1:16">
      <c r="A16" s="82">
        <v>35338</v>
      </c>
      <c r="B16" s="83">
        <v>103342545071.72</v>
      </c>
    </row>
    <row r="17" spans="1:9">
      <c r="A17" s="82">
        <v>35430</v>
      </c>
      <c r="B17" s="81">
        <v>113062517300.37</v>
      </c>
    </row>
    <row r="18" spans="1:9">
      <c r="A18" s="82">
        <v>35520</v>
      </c>
      <c r="B18" s="83">
        <v>113062517300.37</v>
      </c>
    </row>
    <row r="19" spans="1:9">
      <c r="A19" s="82">
        <v>35611</v>
      </c>
      <c r="B19" s="81">
        <v>113062517300.37</v>
      </c>
    </row>
    <row r="20" spans="1:9">
      <c r="A20" s="82">
        <v>35703</v>
      </c>
      <c r="B20" s="83">
        <v>113062517300.37</v>
      </c>
    </row>
    <row r="21" spans="1:9">
      <c r="A21" s="82">
        <v>35795</v>
      </c>
      <c r="B21" s="81">
        <v>123890167036.5</v>
      </c>
    </row>
    <row r="22" spans="1:9">
      <c r="A22" s="82">
        <v>35885</v>
      </c>
      <c r="B22" s="83">
        <v>123890167036.5</v>
      </c>
    </row>
    <row r="23" spans="1:9">
      <c r="A23" s="82">
        <v>35976</v>
      </c>
      <c r="B23" s="81">
        <v>123890167036.5</v>
      </c>
    </row>
    <row r="24" spans="1:9">
      <c r="A24" s="82">
        <v>36068</v>
      </c>
      <c r="B24" s="83">
        <v>123890167036.5</v>
      </c>
    </row>
    <row r="25" spans="1:9">
      <c r="A25" s="82">
        <v>36160</v>
      </c>
      <c r="B25" s="81">
        <v>136238134063</v>
      </c>
    </row>
    <row r="26" spans="1:9">
      <c r="A26" s="82">
        <v>36250</v>
      </c>
      <c r="B26" s="83">
        <v>138967911292.95001</v>
      </c>
    </row>
    <row r="27" spans="1:9">
      <c r="A27" s="82">
        <v>36341</v>
      </c>
      <c r="B27" s="81">
        <v>141220975857.12</v>
      </c>
    </row>
    <row r="28" spans="1:9">
      <c r="A28" s="82">
        <v>36433</v>
      </c>
      <c r="B28" s="83">
        <v>137284368553.32001</v>
      </c>
    </row>
    <row r="29" spans="1:9">
      <c r="A29" s="82">
        <v>36525</v>
      </c>
      <c r="B29" s="81">
        <v>147477072347.98999</v>
      </c>
      <c r="I29" s="4"/>
    </row>
    <row r="30" spans="1:9">
      <c r="A30" s="82">
        <v>36616</v>
      </c>
      <c r="B30" s="83">
        <v>151393779855.84</v>
      </c>
      <c r="I30" s="83">
        <v>1057219295</v>
      </c>
    </row>
    <row r="31" spans="1:9">
      <c r="A31" s="82">
        <v>36707</v>
      </c>
      <c r="B31" s="81">
        <v>150645862570.75</v>
      </c>
      <c r="I31" s="81">
        <v>1309279757</v>
      </c>
    </row>
    <row r="32" spans="1:9">
      <c r="A32" s="82">
        <v>36799</v>
      </c>
      <c r="B32" s="83">
        <v>152284227549.48001</v>
      </c>
      <c r="I32" s="83">
        <v>1897685058</v>
      </c>
    </row>
    <row r="33" spans="1:16">
      <c r="A33" s="82">
        <v>36891</v>
      </c>
      <c r="B33" s="81">
        <v>150170608728.87</v>
      </c>
      <c r="E33" s="4"/>
      <c r="I33" s="81">
        <v>2150102930</v>
      </c>
      <c r="J33" s="4"/>
      <c r="K33" s="4"/>
      <c r="N33" s="4"/>
      <c r="P33" s="4"/>
    </row>
    <row r="34" spans="1:16">
      <c r="A34" s="82">
        <v>36981</v>
      </c>
      <c r="B34" s="83">
        <v>147380877340.85001</v>
      </c>
      <c r="D34" s="83">
        <v>48486408524</v>
      </c>
      <c r="E34" s="83">
        <v>3434229305</v>
      </c>
      <c r="I34" s="83">
        <v>2302261068</v>
      </c>
      <c r="J34" s="83">
        <v>14437339458</v>
      </c>
      <c r="K34" s="83">
        <v>25712021292</v>
      </c>
      <c r="N34" s="83">
        <v>37270303878</v>
      </c>
      <c r="P34" s="83">
        <v>-45135483.740000002</v>
      </c>
    </row>
    <row r="35" spans="1:16">
      <c r="A35" s="82">
        <v>37072</v>
      </c>
      <c r="B35" s="81">
        <v>150620781671.10999</v>
      </c>
      <c r="D35" s="81">
        <v>52238101319</v>
      </c>
      <c r="E35" s="81">
        <v>3838393428</v>
      </c>
      <c r="I35" s="81">
        <v>2338139153</v>
      </c>
      <c r="J35" s="81">
        <v>15382123345</v>
      </c>
      <c r="K35" s="81">
        <v>27653604409</v>
      </c>
      <c r="N35" s="81">
        <v>34762455955</v>
      </c>
      <c r="P35" s="81">
        <v>-1312459980</v>
      </c>
    </row>
    <row r="36" spans="1:16">
      <c r="A36" s="82">
        <v>37164</v>
      </c>
      <c r="B36" s="83">
        <v>140666102364.45001</v>
      </c>
      <c r="D36" s="83">
        <v>43077072401</v>
      </c>
      <c r="E36" s="83">
        <v>2851097513</v>
      </c>
      <c r="I36" s="83">
        <v>2202148271</v>
      </c>
      <c r="J36" s="83">
        <v>14290716199</v>
      </c>
      <c r="K36" s="83">
        <v>26946384790</v>
      </c>
      <c r="N36" s="83">
        <v>34469386775</v>
      </c>
      <c r="P36" s="83">
        <v>307050453.5</v>
      </c>
    </row>
    <row r="37" spans="1:16">
      <c r="A37" s="82">
        <v>37256</v>
      </c>
      <c r="B37" s="81">
        <v>147303437129.04999</v>
      </c>
      <c r="D37" s="81">
        <v>50381964172</v>
      </c>
      <c r="E37" s="81">
        <v>3441177164</v>
      </c>
      <c r="I37" s="81">
        <v>2137046327</v>
      </c>
      <c r="J37" s="81">
        <v>14969933427</v>
      </c>
      <c r="K37" s="81">
        <v>27772973439</v>
      </c>
      <c r="N37" s="81">
        <v>33940702497</v>
      </c>
      <c r="P37" s="81">
        <v>-107754852.09999999</v>
      </c>
    </row>
    <row r="38" spans="1:16">
      <c r="A38" s="82">
        <v>37346</v>
      </c>
      <c r="B38" s="83">
        <v>149159217863.42001</v>
      </c>
      <c r="D38" s="83">
        <v>52215549254</v>
      </c>
      <c r="E38" s="83">
        <v>3780699666</v>
      </c>
      <c r="I38" s="83">
        <v>2219464938</v>
      </c>
      <c r="J38" s="83">
        <v>14786555501</v>
      </c>
      <c r="K38" s="83">
        <v>28018005082</v>
      </c>
      <c r="N38" s="83">
        <v>31631408412</v>
      </c>
      <c r="P38" s="83">
        <v>490285040.69999999</v>
      </c>
    </row>
    <row r="39" spans="1:16">
      <c r="A39" s="82">
        <v>37437</v>
      </c>
      <c r="B39" s="81">
        <v>140290545463.19</v>
      </c>
      <c r="D39" s="81">
        <v>43396325678</v>
      </c>
      <c r="E39" s="81">
        <v>3324990021</v>
      </c>
      <c r="F39" s="81">
        <v>425693985.10000002</v>
      </c>
      <c r="I39" s="81">
        <v>1976466304</v>
      </c>
      <c r="J39" s="81">
        <v>14535464210</v>
      </c>
      <c r="K39" s="81">
        <v>35494335450</v>
      </c>
      <c r="M39" s="81">
        <v>205821591.90000001</v>
      </c>
      <c r="N39" s="81">
        <v>23382586991</v>
      </c>
      <c r="P39" s="81">
        <v>2887035040</v>
      </c>
    </row>
    <row r="40" spans="1:16">
      <c r="A40" s="82">
        <v>37529</v>
      </c>
      <c r="B40" s="83">
        <v>132792391132.02</v>
      </c>
      <c r="D40" s="83">
        <v>35812637060</v>
      </c>
      <c r="E40" s="83">
        <v>2550138561</v>
      </c>
      <c r="F40" s="83">
        <v>548061539</v>
      </c>
      <c r="I40" s="83">
        <v>1924308444</v>
      </c>
      <c r="J40" s="83">
        <v>13063543769</v>
      </c>
      <c r="K40" s="83">
        <v>38178902827</v>
      </c>
      <c r="M40" s="83">
        <v>321082051.89999998</v>
      </c>
      <c r="N40" s="83">
        <v>22285500666</v>
      </c>
      <c r="P40" s="83">
        <v>2392718497</v>
      </c>
    </row>
    <row r="41" spans="1:16">
      <c r="A41" s="82">
        <v>37621</v>
      </c>
      <c r="B41" s="81">
        <v>135536798412.37</v>
      </c>
      <c r="D41" s="81">
        <v>37918654864</v>
      </c>
      <c r="E41" s="81">
        <v>1969922995</v>
      </c>
      <c r="F41" s="81">
        <v>692310955</v>
      </c>
      <c r="I41" s="81">
        <v>2084118134</v>
      </c>
      <c r="J41" s="81">
        <v>13275779997</v>
      </c>
      <c r="K41" s="81">
        <v>37955255305</v>
      </c>
      <c r="M41" s="81">
        <v>738398488.20000005</v>
      </c>
      <c r="N41" s="81">
        <v>20382861059</v>
      </c>
      <c r="P41" s="81">
        <v>3932679870</v>
      </c>
    </row>
    <row r="42" spans="1:16">
      <c r="A42" s="82">
        <v>37711</v>
      </c>
      <c r="B42" s="83">
        <v>132582733284.14</v>
      </c>
      <c r="D42" s="83">
        <v>35937260956</v>
      </c>
      <c r="E42" s="83">
        <v>1691112935</v>
      </c>
      <c r="F42" s="83">
        <v>902207859</v>
      </c>
      <c r="I42" s="83">
        <v>2224303568</v>
      </c>
      <c r="J42" s="83">
        <v>12530846077</v>
      </c>
      <c r="K42" s="83">
        <v>40158784201</v>
      </c>
      <c r="M42" s="83">
        <v>1480164726</v>
      </c>
      <c r="N42" s="83">
        <v>17444242866</v>
      </c>
      <c r="P42" s="83">
        <v>3601124674</v>
      </c>
    </row>
    <row r="43" spans="1:16">
      <c r="A43" s="82">
        <v>37802</v>
      </c>
      <c r="B43" s="81">
        <v>141319427685.17001</v>
      </c>
      <c r="D43" s="81">
        <v>42697580426</v>
      </c>
      <c r="E43" s="81">
        <v>1974057887</v>
      </c>
      <c r="F43" s="81">
        <v>974042986</v>
      </c>
      <c r="I43" s="81">
        <v>2259524341</v>
      </c>
      <c r="J43" s="81">
        <v>13616210736</v>
      </c>
      <c r="K43" s="81">
        <v>42060330774</v>
      </c>
      <c r="M43" s="81">
        <v>1508310550</v>
      </c>
      <c r="N43" s="81">
        <v>15664276365</v>
      </c>
      <c r="P43" s="81">
        <v>3602667345</v>
      </c>
    </row>
    <row r="44" spans="1:16">
      <c r="A44" s="82">
        <v>37894</v>
      </c>
      <c r="B44" s="83">
        <v>143856073787.17999</v>
      </c>
      <c r="D44" s="83">
        <v>44892450278</v>
      </c>
      <c r="E44" s="83">
        <v>2232225230</v>
      </c>
      <c r="F44" s="83">
        <v>1588180776</v>
      </c>
      <c r="I44" s="83">
        <v>2376914289</v>
      </c>
      <c r="J44" s="83">
        <v>14402308750</v>
      </c>
      <c r="K44" s="83">
        <v>42649596198</v>
      </c>
      <c r="M44" s="83">
        <v>1534570450</v>
      </c>
      <c r="N44" s="83">
        <v>13889926203</v>
      </c>
      <c r="P44" s="83">
        <v>3656928693</v>
      </c>
    </row>
    <row r="45" spans="1:16">
      <c r="A45" s="82">
        <v>37986</v>
      </c>
      <c r="B45" s="81">
        <v>149953327164.31</v>
      </c>
      <c r="D45" s="81">
        <v>47925146280</v>
      </c>
      <c r="E45" s="81">
        <v>3064398058</v>
      </c>
      <c r="F45" s="81">
        <v>1923387064</v>
      </c>
      <c r="I45" s="81">
        <v>2644878489</v>
      </c>
      <c r="J45" s="81">
        <v>14878423487</v>
      </c>
      <c r="K45" s="81">
        <v>41671639669</v>
      </c>
      <c r="M45" s="81">
        <v>1949989652</v>
      </c>
      <c r="N45" s="81">
        <v>12198778403</v>
      </c>
      <c r="P45" s="81">
        <v>6701905834</v>
      </c>
    </row>
    <row r="46" spans="1:16">
      <c r="A46" s="82">
        <v>38077</v>
      </c>
      <c r="B46" s="83">
        <v>156184269594.20999</v>
      </c>
      <c r="D46" s="83">
        <v>50066020386</v>
      </c>
      <c r="E46" s="83">
        <v>4049659613</v>
      </c>
      <c r="F46" s="83">
        <v>2618255287</v>
      </c>
      <c r="I46" s="83">
        <v>2723032791</v>
      </c>
      <c r="J46" s="83">
        <v>16217269285</v>
      </c>
      <c r="K46" s="83">
        <v>43902554781</v>
      </c>
      <c r="M46" s="83">
        <v>2665832295</v>
      </c>
      <c r="N46" s="83">
        <v>13459559144</v>
      </c>
      <c r="P46" s="83">
        <v>4681040955</v>
      </c>
    </row>
    <row r="47" spans="1:16">
      <c r="A47" s="82">
        <v>38168</v>
      </c>
      <c r="B47" s="81">
        <v>156021498567.38</v>
      </c>
      <c r="D47" s="81">
        <v>51199408802</v>
      </c>
      <c r="E47" s="81">
        <v>3764871702</v>
      </c>
      <c r="F47" s="81">
        <v>3238369261.9000001</v>
      </c>
      <c r="I47" s="81">
        <v>3636954807</v>
      </c>
      <c r="J47" s="81">
        <v>15642005238</v>
      </c>
      <c r="K47" s="81">
        <v>43435221614</v>
      </c>
      <c r="M47" s="81">
        <v>3378684174</v>
      </c>
      <c r="N47" s="81">
        <v>11690714377</v>
      </c>
      <c r="P47" s="81">
        <v>3557966590</v>
      </c>
    </row>
    <row r="48" spans="1:16">
      <c r="A48" s="82">
        <v>38260</v>
      </c>
      <c r="B48" s="83">
        <v>159430380371.82999</v>
      </c>
      <c r="D48" s="83">
        <v>49708077185</v>
      </c>
      <c r="E48" s="83">
        <v>4960321699</v>
      </c>
      <c r="F48" s="83">
        <v>3774630895.0999999</v>
      </c>
      <c r="I48" s="83">
        <v>3614358959</v>
      </c>
      <c r="J48" s="83">
        <v>16105852597</v>
      </c>
      <c r="K48" s="83">
        <v>44305330327</v>
      </c>
      <c r="M48" s="83">
        <v>4246311572</v>
      </c>
      <c r="N48" s="83">
        <v>11005711567</v>
      </c>
      <c r="P48" s="83">
        <v>4636780590</v>
      </c>
    </row>
    <row r="49" spans="1:16">
      <c r="A49" s="82">
        <v>38352</v>
      </c>
      <c r="B49" s="81">
        <v>167315560359.25</v>
      </c>
      <c r="D49" s="81">
        <v>49777093873</v>
      </c>
      <c r="E49" s="81">
        <v>6020098281</v>
      </c>
      <c r="F49" s="81">
        <v>4155289493.1999998</v>
      </c>
      <c r="I49" s="81">
        <v>3691118239</v>
      </c>
      <c r="J49" s="81">
        <v>16920751222</v>
      </c>
      <c r="K49" s="81">
        <v>43070486968</v>
      </c>
      <c r="M49" s="81">
        <v>5198023450</v>
      </c>
      <c r="N49" s="81">
        <v>11575852727</v>
      </c>
      <c r="P49" s="81">
        <v>10264779040</v>
      </c>
    </row>
    <row r="50" spans="1:16">
      <c r="A50" s="82">
        <v>38442</v>
      </c>
      <c r="B50" s="83">
        <v>170070368649.56</v>
      </c>
      <c r="D50" s="83">
        <v>53634391857</v>
      </c>
      <c r="E50" s="83">
        <v>6711559394</v>
      </c>
      <c r="F50" s="83">
        <v>4478539038</v>
      </c>
      <c r="I50" s="83">
        <v>3909428384</v>
      </c>
      <c r="J50" s="83">
        <v>16223981294</v>
      </c>
      <c r="K50" s="83">
        <v>42285544410</v>
      </c>
      <c r="M50" s="83">
        <v>5979595591</v>
      </c>
      <c r="N50" s="83">
        <v>13424912152</v>
      </c>
      <c r="P50" s="83">
        <v>3973753674</v>
      </c>
    </row>
    <row r="51" spans="1:16">
      <c r="A51" s="82">
        <v>38533</v>
      </c>
      <c r="B51" s="81">
        <v>177634467662.20999</v>
      </c>
      <c r="D51" s="81">
        <v>58179255269</v>
      </c>
      <c r="E51" s="81">
        <v>7543237655</v>
      </c>
      <c r="F51" s="81">
        <v>4576334210.6000004</v>
      </c>
      <c r="I51" s="81">
        <v>4397861892</v>
      </c>
      <c r="J51" s="81">
        <v>18430780785</v>
      </c>
      <c r="K51" s="81">
        <v>45044609309</v>
      </c>
      <c r="M51" s="81">
        <v>6487426854</v>
      </c>
      <c r="N51" s="81">
        <v>14816712431</v>
      </c>
      <c r="P51" s="81">
        <v>-935998353.70000005</v>
      </c>
    </row>
    <row r="52" spans="1:16">
      <c r="A52" s="82">
        <v>38625</v>
      </c>
      <c r="B52" s="83">
        <v>186055045019.67999</v>
      </c>
      <c r="D52" s="83">
        <v>60359575097</v>
      </c>
      <c r="E52" s="83">
        <v>8866437416</v>
      </c>
      <c r="F52" s="83">
        <v>4499783432.1000004</v>
      </c>
      <c r="I52" s="83">
        <v>4765465638</v>
      </c>
      <c r="J52" s="83">
        <v>19327811320</v>
      </c>
      <c r="K52" s="83">
        <v>45225450033</v>
      </c>
      <c r="M52" s="83">
        <v>6617340880</v>
      </c>
      <c r="N52" s="83">
        <v>14623293413</v>
      </c>
      <c r="P52" s="83">
        <v>1352217910</v>
      </c>
    </row>
    <row r="53" spans="1:16">
      <c r="A53" s="82">
        <v>38717</v>
      </c>
      <c r="B53" s="81">
        <v>189714172101.51999</v>
      </c>
      <c r="D53" s="81">
        <v>58865145086</v>
      </c>
      <c r="E53" s="81">
        <v>7820246089</v>
      </c>
      <c r="F53" s="81">
        <v>4699671484.5</v>
      </c>
      <c r="I53" s="81">
        <v>4407593136</v>
      </c>
      <c r="J53" s="81">
        <v>20192547184</v>
      </c>
      <c r="K53" s="81">
        <v>50867139939</v>
      </c>
      <c r="M53" s="81">
        <v>7489991881</v>
      </c>
      <c r="N53" s="81">
        <v>15916919363</v>
      </c>
      <c r="P53" s="81">
        <v>705167526.89999998</v>
      </c>
    </row>
    <row r="54" spans="1:16">
      <c r="A54" s="82">
        <v>38807</v>
      </c>
      <c r="B54" s="83">
        <v>195415977885.64999</v>
      </c>
      <c r="D54" s="83">
        <v>60226655114</v>
      </c>
      <c r="E54" s="83">
        <v>8141711265</v>
      </c>
      <c r="F54" s="83">
        <v>4905224887.0699997</v>
      </c>
      <c r="I54" s="83">
        <v>4619971524</v>
      </c>
      <c r="J54" s="83">
        <v>22769526872</v>
      </c>
      <c r="K54" s="83">
        <v>46553510943</v>
      </c>
      <c r="M54" s="83">
        <v>7467127368</v>
      </c>
      <c r="N54" s="83">
        <v>21113394552</v>
      </c>
      <c r="P54" s="83">
        <v>2046362322</v>
      </c>
    </row>
    <row r="55" spans="1:16">
      <c r="A55" s="82">
        <v>38898</v>
      </c>
      <c r="B55" s="81">
        <v>192679760333.29999</v>
      </c>
      <c r="D55" s="81">
        <v>55651187286</v>
      </c>
      <c r="E55" s="81">
        <v>6618156310</v>
      </c>
      <c r="F55" s="81">
        <v>4445362455.04</v>
      </c>
      <c r="I55" s="81">
        <v>4703373592</v>
      </c>
      <c r="J55" s="81">
        <v>21727293698</v>
      </c>
      <c r="K55" s="81">
        <v>46530224927</v>
      </c>
      <c r="M55" s="81">
        <v>7701847379</v>
      </c>
      <c r="N55" s="81">
        <v>21615074841</v>
      </c>
      <c r="P55" s="81">
        <v>6195420287</v>
      </c>
    </row>
    <row r="56" spans="1:16">
      <c r="A56" s="82">
        <v>38990</v>
      </c>
      <c r="B56" s="83">
        <v>200042611656.62</v>
      </c>
      <c r="D56" s="83">
        <v>61146767871</v>
      </c>
      <c r="E56" s="83">
        <v>7433736190</v>
      </c>
      <c r="F56" s="83">
        <v>4818779760.7799997</v>
      </c>
      <c r="I56" s="83">
        <v>5189955397</v>
      </c>
      <c r="J56" s="83">
        <v>23822992652</v>
      </c>
      <c r="K56" s="83">
        <v>48170538149</v>
      </c>
      <c r="M56" s="83">
        <v>7892325508</v>
      </c>
      <c r="N56" s="83">
        <v>22221216991</v>
      </c>
      <c r="P56" s="83">
        <v>2276950822</v>
      </c>
    </row>
    <row r="57" spans="1:16">
      <c r="A57" s="82">
        <v>39082</v>
      </c>
      <c r="B57" s="81">
        <v>208319024969.98999</v>
      </c>
      <c r="D57" s="81">
        <v>61238065038</v>
      </c>
      <c r="E57" s="81">
        <v>9452978327</v>
      </c>
      <c r="F57" s="81">
        <v>4840420289.0200005</v>
      </c>
      <c r="I57" s="81">
        <v>5869294529</v>
      </c>
      <c r="J57" s="81">
        <v>25001627705</v>
      </c>
      <c r="K57" s="81">
        <v>47606782271</v>
      </c>
      <c r="M57" s="81">
        <v>9256177375</v>
      </c>
      <c r="N57" s="81">
        <v>21579143661</v>
      </c>
      <c r="P57" s="81">
        <v>4397667395</v>
      </c>
    </row>
    <row r="58" spans="1:16">
      <c r="A58" s="82">
        <v>39172</v>
      </c>
      <c r="B58" s="83">
        <v>211727937338.09</v>
      </c>
      <c r="D58" s="83">
        <v>63364633920</v>
      </c>
      <c r="E58" s="83">
        <v>8813421295</v>
      </c>
      <c r="F58" s="83">
        <v>4976955309.8500004</v>
      </c>
      <c r="I58" s="83">
        <v>6109270415</v>
      </c>
      <c r="J58" s="83">
        <v>24710743677</v>
      </c>
      <c r="K58" s="83">
        <v>48038425385</v>
      </c>
      <c r="M58" s="83">
        <v>9908536502</v>
      </c>
      <c r="N58" s="83">
        <v>21460206838</v>
      </c>
      <c r="P58" s="83">
        <v>3568788019</v>
      </c>
    </row>
    <row r="59" spans="1:16">
      <c r="A59" s="82">
        <v>39263</v>
      </c>
      <c r="B59" s="81">
        <v>214586250637.22</v>
      </c>
      <c r="D59" s="81">
        <v>66930521210</v>
      </c>
      <c r="E59" s="81">
        <v>10030949377</v>
      </c>
      <c r="F59" s="81">
        <v>5211547682.3100004</v>
      </c>
      <c r="I59" s="81">
        <v>6654801329</v>
      </c>
      <c r="J59" s="81">
        <v>22256290659</v>
      </c>
      <c r="K59" s="81">
        <v>47328105732</v>
      </c>
      <c r="M59" s="81">
        <v>10816866918</v>
      </c>
      <c r="N59" s="81">
        <v>20781989761</v>
      </c>
      <c r="P59" s="81">
        <v>3293327054</v>
      </c>
    </row>
    <row r="60" spans="1:16">
      <c r="A60" s="82">
        <v>39355</v>
      </c>
      <c r="B60" s="83">
        <v>218288874348.92999</v>
      </c>
      <c r="D60" s="83">
        <v>63492500303</v>
      </c>
      <c r="E60" s="83">
        <v>10161753078</v>
      </c>
      <c r="F60" s="83">
        <v>5691008914.9200001</v>
      </c>
      <c r="I60" s="83">
        <v>6764364208</v>
      </c>
      <c r="J60" s="83">
        <v>21796753576</v>
      </c>
      <c r="K60" s="83">
        <v>47731919541</v>
      </c>
      <c r="M60" s="83">
        <v>12173708482</v>
      </c>
      <c r="N60" s="83">
        <v>22163033818</v>
      </c>
      <c r="P60" s="83">
        <v>5879330832</v>
      </c>
    </row>
    <row r="61" spans="1:16">
      <c r="A61" s="82">
        <v>39447</v>
      </c>
      <c r="B61" s="81">
        <v>216058649100.98001</v>
      </c>
      <c r="D61" s="81">
        <v>63196981034</v>
      </c>
      <c r="E61" s="81">
        <v>9938417645</v>
      </c>
      <c r="F61" s="81">
        <v>6429254510.54</v>
      </c>
      <c r="I61" s="81">
        <v>7242802942</v>
      </c>
      <c r="J61" s="81">
        <v>19899623982</v>
      </c>
      <c r="K61" s="81">
        <v>48070621024</v>
      </c>
      <c r="M61" s="81">
        <v>13574824999</v>
      </c>
      <c r="N61" s="81">
        <v>20683080361</v>
      </c>
      <c r="P61" s="81">
        <v>4055464999</v>
      </c>
    </row>
    <row r="62" spans="1:16">
      <c r="A62" s="82">
        <v>39538</v>
      </c>
      <c r="B62" s="83">
        <v>206062316609.70999</v>
      </c>
      <c r="D62" s="83">
        <v>56799353452.580002</v>
      </c>
      <c r="E62" s="83">
        <v>9308665196.6100006</v>
      </c>
      <c r="F62" s="83">
        <v>6207770717.3500004</v>
      </c>
      <c r="I62" s="83">
        <v>7375753362</v>
      </c>
      <c r="J62" s="83">
        <v>19291457016</v>
      </c>
      <c r="K62" s="83">
        <v>46442222205</v>
      </c>
      <c r="M62" s="83">
        <v>14706966138</v>
      </c>
      <c r="N62" s="83">
        <v>20379188650</v>
      </c>
      <c r="P62" s="83">
        <v>3237342089</v>
      </c>
    </row>
    <row r="63" spans="1:16">
      <c r="A63" s="82">
        <v>39629</v>
      </c>
      <c r="B63" s="81">
        <v>204635481931.51001</v>
      </c>
      <c r="D63" s="81">
        <v>59712987256.980003</v>
      </c>
      <c r="E63" s="81">
        <v>9614685201.2099991</v>
      </c>
      <c r="F63" s="81">
        <v>6896872976.2299995</v>
      </c>
      <c r="I63" s="81">
        <v>7915978113</v>
      </c>
      <c r="J63" s="81">
        <v>18007503329</v>
      </c>
      <c r="K63" s="81">
        <v>45162361236</v>
      </c>
      <c r="M63" s="81">
        <v>14729524710</v>
      </c>
      <c r="N63" s="81">
        <v>18633405807</v>
      </c>
      <c r="P63" s="81">
        <v>-761631641.10000002</v>
      </c>
    </row>
    <row r="64" spans="1:16">
      <c r="A64" s="82">
        <v>39721</v>
      </c>
      <c r="B64" s="83">
        <v>194787633441.04001</v>
      </c>
      <c r="D64" s="83">
        <v>53471080637.82</v>
      </c>
      <c r="E64" s="83">
        <v>7919174085.4700003</v>
      </c>
      <c r="F64" s="83">
        <v>7817926304.7200003</v>
      </c>
      <c r="I64" s="83">
        <v>8807051751</v>
      </c>
      <c r="J64" s="83">
        <v>18893701094</v>
      </c>
      <c r="K64" s="83">
        <v>46881243108</v>
      </c>
      <c r="M64" s="83">
        <v>14750425922</v>
      </c>
      <c r="N64" s="83">
        <v>18972973201</v>
      </c>
      <c r="P64" s="83">
        <v>-6381459765</v>
      </c>
    </row>
    <row r="65" spans="1:16">
      <c r="A65" s="82">
        <v>39813</v>
      </c>
      <c r="B65" s="81">
        <v>172065252518.12</v>
      </c>
      <c r="D65" s="81">
        <v>40967008807.160004</v>
      </c>
      <c r="E65" s="81">
        <v>5280984147.0200005</v>
      </c>
      <c r="F65" s="81">
        <v>7381480306</v>
      </c>
      <c r="I65" s="81">
        <v>6955609399</v>
      </c>
      <c r="J65" s="81">
        <v>14672105936</v>
      </c>
      <c r="K65" s="81">
        <v>43284641462</v>
      </c>
      <c r="M65" s="81">
        <v>14341495607</v>
      </c>
      <c r="N65" s="81">
        <v>18089131943</v>
      </c>
      <c r="P65" s="81">
        <v>-1746628947</v>
      </c>
    </row>
    <row r="66" spans="1:16">
      <c r="A66" s="82">
        <v>39903</v>
      </c>
      <c r="B66" s="83">
        <v>164773727670.89999</v>
      </c>
      <c r="D66" s="83">
        <v>39181299659</v>
      </c>
      <c r="E66" s="83">
        <v>6128423324</v>
      </c>
      <c r="F66" s="83">
        <v>7994608073.1499996</v>
      </c>
      <c r="I66" s="83">
        <v>7611482290</v>
      </c>
      <c r="J66" s="83">
        <v>11368559289</v>
      </c>
      <c r="K66" s="83">
        <v>46554667966</v>
      </c>
      <c r="M66" s="83">
        <v>15421523450</v>
      </c>
      <c r="N66" s="83">
        <v>17762475552</v>
      </c>
      <c r="P66" s="83">
        <v>-4703378594</v>
      </c>
    </row>
    <row r="67" spans="1:16">
      <c r="A67" s="82">
        <v>39994</v>
      </c>
      <c r="B67" s="81">
        <v>179766470856.51999</v>
      </c>
      <c r="D67" s="81">
        <v>44968338199</v>
      </c>
      <c r="E67" s="81">
        <v>8378780618</v>
      </c>
      <c r="F67" s="81">
        <v>7791713716.0600004</v>
      </c>
      <c r="I67" s="81">
        <v>7552456654</v>
      </c>
      <c r="J67" s="81">
        <v>12422600642</v>
      </c>
      <c r="K67" s="81">
        <v>46792737072</v>
      </c>
      <c r="M67" s="81">
        <v>16493575929</v>
      </c>
      <c r="N67" s="81">
        <v>17345086159</v>
      </c>
      <c r="P67" s="81">
        <v>-449281156.19999999</v>
      </c>
    </row>
    <row r="68" spans="1:16">
      <c r="A68" s="82">
        <v>40086</v>
      </c>
      <c r="B68" s="83">
        <v>198986783970.79001</v>
      </c>
      <c r="D68" s="83">
        <v>51555179461</v>
      </c>
      <c r="E68" s="83">
        <v>9818544184</v>
      </c>
      <c r="F68" s="83">
        <v>7351294937.1000004</v>
      </c>
      <c r="I68" s="83">
        <v>8246491686</v>
      </c>
      <c r="J68" s="83">
        <v>14203666711</v>
      </c>
      <c r="K68" s="83">
        <v>48179890031</v>
      </c>
      <c r="M68" s="83">
        <v>17299403708</v>
      </c>
      <c r="N68" s="83">
        <v>17076586311.09</v>
      </c>
      <c r="P68" s="83">
        <v>6238539815</v>
      </c>
    </row>
    <row r="69" spans="1:16">
      <c r="A69" s="82">
        <v>40178</v>
      </c>
      <c r="B69" s="81">
        <v>206839123929.57001</v>
      </c>
      <c r="C69" s="4"/>
      <c r="D69" s="81">
        <v>56532905495.760002</v>
      </c>
      <c r="E69" s="81">
        <v>11553265368.110001</v>
      </c>
      <c r="F69" s="81">
        <v>7972189861</v>
      </c>
      <c r="G69" s="4"/>
      <c r="H69" s="4"/>
      <c r="I69" s="81">
        <v>9096179307</v>
      </c>
      <c r="J69" s="81">
        <v>15444026623</v>
      </c>
      <c r="K69" s="81">
        <v>47248573839.129997</v>
      </c>
      <c r="M69" s="81">
        <v>18025163310.630001</v>
      </c>
      <c r="N69" s="81">
        <v>17880818111.09</v>
      </c>
      <c r="P69" s="81">
        <v>2802020386.9899998</v>
      </c>
    </row>
    <row r="70" spans="1:16">
      <c r="A70" s="82">
        <v>40268</v>
      </c>
      <c r="B70" s="83">
        <v>217251841226.38</v>
      </c>
      <c r="C70" s="83">
        <v>736190688</v>
      </c>
      <c r="D70" s="83">
        <v>60916376356.910004</v>
      </c>
      <c r="E70" s="83">
        <v>12797720476.700001</v>
      </c>
      <c r="F70" s="83">
        <v>8852118736.1200008</v>
      </c>
      <c r="G70" s="83">
        <v>538992359.69000006</v>
      </c>
      <c r="H70" s="83">
        <v>6736976738.9799995</v>
      </c>
      <c r="I70" s="83">
        <v>9910319357</v>
      </c>
      <c r="J70" s="83">
        <v>16774829482.370001</v>
      </c>
      <c r="K70" s="83">
        <v>50374466158.910004</v>
      </c>
      <c r="M70" s="83">
        <v>18341577875.830002</v>
      </c>
      <c r="N70" s="83">
        <v>19049962977.82</v>
      </c>
      <c r="P70" s="83">
        <v>-2399004785.77</v>
      </c>
    </row>
    <row r="71" spans="1:16">
      <c r="A71" s="82">
        <v>40359</v>
      </c>
      <c r="B71" s="81">
        <v>216326066787.57999</v>
      </c>
      <c r="C71" s="81">
        <v>892122239.10000002</v>
      </c>
      <c r="D71" s="81">
        <v>52651336470.360001</v>
      </c>
      <c r="E71" s="81">
        <v>12954866517.99</v>
      </c>
      <c r="F71" s="81">
        <v>9432689670.8999996</v>
      </c>
      <c r="G71" s="81">
        <v>607121094.73000002</v>
      </c>
      <c r="H71" s="81">
        <v>7062400849.7399998</v>
      </c>
      <c r="I71" s="81">
        <v>11670004888</v>
      </c>
      <c r="J71" s="81">
        <v>17082363176.34</v>
      </c>
      <c r="K71" s="81">
        <v>51475147588.800003</v>
      </c>
      <c r="M71" s="81">
        <v>17941964863.040001</v>
      </c>
      <c r="N71" s="81">
        <v>20430111728.060001</v>
      </c>
      <c r="P71" s="81">
        <v>-772536872.61000001</v>
      </c>
    </row>
    <row r="72" spans="1:16">
      <c r="A72" s="82">
        <v>40451</v>
      </c>
      <c r="B72" s="83">
        <v>229085382021.78</v>
      </c>
      <c r="C72" s="83">
        <v>786573539.29999995</v>
      </c>
      <c r="D72" s="83">
        <v>54353067356.169998</v>
      </c>
      <c r="E72" s="83">
        <v>13693703081.629999</v>
      </c>
      <c r="F72" s="83">
        <v>8615424928.4400005</v>
      </c>
      <c r="G72" s="83">
        <v>566862960.14999998</v>
      </c>
      <c r="H72" s="83">
        <v>6900893151.54</v>
      </c>
      <c r="I72" s="83">
        <v>11407443529</v>
      </c>
      <c r="J72" s="83">
        <v>18309187435.450001</v>
      </c>
      <c r="K72" s="83">
        <v>48946451694.900002</v>
      </c>
      <c r="M72" s="83">
        <v>18434146628.23</v>
      </c>
      <c r="N72" s="83">
        <v>20852995446.439999</v>
      </c>
      <c r="P72" s="83">
        <v>10663369530.450001</v>
      </c>
    </row>
    <row r="73" spans="1:16">
      <c r="A73" s="82">
        <v>40543</v>
      </c>
      <c r="B73" s="81">
        <v>235768192104.16</v>
      </c>
      <c r="C73" s="81">
        <v>851911264.5</v>
      </c>
      <c r="D73" s="81">
        <v>59921695134.18</v>
      </c>
      <c r="E73" s="81">
        <v>15027286025.639999</v>
      </c>
      <c r="F73" s="81">
        <v>9123117015.5400009</v>
      </c>
      <c r="G73" s="81">
        <v>638135889.16999996</v>
      </c>
      <c r="H73" s="81">
        <v>6614807323.4899998</v>
      </c>
      <c r="I73" s="81">
        <v>12950359970</v>
      </c>
      <c r="J73" s="81">
        <v>19582458027.02</v>
      </c>
      <c r="K73" s="81">
        <v>46732134568.900002</v>
      </c>
      <c r="M73" s="81">
        <v>17983770791.189999</v>
      </c>
      <c r="N73" s="81">
        <v>22895855728.5</v>
      </c>
      <c r="P73" s="81">
        <v>6140028865.7200003</v>
      </c>
    </row>
    <row r="74" spans="1:16">
      <c r="A74" s="82">
        <v>40633</v>
      </c>
      <c r="B74" s="83">
        <v>237855185147.79001</v>
      </c>
      <c r="C74" s="83">
        <v>8560588575.25</v>
      </c>
      <c r="D74" s="83">
        <v>59068361406.349998</v>
      </c>
      <c r="E74" s="83">
        <v>15986386840.07</v>
      </c>
      <c r="F74" s="83">
        <v>9048221112.3700008</v>
      </c>
      <c r="G74" s="83">
        <v>4051724248.3000002</v>
      </c>
      <c r="H74" s="83">
        <v>5135358323.04</v>
      </c>
      <c r="I74" s="83">
        <v>12649133058.75</v>
      </c>
      <c r="J74" s="83">
        <v>22100534441.279999</v>
      </c>
      <c r="K74" s="83">
        <v>45499261373.099998</v>
      </c>
      <c r="M74" s="83">
        <v>17941169485.349998</v>
      </c>
      <c r="N74" s="83">
        <v>25339843123.889999</v>
      </c>
      <c r="P74" s="83">
        <v>6518586685.1199999</v>
      </c>
    </row>
    <row r="75" spans="1:16">
      <c r="A75" s="82">
        <v>40724</v>
      </c>
      <c r="B75" s="81">
        <v>240028211309.92001</v>
      </c>
      <c r="C75" s="81">
        <v>8044423982.4399996</v>
      </c>
      <c r="D75" s="81">
        <v>59323672557.400002</v>
      </c>
      <c r="E75" s="81">
        <v>15895389226.65</v>
      </c>
      <c r="F75" s="81">
        <v>9439636532.5599995</v>
      </c>
      <c r="G75" s="81">
        <v>4041755251.5</v>
      </c>
      <c r="H75" s="81">
        <v>3472723175.6599998</v>
      </c>
      <c r="I75" s="81">
        <v>12704960158.92</v>
      </c>
      <c r="J75" s="81">
        <v>22489114045.139999</v>
      </c>
      <c r="K75" s="81">
        <v>45015938794.699997</v>
      </c>
      <c r="M75" s="81">
        <v>16883020486.83</v>
      </c>
      <c r="N75" s="81">
        <v>29726090489.029999</v>
      </c>
      <c r="P75" s="81">
        <v>5490719821.54</v>
      </c>
    </row>
    <row r="76" spans="1:16">
      <c r="A76" s="82">
        <v>40816</v>
      </c>
      <c r="B76" s="83">
        <v>233436142640.01999</v>
      </c>
      <c r="C76" s="83">
        <v>8393210175.3400002</v>
      </c>
      <c r="D76" s="83">
        <v>56168273944.360001</v>
      </c>
      <c r="E76" s="83">
        <v>14435782922.15</v>
      </c>
      <c r="F76" s="83">
        <v>10352602987.1</v>
      </c>
      <c r="G76" s="83">
        <v>4346956340.4799995</v>
      </c>
      <c r="H76" s="83">
        <v>1622037315.5999999</v>
      </c>
      <c r="I76" s="83">
        <v>13650909574.32</v>
      </c>
      <c r="J76" s="83">
        <v>21407233903.18</v>
      </c>
      <c r="K76" s="83">
        <v>47814700127.099998</v>
      </c>
      <c r="M76" s="83">
        <v>16862198925.67</v>
      </c>
      <c r="N76" s="83">
        <v>28221124096.060001</v>
      </c>
      <c r="P76" s="83">
        <v>2548565749.6999998</v>
      </c>
    </row>
    <row r="77" spans="1:16">
      <c r="A77" s="82">
        <v>40908</v>
      </c>
      <c r="B77" s="81">
        <v>244491474814.31</v>
      </c>
      <c r="C77" s="81">
        <v>9413520203.2000008</v>
      </c>
      <c r="D77" s="81">
        <v>62214702193.510002</v>
      </c>
      <c r="E77" s="81">
        <v>15560800948.66</v>
      </c>
      <c r="F77" s="81">
        <v>10871761370.9</v>
      </c>
      <c r="G77" s="81">
        <v>4753277865.9200001</v>
      </c>
      <c r="H77" s="81">
        <v>1431447965.25</v>
      </c>
      <c r="I77" s="81">
        <v>13952031607.450001</v>
      </c>
      <c r="J77" s="81">
        <v>23396056672.169998</v>
      </c>
      <c r="K77" s="81">
        <v>49285952010.800003</v>
      </c>
      <c r="M77" s="81">
        <v>16514325751.17</v>
      </c>
      <c r="N77" s="81">
        <v>28234023092.759998</v>
      </c>
      <c r="P77" s="81">
        <v>2741359813.8800001</v>
      </c>
    </row>
    <row r="78" spans="1:16">
      <c r="A78" s="82">
        <v>40999</v>
      </c>
      <c r="B78" s="83">
        <v>258951074920.42999</v>
      </c>
      <c r="C78" s="83">
        <v>10192245551.700001</v>
      </c>
      <c r="D78" s="83">
        <v>67833366752.260002</v>
      </c>
      <c r="E78" s="83">
        <v>17412952105.599998</v>
      </c>
      <c r="F78" s="83">
        <v>10947569091.17</v>
      </c>
      <c r="G78" s="83">
        <v>4894723832.5699997</v>
      </c>
      <c r="H78" s="83">
        <v>1444914098.3</v>
      </c>
      <c r="I78" s="83">
        <v>14369318912.629999</v>
      </c>
      <c r="J78" s="83">
        <v>25293832478.400002</v>
      </c>
      <c r="K78" s="83">
        <v>48410346173.800003</v>
      </c>
      <c r="M78" s="83">
        <v>17417578393.93</v>
      </c>
      <c r="N78" s="83">
        <v>32504924685.650002</v>
      </c>
      <c r="P78" s="83">
        <v>2478151707.6799998</v>
      </c>
    </row>
    <row r="79" spans="1:16">
      <c r="A79" s="82">
        <v>41090</v>
      </c>
      <c r="B79" s="81">
        <v>259465727318.38</v>
      </c>
      <c r="C79" s="81">
        <v>9580958166.7999992</v>
      </c>
      <c r="D79" s="81">
        <v>67027751893.839996</v>
      </c>
      <c r="E79" s="81">
        <v>16614385840</v>
      </c>
      <c r="F79" s="81">
        <v>12151813089.09</v>
      </c>
      <c r="G79" s="81">
        <v>4955077696.5900002</v>
      </c>
      <c r="H79" s="81">
        <v>1514795700.0899999</v>
      </c>
      <c r="I79" s="81">
        <v>14729778830.219999</v>
      </c>
      <c r="J79" s="81">
        <v>26634030178.599998</v>
      </c>
      <c r="K79" s="81">
        <v>48181919240.599998</v>
      </c>
      <c r="M79" s="81">
        <v>17285004906.73</v>
      </c>
      <c r="N79" s="81">
        <v>34353958334.259998</v>
      </c>
      <c r="P79" s="81">
        <v>450435436.10000002</v>
      </c>
    </row>
    <row r="80" spans="1:16">
      <c r="A80" s="82">
        <v>41182</v>
      </c>
      <c r="B80" s="83">
        <v>272270505160.48999</v>
      </c>
      <c r="C80" s="83">
        <v>10576280312.6</v>
      </c>
      <c r="D80" s="83">
        <v>71165003710.559998</v>
      </c>
      <c r="E80" s="83">
        <v>18068601368</v>
      </c>
      <c r="F80" s="83">
        <v>12361528471.57</v>
      </c>
      <c r="G80" s="83">
        <v>5332988483.4700003</v>
      </c>
      <c r="H80" s="83">
        <v>1954717941.71</v>
      </c>
      <c r="I80" s="83">
        <v>14452225716.040001</v>
      </c>
      <c r="J80" s="83">
        <v>27294114941.200001</v>
      </c>
      <c r="K80" s="83">
        <v>47541216043</v>
      </c>
      <c r="M80" s="83">
        <v>18612309885.459999</v>
      </c>
      <c r="N80" s="83">
        <v>37472282421.849998</v>
      </c>
      <c r="P80" s="83">
        <v>1232842526.6099999</v>
      </c>
    </row>
    <row r="81" spans="1:16">
      <c r="A81" s="82">
        <v>41274</v>
      </c>
      <c r="B81" s="81">
        <v>279271038083.56</v>
      </c>
      <c r="C81" s="81">
        <v>10162748286.5</v>
      </c>
      <c r="D81" s="81">
        <v>72253719104.440002</v>
      </c>
      <c r="E81" s="81">
        <v>18792603362</v>
      </c>
      <c r="F81" s="81">
        <v>12492947469.200001</v>
      </c>
      <c r="G81" s="81">
        <v>5238456381.1499996</v>
      </c>
      <c r="H81" s="81">
        <v>1983493859.29</v>
      </c>
      <c r="I81" s="81">
        <v>14468567243.23</v>
      </c>
      <c r="J81" s="81">
        <v>28106581505.700001</v>
      </c>
      <c r="K81" s="81">
        <v>46348585531.199997</v>
      </c>
      <c r="M81" s="81">
        <v>18934771669.009998</v>
      </c>
      <c r="N81" s="81">
        <v>42131441818.690002</v>
      </c>
      <c r="P81" s="81">
        <v>2081761434.96</v>
      </c>
    </row>
    <row r="82" spans="1:16">
      <c r="A82" s="82">
        <v>41364</v>
      </c>
      <c r="B82" s="83">
        <v>289552863697.16803</v>
      </c>
      <c r="C82" s="83">
        <v>10573989248.200001</v>
      </c>
      <c r="D82" s="83">
        <v>79289187099.990005</v>
      </c>
      <c r="E82" s="83">
        <v>21065289211</v>
      </c>
      <c r="F82" s="83">
        <v>13440716975.379999</v>
      </c>
      <c r="G82" s="83">
        <v>5337864914.0726995</v>
      </c>
      <c r="H82" s="83">
        <v>2220158532.0100002</v>
      </c>
      <c r="I82" s="83">
        <v>15226349782.860001</v>
      </c>
      <c r="J82" s="83">
        <v>29077942270</v>
      </c>
      <c r="K82" s="83">
        <v>46306688357</v>
      </c>
      <c r="M82" s="83">
        <v>19663385451</v>
      </c>
      <c r="N82" s="83">
        <v>42885572426.410004</v>
      </c>
      <c r="P82" s="83">
        <v>1382457505.24599</v>
      </c>
    </row>
    <row r="83" spans="1:16">
      <c r="A83" s="82">
        <v>41455</v>
      </c>
      <c r="B83" s="81">
        <v>284539939088.91998</v>
      </c>
      <c r="C83" s="81">
        <v>10647636970.700001</v>
      </c>
      <c r="D83" s="81">
        <v>76264891510.100006</v>
      </c>
      <c r="E83" s="81">
        <v>20205309190</v>
      </c>
      <c r="F83" s="81">
        <v>13627218353.26</v>
      </c>
      <c r="G83" s="81">
        <v>5239353087.9527998</v>
      </c>
      <c r="H83" s="81">
        <v>2223909102.5500002</v>
      </c>
      <c r="I83" s="81">
        <v>15080580298.058599</v>
      </c>
      <c r="J83" s="81">
        <v>27637840983.400002</v>
      </c>
      <c r="K83" s="81">
        <v>45219028527.25</v>
      </c>
      <c r="M83" s="81">
        <v>19923098290</v>
      </c>
      <c r="N83" s="81">
        <v>43779020490.080002</v>
      </c>
      <c r="P83" s="81">
        <v>1665901787.1689999</v>
      </c>
    </row>
    <row r="84" spans="1:16">
      <c r="A84" s="82">
        <v>41547</v>
      </c>
      <c r="B84" s="83">
        <v>291229765023.74597</v>
      </c>
      <c r="C84" s="83">
        <v>11124380221.1</v>
      </c>
      <c r="D84" s="83">
        <v>78936184911.289993</v>
      </c>
      <c r="E84" s="83">
        <v>22513541543</v>
      </c>
      <c r="F84" s="83">
        <v>13208099406.639999</v>
      </c>
      <c r="G84" s="83">
        <v>5125347773.2458</v>
      </c>
      <c r="H84" s="83">
        <v>2379004397.96</v>
      </c>
      <c r="I84" s="83">
        <v>14791393703.455999</v>
      </c>
      <c r="J84" s="83">
        <v>26970083217.509998</v>
      </c>
      <c r="K84" s="83">
        <v>44658568473.830002</v>
      </c>
      <c r="M84" s="83">
        <v>20662119882</v>
      </c>
      <c r="N84" s="83">
        <v>44033657790.660004</v>
      </c>
      <c r="P84" s="83">
        <v>3828964512.9549999</v>
      </c>
    </row>
    <row r="85" spans="1:16">
      <c r="A85" s="82">
        <v>41639</v>
      </c>
      <c r="B85" s="81">
        <v>298562039266.98999</v>
      </c>
      <c r="C85" s="81">
        <v>11869967258.9</v>
      </c>
      <c r="D85" s="81">
        <v>80718331861.979996</v>
      </c>
      <c r="E85" s="81">
        <v>22988266770</v>
      </c>
      <c r="F85" s="81">
        <v>13237954849.52</v>
      </c>
      <c r="G85" s="81">
        <v>4879830520.0728998</v>
      </c>
      <c r="H85" s="81">
        <v>2566314118.6700001</v>
      </c>
      <c r="I85" s="81">
        <v>15318604442.621</v>
      </c>
      <c r="J85" s="81">
        <v>26649791307.630001</v>
      </c>
      <c r="K85" s="81">
        <v>45964661554.75</v>
      </c>
      <c r="L85" s="4"/>
      <c r="M85" s="81">
        <v>21916604701</v>
      </c>
      <c r="N85" s="81">
        <v>45968243095.459999</v>
      </c>
      <c r="P85" s="81">
        <v>3509001811.7862501</v>
      </c>
    </row>
    <row r="86" spans="1:16">
      <c r="A86" s="82">
        <v>41729</v>
      </c>
      <c r="B86" s="83">
        <v>308022494104.35699</v>
      </c>
      <c r="C86" s="83">
        <v>10447543523.9</v>
      </c>
      <c r="D86" s="83">
        <v>84608210324.830002</v>
      </c>
      <c r="E86" s="83">
        <v>24357847983</v>
      </c>
      <c r="F86" s="83">
        <v>13434711865.450001</v>
      </c>
      <c r="G86" s="83">
        <v>5048656603.2486897</v>
      </c>
      <c r="H86" s="83">
        <v>2548462582.27</v>
      </c>
      <c r="I86" s="83">
        <v>15102299524.1287</v>
      </c>
      <c r="J86" s="83">
        <v>28094537158.07</v>
      </c>
      <c r="K86" s="83">
        <v>43683515095.519997</v>
      </c>
      <c r="L86" s="83">
        <v>4032714342.0999999</v>
      </c>
      <c r="M86" s="83">
        <v>25864767420.299999</v>
      </c>
      <c r="N86" s="83">
        <v>46520204642.010002</v>
      </c>
      <c r="P86" s="83">
        <v>4279023039.5299902</v>
      </c>
    </row>
    <row r="87" spans="1:16">
      <c r="A87" s="82">
        <v>41820</v>
      </c>
      <c r="B87" s="81">
        <v>323674541034.44</v>
      </c>
      <c r="C87" s="81">
        <v>10967340520.6999</v>
      </c>
      <c r="D87" s="81">
        <v>90584412225.190002</v>
      </c>
      <c r="E87" s="81">
        <v>27630091181</v>
      </c>
      <c r="F87" s="81">
        <v>13670543967.309999</v>
      </c>
      <c r="G87" s="81">
        <v>5237995443.8765001</v>
      </c>
      <c r="H87" s="81">
        <v>2742939353.6900001</v>
      </c>
      <c r="I87" s="81">
        <v>15361922785.774</v>
      </c>
      <c r="J87" s="81">
        <v>29962001590.189999</v>
      </c>
      <c r="K87" s="81">
        <v>45285890706.169998</v>
      </c>
      <c r="L87" s="81">
        <v>4357915409</v>
      </c>
      <c r="M87" s="81">
        <v>27088732119</v>
      </c>
      <c r="N87" s="81">
        <v>46394074981.860001</v>
      </c>
      <c r="P87" s="81">
        <v>4390680750.6800003</v>
      </c>
    </row>
    <row r="88" spans="1:16">
      <c r="A88" s="82">
        <v>41912</v>
      </c>
      <c r="B88" s="83">
        <v>333046372326.07898</v>
      </c>
      <c r="C88" s="83">
        <v>11218069801.6999</v>
      </c>
      <c r="D88" s="83">
        <v>93872023063.089996</v>
      </c>
      <c r="E88" s="83">
        <v>28368294425</v>
      </c>
      <c r="F88" s="83">
        <v>14991307997.120001</v>
      </c>
      <c r="G88" s="83">
        <v>5771962571.1999998</v>
      </c>
      <c r="H88" s="83">
        <v>3070162859.9499998</v>
      </c>
      <c r="I88" s="83">
        <v>16433802885.569</v>
      </c>
      <c r="J88" s="83">
        <v>31016659643.240002</v>
      </c>
      <c r="K88" s="83">
        <v>48268897849.830002</v>
      </c>
      <c r="L88" s="83">
        <v>4652983910.8000002</v>
      </c>
      <c r="M88" s="83">
        <v>28280340929.400002</v>
      </c>
      <c r="N88" s="83">
        <v>48354492363.620003</v>
      </c>
      <c r="P88" s="83">
        <v>-1252625974.4400001</v>
      </c>
    </row>
    <row r="89" spans="1:16">
      <c r="A89" s="82">
        <v>42004</v>
      </c>
      <c r="B89" s="81">
        <v>342939290030.55402</v>
      </c>
      <c r="C89" s="81">
        <v>9549927613.8999996</v>
      </c>
      <c r="D89" s="81">
        <v>93969342738.190002</v>
      </c>
      <c r="E89" s="81">
        <v>27825070897</v>
      </c>
      <c r="F89" s="81">
        <v>15721845656.530001</v>
      </c>
      <c r="G89" s="81">
        <v>6106365488.7343197</v>
      </c>
      <c r="H89" s="81">
        <v>3079016079.1199999</v>
      </c>
      <c r="I89" s="81">
        <v>16877561718.879999</v>
      </c>
      <c r="J89" s="81">
        <v>33149192676</v>
      </c>
      <c r="K89" s="81">
        <v>48570717332.080002</v>
      </c>
      <c r="L89" s="81">
        <v>5468260155.8999996</v>
      </c>
      <c r="M89" s="81">
        <v>28689937274.799999</v>
      </c>
      <c r="N89" s="81">
        <v>50508334521.089996</v>
      </c>
      <c r="O89" s="4"/>
      <c r="P89" s="81">
        <v>3423717878.3299999</v>
      </c>
    </row>
    <row r="90" spans="1:16">
      <c r="A90" s="82">
        <v>42094</v>
      </c>
      <c r="B90" s="83">
        <v>372776296754.68903</v>
      </c>
      <c r="C90" s="83">
        <v>11953488791</v>
      </c>
      <c r="D90" s="83">
        <v>100973284772.69</v>
      </c>
      <c r="E90" s="83">
        <v>31995383760</v>
      </c>
      <c r="F90" s="83">
        <v>21296759664.990002</v>
      </c>
      <c r="G90" s="83">
        <v>6739434891.7393999</v>
      </c>
      <c r="H90" s="83">
        <v>2894853264.8899999</v>
      </c>
      <c r="I90" s="83">
        <v>18581775085.279999</v>
      </c>
      <c r="J90" s="83">
        <v>37908074110.510002</v>
      </c>
      <c r="K90" s="83">
        <v>51016829844.409897</v>
      </c>
      <c r="L90" s="83">
        <v>6528405678.1000004</v>
      </c>
      <c r="M90" s="83">
        <v>30965712428.099998</v>
      </c>
      <c r="N90" s="83">
        <v>52396629941.010002</v>
      </c>
      <c r="O90" s="83">
        <v>3367372153.4000001</v>
      </c>
      <c r="P90" s="83">
        <v>-3841707631.4299998</v>
      </c>
    </row>
    <row r="91" spans="1:16">
      <c r="A91" s="82">
        <v>42185</v>
      </c>
      <c r="B91" s="81">
        <v>356177627278.32001</v>
      </c>
      <c r="C91" s="81">
        <v>14333571628.1</v>
      </c>
      <c r="D91" s="81">
        <v>91388791698.850006</v>
      </c>
      <c r="E91" s="81">
        <v>30050719923</v>
      </c>
      <c r="F91" s="81">
        <v>20415007587.380001</v>
      </c>
      <c r="G91" s="81">
        <v>7307723225.0600004</v>
      </c>
      <c r="H91" s="81">
        <v>2964153246.8299999</v>
      </c>
      <c r="I91" s="81">
        <v>18113911344.93</v>
      </c>
      <c r="J91" s="81">
        <v>35696929673.18</v>
      </c>
      <c r="K91" s="81">
        <v>50040461291.809998</v>
      </c>
      <c r="L91" s="81">
        <v>6672094499.5</v>
      </c>
      <c r="M91" s="81">
        <v>31063916693.299999</v>
      </c>
      <c r="N91" s="81">
        <v>48031016713.57</v>
      </c>
      <c r="O91" s="81">
        <v>5378830298.5</v>
      </c>
      <c r="P91" s="81">
        <v>-5279500545.6899996</v>
      </c>
    </row>
    <row r="92" spans="1:16">
      <c r="A92" s="82">
        <v>42277</v>
      </c>
      <c r="B92" s="83">
        <v>344659493978.96997</v>
      </c>
      <c r="C92" s="83">
        <v>12967727761.9</v>
      </c>
      <c r="D92" s="83">
        <v>80959776259.089996</v>
      </c>
      <c r="E92" s="83">
        <v>25829108802</v>
      </c>
      <c r="F92" s="83">
        <v>20181582643.150002</v>
      </c>
      <c r="G92" s="83">
        <v>7295060206.1599998</v>
      </c>
      <c r="H92" s="83">
        <v>2942597374.7999902</v>
      </c>
      <c r="I92" s="83">
        <v>18034812879.52</v>
      </c>
      <c r="J92" s="83">
        <v>35363511709.760002</v>
      </c>
      <c r="K92" s="83">
        <v>49780440130.709999</v>
      </c>
      <c r="L92" s="83">
        <v>6243188959.8999996</v>
      </c>
      <c r="M92" s="83">
        <v>30686938288.700001</v>
      </c>
      <c r="N92" s="83">
        <v>46942495111.220001</v>
      </c>
      <c r="O92" s="83">
        <v>7612830111.8000002</v>
      </c>
      <c r="P92" s="83">
        <v>-180576259.74000001</v>
      </c>
    </row>
    <row r="93" spans="1:16">
      <c r="A93" s="82">
        <v>42369</v>
      </c>
      <c r="B93" s="81">
        <v>350565902173.72998</v>
      </c>
      <c r="C93" s="81">
        <v>11755107735.6999</v>
      </c>
      <c r="D93" s="81">
        <v>83547796092.429993</v>
      </c>
      <c r="E93" s="81">
        <v>26960832104</v>
      </c>
      <c r="F93" s="81">
        <v>20590756459.16</v>
      </c>
      <c r="G93" s="81">
        <v>7351605756.3900003</v>
      </c>
      <c r="H93" s="81">
        <v>2833650056.0500002</v>
      </c>
      <c r="I93" s="81">
        <v>17894072324.150002</v>
      </c>
      <c r="J93" s="81">
        <v>37455953518.209999</v>
      </c>
      <c r="K93" s="81">
        <v>49274496590.010002</v>
      </c>
      <c r="L93" s="81">
        <v>7078650338.8999996</v>
      </c>
      <c r="M93" s="81">
        <v>31644830454.299999</v>
      </c>
      <c r="N93" s="81">
        <v>46130244592.629997</v>
      </c>
      <c r="O93" s="81">
        <v>9487018820.2999992</v>
      </c>
      <c r="P93" s="81">
        <v>-1439112668.5</v>
      </c>
    </row>
    <row r="94" spans="1:16">
      <c r="A94" s="82">
        <v>42460</v>
      </c>
      <c r="B94" s="83">
        <v>357631580066.25299</v>
      </c>
      <c r="C94" s="83">
        <v>12654197565.9</v>
      </c>
      <c r="D94" s="83">
        <v>80137058377.380005</v>
      </c>
      <c r="E94" s="83">
        <v>28234630773</v>
      </c>
      <c r="F94" s="83">
        <v>19130786086.080002</v>
      </c>
      <c r="G94" s="83">
        <v>7987430720.1400003</v>
      </c>
      <c r="H94" s="83">
        <v>2361137815.1199999</v>
      </c>
      <c r="I94" s="83">
        <v>17811773723.953899</v>
      </c>
      <c r="J94" s="83">
        <v>36999455055.720001</v>
      </c>
      <c r="K94" s="83">
        <v>49146446687.699997</v>
      </c>
      <c r="L94" s="83">
        <v>8276097632.6000004</v>
      </c>
      <c r="M94" s="83">
        <v>32833045342.900002</v>
      </c>
      <c r="N94" s="83">
        <v>45471317393.940002</v>
      </c>
      <c r="O94" s="83">
        <v>12532166773</v>
      </c>
      <c r="P94" s="83">
        <v>4056036118.8200002</v>
      </c>
    </row>
    <row r="95" spans="1:16">
      <c r="A95" s="82">
        <v>42551</v>
      </c>
      <c r="B95" s="81">
        <v>370897652739.341</v>
      </c>
      <c r="C95" s="81">
        <v>15676058815.200001</v>
      </c>
      <c r="D95" s="81">
        <v>83539392169.630005</v>
      </c>
      <c r="E95" s="81">
        <v>30442997663</v>
      </c>
      <c r="F95" s="81">
        <v>18976036798.209999</v>
      </c>
      <c r="G95" s="81">
        <v>8353561797.8000002</v>
      </c>
      <c r="H95" s="81">
        <v>2346239946.1999998</v>
      </c>
      <c r="I95" s="81">
        <v>17954327446.620998</v>
      </c>
      <c r="J95" s="81">
        <v>38268942569.339996</v>
      </c>
      <c r="K95" s="81">
        <v>51059428003.5</v>
      </c>
      <c r="L95" s="81">
        <v>9907260906.2999992</v>
      </c>
      <c r="M95" s="81">
        <v>33765112782.299999</v>
      </c>
      <c r="N95" s="81">
        <v>42827771343.489998</v>
      </c>
      <c r="O95" s="81">
        <v>16576814994</v>
      </c>
      <c r="P95" s="81">
        <v>1203707503.75</v>
      </c>
    </row>
    <row r="96" spans="1:16">
      <c r="A96" s="82">
        <v>42643</v>
      </c>
      <c r="B96" s="83">
        <v>380155014596.10999</v>
      </c>
      <c r="C96" s="83">
        <v>15006305085.700001</v>
      </c>
      <c r="D96" s="83">
        <v>90404404801.770004</v>
      </c>
      <c r="E96" s="83">
        <v>33248762766</v>
      </c>
      <c r="F96" s="83">
        <v>17588801748.439999</v>
      </c>
      <c r="G96" s="83">
        <v>8604487717.3299999</v>
      </c>
      <c r="H96" s="83">
        <v>2336165071.8099999</v>
      </c>
      <c r="I96" s="83">
        <v>17879937583.380001</v>
      </c>
      <c r="J96" s="83">
        <v>38381787242.239998</v>
      </c>
      <c r="K96" s="83">
        <v>50682543946.900002</v>
      </c>
      <c r="L96" s="83">
        <v>10978398215</v>
      </c>
      <c r="M96" s="83">
        <v>34210979545</v>
      </c>
      <c r="N96" s="83">
        <v>39575364440.879997</v>
      </c>
      <c r="O96" s="83">
        <v>19114979641</v>
      </c>
      <c r="P96" s="83">
        <v>2142096790.6599901</v>
      </c>
    </row>
    <row r="97" spans="1:16">
      <c r="A97" s="82">
        <v>42735</v>
      </c>
      <c r="B97" s="81">
        <v>380976414880.76202</v>
      </c>
      <c r="C97" s="81">
        <v>15800448196.799999</v>
      </c>
      <c r="D97" s="81">
        <v>97288987362.610001</v>
      </c>
      <c r="E97" s="81">
        <v>32324011506</v>
      </c>
      <c r="F97" s="81">
        <v>19153689927.560001</v>
      </c>
      <c r="G97" s="81">
        <v>8821763101.2728996</v>
      </c>
      <c r="H97" s="81">
        <v>2426462837.2399998</v>
      </c>
      <c r="I97" s="81">
        <v>19367664020.709999</v>
      </c>
      <c r="J97" s="81">
        <v>39252392762.139999</v>
      </c>
      <c r="K97" s="81">
        <v>50679995621.599998</v>
      </c>
      <c r="L97" s="81">
        <v>11293419443</v>
      </c>
      <c r="M97" s="81">
        <v>33560587685.599998</v>
      </c>
      <c r="N97" s="81">
        <v>35370185107.129997</v>
      </c>
      <c r="O97" s="81">
        <v>19243078326</v>
      </c>
      <c r="P97" s="81">
        <v>-3606271016.9000001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97"/>
  <sheetViews>
    <sheetView workbookViewId="0">
      <selection activeCell="B1" sqref="B1:B1048576"/>
    </sheetView>
  </sheetViews>
  <sheetFormatPr defaultColWidth="8.85546875" defaultRowHeight="15"/>
  <cols>
    <col min="1" max="1" width="10.7109375" bestFit="1" customWidth="1"/>
    <col min="2" max="16" width="12.7109375" customWidth="1"/>
  </cols>
  <sheetData>
    <row r="1" spans="1:16">
      <c r="A1" t="s">
        <v>226</v>
      </c>
      <c r="B1" t="s">
        <v>254</v>
      </c>
      <c r="C1" t="s">
        <v>253</v>
      </c>
      <c r="D1" t="s">
        <v>252</v>
      </c>
      <c r="E1" t="s">
        <v>251</v>
      </c>
      <c r="F1" t="s">
        <v>250</v>
      </c>
      <c r="G1" t="s">
        <v>249</v>
      </c>
      <c r="H1" t="s">
        <v>248</v>
      </c>
      <c r="I1" t="s">
        <v>247</v>
      </c>
      <c r="J1" t="s">
        <v>246</v>
      </c>
      <c r="K1" t="s">
        <v>245</v>
      </c>
      <c r="L1" t="s">
        <v>244</v>
      </c>
      <c r="M1" t="s">
        <v>243</v>
      </c>
      <c r="N1" t="s">
        <v>242</v>
      </c>
      <c r="O1" t="s">
        <v>241</v>
      </c>
      <c r="P1" t="s">
        <v>240</v>
      </c>
    </row>
    <row r="2" spans="1:16">
      <c r="A2" s="82">
        <v>34059</v>
      </c>
      <c r="B2" s="85">
        <v>3.89185124078495E-2</v>
      </c>
    </row>
    <row r="3" spans="1:16">
      <c r="A3" s="82">
        <v>34150</v>
      </c>
      <c r="B3" s="84">
        <v>3.8918512639254797E-2</v>
      </c>
    </row>
    <row r="4" spans="1:16">
      <c r="A4" s="82">
        <v>34242</v>
      </c>
      <c r="B4" s="85">
        <v>3.8918512639254797E-2</v>
      </c>
    </row>
    <row r="5" spans="1:16">
      <c r="A5" s="82">
        <v>34334</v>
      </c>
      <c r="B5" s="84">
        <v>3.8918512639254797E-2</v>
      </c>
    </row>
    <row r="6" spans="1:16">
      <c r="A6" s="82">
        <v>34424</v>
      </c>
      <c r="B6" s="85">
        <v>-2.5094379756974402E-3</v>
      </c>
    </row>
    <row r="7" spans="1:16">
      <c r="A7" s="82">
        <v>34515</v>
      </c>
      <c r="B7" s="84">
        <v>-2.5094379756974402E-3</v>
      </c>
    </row>
    <row r="8" spans="1:16">
      <c r="A8" s="82">
        <v>34607</v>
      </c>
      <c r="B8" s="85">
        <v>-2.5094379756974402E-3</v>
      </c>
    </row>
    <row r="9" spans="1:16">
      <c r="A9" s="82">
        <v>34699</v>
      </c>
      <c r="B9" s="84">
        <v>-2.5094379756974402E-3</v>
      </c>
    </row>
    <row r="10" spans="1:16">
      <c r="A10" s="82">
        <v>34789</v>
      </c>
      <c r="B10" s="85">
        <v>3.86954829481857E-2</v>
      </c>
    </row>
    <row r="11" spans="1:16">
      <c r="A11" s="82">
        <v>34880</v>
      </c>
      <c r="B11" s="84">
        <v>3.86954829481857E-2</v>
      </c>
    </row>
    <row r="12" spans="1:16">
      <c r="A12" s="82">
        <v>34972</v>
      </c>
      <c r="B12" s="85">
        <v>3.86954829481857E-2</v>
      </c>
    </row>
    <row r="13" spans="1:16">
      <c r="A13" s="82">
        <v>35064</v>
      </c>
      <c r="B13" s="84">
        <v>3.86954829481857E-2</v>
      </c>
    </row>
    <row r="14" spans="1:16">
      <c r="A14" s="82">
        <v>35155</v>
      </c>
      <c r="B14" s="85">
        <v>2.8277784320133201E-2</v>
      </c>
    </row>
    <row r="15" spans="1:16">
      <c r="A15" s="82">
        <v>35246</v>
      </c>
      <c r="B15" s="84">
        <v>2.8277784320133201E-2</v>
      </c>
    </row>
    <row r="16" spans="1:16">
      <c r="A16" s="82">
        <v>35338</v>
      </c>
      <c r="B16" s="85">
        <v>2.8277784320133201E-2</v>
      </c>
    </row>
    <row r="17" spans="1:9">
      <c r="A17" s="82">
        <v>35430</v>
      </c>
      <c r="B17" s="84">
        <v>2.8277784320133201E-2</v>
      </c>
    </row>
    <row r="18" spans="1:9">
      <c r="A18" s="82">
        <v>35520</v>
      </c>
      <c r="B18" s="85">
        <v>2.8507634626566299E-2</v>
      </c>
    </row>
    <row r="19" spans="1:9">
      <c r="A19" s="82">
        <v>35611</v>
      </c>
      <c r="B19" s="84">
        <v>2.8507634626566299E-2</v>
      </c>
    </row>
    <row r="20" spans="1:9">
      <c r="A20" s="82">
        <v>35703</v>
      </c>
      <c r="B20" s="85">
        <v>2.8507634626566299E-2</v>
      </c>
    </row>
    <row r="21" spans="1:9">
      <c r="A21" s="82">
        <v>35795</v>
      </c>
      <c r="B21" s="84">
        <v>2.8507634626566299E-2</v>
      </c>
    </row>
    <row r="22" spans="1:9">
      <c r="A22" s="82">
        <v>35885</v>
      </c>
      <c r="B22" s="85">
        <v>3.0797797121220299E-2</v>
      </c>
    </row>
    <row r="23" spans="1:9">
      <c r="A23" s="82">
        <v>35976</v>
      </c>
      <c r="B23" s="84">
        <v>3.0797797121220299E-2</v>
      </c>
    </row>
    <row r="24" spans="1:9">
      <c r="A24" s="82">
        <v>36068</v>
      </c>
      <c r="B24" s="85">
        <v>3.0797797121220299E-2</v>
      </c>
    </row>
    <row r="25" spans="1:9">
      <c r="A25" s="82">
        <v>36160</v>
      </c>
      <c r="B25" s="84">
        <v>3.0797797121220299E-2</v>
      </c>
    </row>
    <row r="26" spans="1:9">
      <c r="A26" s="82">
        <v>36250</v>
      </c>
      <c r="B26" s="85">
        <v>2.4113687777131201E-2</v>
      </c>
    </row>
    <row r="27" spans="1:9">
      <c r="A27" s="82">
        <v>36341</v>
      </c>
      <c r="B27" s="84">
        <v>2.4113687777131201E-2</v>
      </c>
    </row>
    <row r="28" spans="1:9">
      <c r="A28" s="82">
        <v>36433</v>
      </c>
      <c r="B28" s="85">
        <v>2.4113687777131201E-2</v>
      </c>
    </row>
    <row r="29" spans="1:9">
      <c r="A29" s="82">
        <v>36525</v>
      </c>
      <c r="B29" s="84">
        <v>2.4113687777131201E-2</v>
      </c>
    </row>
    <row r="30" spans="1:9">
      <c r="A30" s="82">
        <v>36616</v>
      </c>
      <c r="B30" s="85">
        <v>7.8485240453337705E-3</v>
      </c>
      <c r="I30" s="85">
        <v>4.7239442210414699E-2</v>
      </c>
    </row>
    <row r="31" spans="1:9">
      <c r="A31" s="82">
        <v>36707</v>
      </c>
      <c r="B31" s="84">
        <v>7.8485240453337705E-3</v>
      </c>
      <c r="I31" s="84">
        <v>4.5384533691913302E-2</v>
      </c>
    </row>
    <row r="32" spans="1:9">
      <c r="A32" s="82">
        <v>36799</v>
      </c>
      <c r="B32" s="85">
        <v>7.8485240453337705E-3</v>
      </c>
      <c r="I32" s="85">
        <v>0.11473486484331499</v>
      </c>
    </row>
    <row r="33" spans="1:16">
      <c r="A33" s="82">
        <v>36891</v>
      </c>
      <c r="B33" s="84">
        <v>7.8485240453337705E-3</v>
      </c>
      <c r="I33" s="84">
        <v>4.7180500257814097E-2</v>
      </c>
      <c r="P33" s="4"/>
    </row>
    <row r="34" spans="1:16">
      <c r="A34" s="82">
        <v>36981</v>
      </c>
      <c r="B34" s="85">
        <v>-1.5053294593090299E-2</v>
      </c>
      <c r="D34" s="85">
        <v>-8.2649383079886299E-2</v>
      </c>
      <c r="E34" s="85">
        <v>-2.3138019732842002E-2</v>
      </c>
      <c r="I34" s="85">
        <v>5.1048327366525403E-3</v>
      </c>
      <c r="J34" s="85">
        <v>3.5153089471214101E-2</v>
      </c>
      <c r="K34" s="85">
        <v>6.6446554281071796E-2</v>
      </c>
      <c r="N34" s="85">
        <v>2.1597611642608001E-2</v>
      </c>
      <c r="P34" s="85">
        <v>-7.1715180363707198E-3</v>
      </c>
    </row>
    <row r="35" spans="1:16">
      <c r="A35" s="82">
        <v>37072</v>
      </c>
      <c r="B35" s="84">
        <v>2.4728834678657701E-2</v>
      </c>
      <c r="D35" s="84">
        <v>6.1143840488989097E-2</v>
      </c>
      <c r="E35" s="84">
        <v>9.9731546042116398E-2</v>
      </c>
      <c r="I35" s="84">
        <v>-3.0496948021786499E-2</v>
      </c>
      <c r="J35" s="84">
        <v>6.9473107478802906E-2</v>
      </c>
      <c r="K35" s="84">
        <v>3.3716693337369298E-2</v>
      </c>
      <c r="N35" s="84">
        <v>-3.0995863757170899E-3</v>
      </c>
      <c r="P35" s="84">
        <v>-8.4447311142374897E-3</v>
      </c>
    </row>
    <row r="36" spans="1:16">
      <c r="A36" s="82">
        <v>37164</v>
      </c>
      <c r="B36" s="85">
        <v>-6.3306387857984994E-2</v>
      </c>
      <c r="D36" s="85">
        <v>-0.19917390943795801</v>
      </c>
      <c r="E36" s="85">
        <v>-0.25721592286977801</v>
      </c>
      <c r="I36" s="85">
        <v>-8.6763028725639998E-2</v>
      </c>
      <c r="J36" s="85">
        <v>-4.3282385397903002E-2</v>
      </c>
      <c r="K36" s="85">
        <v>-9.5567642923525004E-3</v>
      </c>
      <c r="N36" s="85">
        <v>3.3073405802520703E-2</v>
      </c>
      <c r="P36" s="85">
        <v>1.08373167001127E-2</v>
      </c>
    </row>
    <row r="37" spans="1:16">
      <c r="A37" s="82">
        <v>37256</v>
      </c>
      <c r="B37" s="84">
        <v>5.04770839232093E-2</v>
      </c>
      <c r="D37" s="84">
        <v>0.12524266922195301</v>
      </c>
      <c r="E37" s="84">
        <v>0.27227317917413202</v>
      </c>
      <c r="I37" s="84">
        <v>-7.6264987912263493E-2</v>
      </c>
      <c r="J37" s="84">
        <v>4.1178904908825302E-2</v>
      </c>
      <c r="K37" s="84">
        <v>1.9236203508793698E-2</v>
      </c>
      <c r="N37" s="84">
        <v>9.3473160745420995E-3</v>
      </c>
      <c r="P37" s="84">
        <v>-2.2340433517692398E-3</v>
      </c>
    </row>
    <row r="38" spans="1:16">
      <c r="A38" s="82">
        <v>37346</v>
      </c>
      <c r="B38" s="85">
        <v>1.6693118652624302E-2</v>
      </c>
      <c r="D38" s="85">
        <v>2.1124546571261501E-2</v>
      </c>
      <c r="E38" s="85">
        <v>0.114863509627511</v>
      </c>
      <c r="I38" s="85">
        <v>9.0909333398476099E-4</v>
      </c>
      <c r="J38" s="85">
        <v>5.7949025060611198E-2</v>
      </c>
      <c r="K38" s="85">
        <v>1.5975343471842599E-2</v>
      </c>
      <c r="N38" s="85">
        <v>-4.35708661080857E-3</v>
      </c>
      <c r="P38" s="85">
        <v>-2.68937342430846E-3</v>
      </c>
    </row>
    <row r="39" spans="1:16">
      <c r="A39" s="82">
        <v>37437</v>
      </c>
      <c r="B39" s="84">
        <v>-5.8467129632802102E-2</v>
      </c>
      <c r="D39" s="84">
        <v>-0.18198006341878301</v>
      </c>
      <c r="E39" s="84">
        <v>-0.16615641039743301</v>
      </c>
      <c r="F39" s="84">
        <v>-0.103609634422028</v>
      </c>
      <c r="I39" s="84">
        <v>-0.11409906763985</v>
      </c>
      <c r="J39" s="84">
        <v>-2.6646619258301599E-2</v>
      </c>
      <c r="K39" s="84">
        <v>-3.2584870131349898E-2</v>
      </c>
      <c r="M39" s="84">
        <v>3.5699029791518601E-2</v>
      </c>
      <c r="N39" s="84">
        <v>2.8911796557142301E-2</v>
      </c>
      <c r="P39" s="84">
        <v>1.90064747148605E-2</v>
      </c>
    </row>
    <row r="40" spans="1:16">
      <c r="A40" s="82">
        <v>37529</v>
      </c>
      <c r="B40" s="85">
        <v>-5.1537168802297903E-2</v>
      </c>
      <c r="D40" s="85">
        <v>-0.19826741252318</v>
      </c>
      <c r="E40" s="85">
        <v>-0.149033442268831</v>
      </c>
      <c r="F40" s="85">
        <v>7.2748617024336899E-3</v>
      </c>
      <c r="I40" s="85">
        <v>-0.102631042058155</v>
      </c>
      <c r="J40" s="85">
        <v>-5.8616450095974701E-2</v>
      </c>
      <c r="K40" s="85">
        <v>4.0464124562947797E-2</v>
      </c>
      <c r="M40" s="85">
        <v>5.3845657190733497E-2</v>
      </c>
      <c r="N40" s="85">
        <v>4.9324902793816301E-2</v>
      </c>
      <c r="P40" s="85">
        <v>-7.0089635547482395E-4</v>
      </c>
    </row>
    <row r="41" spans="1:16">
      <c r="A41" s="82">
        <v>37621</v>
      </c>
      <c r="B41" s="84">
        <v>2.2519919541788801E-2</v>
      </c>
      <c r="D41" s="84">
        <v>2.4954340876664701E-2</v>
      </c>
      <c r="E41" s="84">
        <v>1.17174530646585E-2</v>
      </c>
      <c r="F41" s="84">
        <v>-4.2446678706421201E-2</v>
      </c>
      <c r="I41" s="84">
        <v>-2.68620696649037E-2</v>
      </c>
      <c r="J41" s="84">
        <v>2.7034712273273E-3</v>
      </c>
      <c r="K41" s="84">
        <v>-5.8864174449076599E-3</v>
      </c>
      <c r="M41" s="84">
        <v>2.2768329136000302E-2</v>
      </c>
      <c r="N41" s="84">
        <v>2.0866996592742899E-2</v>
      </c>
      <c r="P41" s="84">
        <v>1.3239044688747001E-2</v>
      </c>
    </row>
    <row r="42" spans="1:16">
      <c r="A42" s="82">
        <v>37711</v>
      </c>
      <c r="B42" s="85">
        <v>-1.9097453219927899E-2</v>
      </c>
      <c r="D42" s="85">
        <v>-9.7323865948621399E-2</v>
      </c>
      <c r="E42" s="85">
        <v>-0.102357042849306</v>
      </c>
      <c r="F42" s="85">
        <v>-1.8602370734651999E-2</v>
      </c>
      <c r="I42" s="85">
        <v>-2.2843846541455701E-2</v>
      </c>
      <c r="J42" s="85">
        <v>-2.38473741512032E-2</v>
      </c>
      <c r="K42" s="85">
        <v>1.3751760599611999E-3</v>
      </c>
      <c r="M42" s="85">
        <v>1.7161519273882601E-2</v>
      </c>
      <c r="N42" s="85">
        <v>1.83830464912971E-2</v>
      </c>
      <c r="P42" s="85">
        <v>8.7977160928700299E-3</v>
      </c>
    </row>
    <row r="43" spans="1:16">
      <c r="A43" s="82">
        <v>37802</v>
      </c>
      <c r="B43" s="84">
        <v>6.6316525676841195E-2</v>
      </c>
      <c r="D43" s="84">
        <v>0.12597596940884201</v>
      </c>
      <c r="E43" s="84">
        <v>0.16731287123108801</v>
      </c>
      <c r="F43" s="84">
        <v>-2.5601483892739099E-2</v>
      </c>
      <c r="I43" s="84">
        <v>-3.34511266011474E-2</v>
      </c>
      <c r="J43" s="84">
        <v>6.89501790195097E-2</v>
      </c>
      <c r="K43" s="84">
        <v>8.2807469072531305E-3</v>
      </c>
      <c r="M43" s="84">
        <v>1.90153422558982E-2</v>
      </c>
      <c r="N43" s="84">
        <v>2.2534771955395098E-2</v>
      </c>
      <c r="P43" s="84">
        <v>1.4032655341115601E-2</v>
      </c>
    </row>
    <row r="44" spans="1:16">
      <c r="A44" s="82">
        <v>37894</v>
      </c>
      <c r="B44" s="85">
        <v>1.8350570878345001E-2</v>
      </c>
      <c r="D44" s="85">
        <v>2.56618856019988E-2</v>
      </c>
      <c r="E44" s="85">
        <v>0.13078003141300501</v>
      </c>
      <c r="F44" s="85">
        <v>-7.9845101011307394E-3</v>
      </c>
      <c r="I44" s="85">
        <v>2.5632961465469901E-2</v>
      </c>
      <c r="J44" s="85">
        <v>5.2979368185730701E-2</v>
      </c>
      <c r="K44" s="85">
        <v>-2.7519970122877701E-3</v>
      </c>
      <c r="M44" s="85">
        <v>1.7410146231970999E-2</v>
      </c>
      <c r="N44" s="85">
        <v>1.8940995342706401E-3</v>
      </c>
      <c r="P44" s="85">
        <v>3.4776279218406798E-3</v>
      </c>
    </row>
    <row r="45" spans="1:16">
      <c r="A45" s="82">
        <v>37986</v>
      </c>
      <c r="B45" s="84">
        <v>4.25109846642742E-2</v>
      </c>
      <c r="D45" s="84">
        <v>7.1940342492198994E-2</v>
      </c>
      <c r="E45" s="84">
        <v>7.88334993984173E-2</v>
      </c>
      <c r="F45" s="84">
        <v>-5.3874955203618499E-2</v>
      </c>
      <c r="I45" s="84">
        <v>1.7116009335266202E-2</v>
      </c>
      <c r="J45" s="84">
        <v>3.91747751867422E-2</v>
      </c>
      <c r="K45" s="84">
        <v>-2.9624744590748899E-2</v>
      </c>
      <c r="M45" s="84">
        <v>6.8260026595773002E-3</v>
      </c>
      <c r="N45" s="84">
        <v>-4.3091916793741502E-3</v>
      </c>
      <c r="P45" s="84">
        <v>2.2955102254258699E-2</v>
      </c>
    </row>
    <row r="46" spans="1:16">
      <c r="A46" s="82">
        <v>38077</v>
      </c>
      <c r="B46" s="85">
        <v>4.2523243235378497E-2</v>
      </c>
      <c r="D46" s="85">
        <v>5.1783712070888499E-2</v>
      </c>
      <c r="E46" s="85">
        <v>0.121657848062422</v>
      </c>
      <c r="F46" s="85">
        <v>5.4330973133156497E-2</v>
      </c>
      <c r="I46" s="85">
        <v>4.28083640101143E-2</v>
      </c>
      <c r="J46" s="85">
        <v>0.11050904014221501</v>
      </c>
      <c r="K46" s="85">
        <v>4.01677396838475E-2</v>
      </c>
      <c r="M46" s="85">
        <v>3.7522290140486199E-2</v>
      </c>
      <c r="N46" s="85">
        <v>3.0117118859891299E-2</v>
      </c>
      <c r="P46" s="85">
        <v>-8.5867709019310408E-3</v>
      </c>
    </row>
    <row r="47" spans="1:16">
      <c r="A47" s="82">
        <v>38168</v>
      </c>
      <c r="B47" s="84">
        <v>-2.9652538386926801E-3</v>
      </c>
      <c r="D47" s="84">
        <v>2.3576261900139801E-2</v>
      </c>
      <c r="E47" s="84">
        <v>-7.9483609074446002E-2</v>
      </c>
      <c r="F47" s="84">
        <v>3.7314511742450002E-3</v>
      </c>
      <c r="I47" s="84">
        <v>6.5236904361268402E-2</v>
      </c>
      <c r="J47" s="84">
        <v>-1.49829576143469E-3</v>
      </c>
      <c r="K47" s="84">
        <v>-1.07302703146366E-2</v>
      </c>
      <c r="M47" s="84">
        <v>-2.0245962122451E-3</v>
      </c>
      <c r="N47" s="84">
        <v>-1.14249406258721E-2</v>
      </c>
      <c r="P47" s="84">
        <v>-5.3298804310121604E-3</v>
      </c>
    </row>
    <row r="48" spans="1:16">
      <c r="A48" s="82">
        <v>38260</v>
      </c>
      <c r="B48" s="85">
        <v>2.1071140395562699E-2</v>
      </c>
      <c r="D48" s="85">
        <v>-2.60764648597753E-2</v>
      </c>
      <c r="E48" s="85">
        <v>6.3584992025945905E-2</v>
      </c>
      <c r="F48" s="85">
        <v>-1.24298552836602E-2</v>
      </c>
      <c r="I48" s="85">
        <v>-7.7578667593081897E-3</v>
      </c>
      <c r="J48" s="85">
        <v>5.8380720973815199E-2</v>
      </c>
      <c r="K48" s="85">
        <v>2.0586370612355E-2</v>
      </c>
      <c r="M48" s="85">
        <v>3.0335662103327901E-2</v>
      </c>
      <c r="N48" s="85">
        <v>2.9836374038339698E-2</v>
      </c>
      <c r="P48" s="85">
        <v>8.8922342698554702E-3</v>
      </c>
    </row>
    <row r="49" spans="1:16">
      <c r="A49" s="82">
        <v>38352</v>
      </c>
      <c r="B49" s="84">
        <v>4.8021952792462901E-2</v>
      </c>
      <c r="D49" s="84">
        <v>2.3091923284343101E-2</v>
      </c>
      <c r="E49" s="84">
        <v>7.6839450076062396E-2</v>
      </c>
      <c r="F49" s="84">
        <v>-5.9893877754930998E-2</v>
      </c>
      <c r="I49" s="84">
        <v>2.0839078585682399E-2</v>
      </c>
      <c r="J49" s="84">
        <v>7.5461203300236798E-2</v>
      </c>
      <c r="K49" s="84">
        <v>-2.4618618079824899E-2</v>
      </c>
      <c r="M49" s="84">
        <v>4.25457784857965E-2</v>
      </c>
      <c r="N49" s="84">
        <v>3.0072931263161001E-2</v>
      </c>
      <c r="P49" s="84">
        <v>3.8536138117750397E-2</v>
      </c>
    </row>
    <row r="50" spans="1:16">
      <c r="A50" s="82">
        <v>38442</v>
      </c>
      <c r="B50" s="85">
        <v>1.55183882471747E-2</v>
      </c>
      <c r="D50" s="85">
        <v>4.20137275284213E-2</v>
      </c>
      <c r="E50" s="85">
        <v>6.6089180744501402E-2</v>
      </c>
      <c r="F50" s="85">
        <v>6.3736863940420593E-2</v>
      </c>
      <c r="I50" s="85">
        <v>5.9144716623892597E-2</v>
      </c>
      <c r="J50" s="85">
        <v>1.4052052386875199E-3</v>
      </c>
      <c r="K50" s="85">
        <v>2.6939261785384E-2</v>
      </c>
      <c r="M50" s="85">
        <v>5.6576136906638097E-3</v>
      </c>
      <c r="N50" s="85">
        <v>1.52708311350097E-2</v>
      </c>
      <c r="P50" s="85">
        <v>-1.9106077621986101E-2</v>
      </c>
    </row>
    <row r="51" spans="1:16">
      <c r="A51" s="82">
        <v>38533</v>
      </c>
      <c r="B51" s="84">
        <v>4.2966616164086202E-2</v>
      </c>
      <c r="D51" s="84">
        <v>8.0076234097594706E-2</v>
      </c>
      <c r="E51" s="84">
        <v>0.12320797131771399</v>
      </c>
      <c r="F51" s="84">
        <v>7.6216982036457798E-2</v>
      </c>
      <c r="I51" s="84">
        <v>0.12493731728888099</v>
      </c>
      <c r="J51" s="84">
        <v>0.14563494346248701</v>
      </c>
      <c r="K51" s="84">
        <v>6.9675300244242802E-2</v>
      </c>
      <c r="M51" s="84">
        <v>4.1388127252568199E-2</v>
      </c>
      <c r="N51" s="84">
        <v>3.83325566501172E-2</v>
      </c>
      <c r="P51" s="84">
        <v>-3.1491248883505803E-2</v>
      </c>
    </row>
    <row r="52" spans="1:16">
      <c r="A52" s="82">
        <v>38625</v>
      </c>
      <c r="B52" s="85">
        <v>4.5746250579257401E-2</v>
      </c>
      <c r="D52" s="85">
        <v>7.1704711315831698E-2</v>
      </c>
      <c r="E52" s="85">
        <v>0.193368885061206</v>
      </c>
      <c r="F52" s="85">
        <v>2.0095712536978401E-2</v>
      </c>
      <c r="I52" s="85">
        <v>8.3586911201155398E-2</v>
      </c>
      <c r="J52" s="85">
        <v>4.7559977881274598E-2</v>
      </c>
      <c r="K52" s="85">
        <v>4.2550031635500496E-3</v>
      </c>
      <c r="M52" s="85">
        <v>2.0025519069603499E-2</v>
      </c>
      <c r="N52" s="85">
        <v>6.0019757338957104E-3</v>
      </c>
      <c r="P52" s="85">
        <v>-3.1904038427501302E-3</v>
      </c>
    </row>
    <row r="53" spans="1:16">
      <c r="A53" s="82">
        <v>38717</v>
      </c>
      <c r="B53" s="84">
        <v>1.8352620746716598E-2</v>
      </c>
      <c r="D53" s="84">
        <v>5.45807043257227E-2</v>
      </c>
      <c r="E53" s="84">
        <v>9.2281038043180399E-2</v>
      </c>
      <c r="F53" s="84">
        <v>4.4421719610167401E-2</v>
      </c>
      <c r="I53" s="84">
        <v>9.3960317562884199E-2</v>
      </c>
      <c r="J53" s="84">
        <v>4.9070761671068601E-2</v>
      </c>
      <c r="K53" s="84">
        <v>1.25087912587697E-2</v>
      </c>
      <c r="M53" s="84">
        <v>-5.9447594571464396E-3</v>
      </c>
      <c r="N53" s="84">
        <v>-1.34804867970417E-3</v>
      </c>
      <c r="P53" s="84">
        <v>-1.14882980622503E-2</v>
      </c>
    </row>
    <row r="54" spans="1:16">
      <c r="A54" s="82">
        <v>38807</v>
      </c>
      <c r="B54" s="85">
        <v>2.9559101110307101E-2</v>
      </c>
      <c r="D54" s="85">
        <v>4.3114275991184302E-2</v>
      </c>
      <c r="E54" s="85">
        <v>0.102740238999474</v>
      </c>
      <c r="F54" s="85">
        <v>7.7957225310879103E-3</v>
      </c>
      <c r="I54" s="85">
        <v>2.6918162250965001E-2</v>
      </c>
      <c r="J54" s="85">
        <v>0.11242290313855</v>
      </c>
      <c r="K54" s="85">
        <v>-2.0018324931248301E-2</v>
      </c>
      <c r="M54" s="85">
        <v>-3.0814692723036798E-2</v>
      </c>
      <c r="N54" s="85">
        <v>-1.7354623862910801E-2</v>
      </c>
      <c r="P54" s="85">
        <v>8.3338042503021403E-3</v>
      </c>
    </row>
    <row r="55" spans="1:16">
      <c r="A55" s="82">
        <v>38898</v>
      </c>
      <c r="B55" s="84">
        <v>-1.46879215364841E-2</v>
      </c>
      <c r="D55" s="84">
        <v>-5.7343582487677403E-2</v>
      </c>
      <c r="E55" s="84">
        <v>-0.101622416078019</v>
      </c>
      <c r="F55" s="84">
        <v>-4.4957878379656299E-2</v>
      </c>
      <c r="I55" s="84">
        <v>3.2879187428670999E-2</v>
      </c>
      <c r="J55" s="84">
        <v>-2.8327055137141299E-2</v>
      </c>
      <c r="K55" s="84">
        <v>-3.1331339527291703E-2</v>
      </c>
      <c r="M55" s="84">
        <v>-1.4624379216339599E-3</v>
      </c>
      <c r="N55" s="84">
        <v>-7.65832483371706E-3</v>
      </c>
      <c r="P55" s="84">
        <v>1.9759539719699799E-2</v>
      </c>
    </row>
    <row r="56" spans="1:16">
      <c r="A56" s="82">
        <v>38990</v>
      </c>
      <c r="B56" s="85">
        <v>3.7191941295608301E-2</v>
      </c>
      <c r="D56" s="85">
        <v>5.21830302095279E-2</v>
      </c>
      <c r="E56" s="85">
        <v>6.9045968620127005E-2</v>
      </c>
      <c r="F56" s="85">
        <v>2.8783396837015099E-2</v>
      </c>
      <c r="I56" s="85">
        <v>9.3082274506888704E-2</v>
      </c>
      <c r="J56" s="85">
        <v>0.10407065926706</v>
      </c>
      <c r="K56" s="85">
        <v>3.5252636574327798E-2</v>
      </c>
      <c r="M56" s="85">
        <v>2.4731483259065701E-2</v>
      </c>
      <c r="N56" s="85">
        <v>2.8042564390129799E-2</v>
      </c>
      <c r="P56" s="85">
        <v>-5.9352331589435396E-3</v>
      </c>
    </row>
    <row r="57" spans="1:16">
      <c r="A57" s="82">
        <v>39082</v>
      </c>
      <c r="B57" s="84">
        <v>4.11372360298429E-2</v>
      </c>
      <c r="D57" s="84">
        <v>4.3083997776764499E-2</v>
      </c>
      <c r="E57" s="84">
        <v>0.12647827921162599</v>
      </c>
      <c r="F57" s="84">
        <v>4.4908754760058798E-3</v>
      </c>
      <c r="I57" s="84">
        <v>6.9552584366477099E-2</v>
      </c>
      <c r="J57" s="84">
        <v>9.5574185123810496E-2</v>
      </c>
      <c r="K57" s="84">
        <v>-1.17033361436661E-2</v>
      </c>
      <c r="M57" s="84">
        <v>-8.8802534000104096E-3</v>
      </c>
      <c r="N57" s="84">
        <v>-3.35503293940328E-3</v>
      </c>
      <c r="P57" s="84">
        <v>1.4401144217415099E-2</v>
      </c>
    </row>
    <row r="58" spans="1:16">
      <c r="A58" s="82">
        <v>39172</v>
      </c>
      <c r="B58" s="85">
        <v>1.7276799782970899E-2</v>
      </c>
      <c r="D58" s="85">
        <v>2.0620793414025999E-2</v>
      </c>
      <c r="E58" s="85">
        <v>2.3910501898968501E-2</v>
      </c>
      <c r="F58" s="85">
        <v>2.8207265722959798E-2</v>
      </c>
      <c r="I58" s="85">
        <v>6.1731835346921497E-2</v>
      </c>
      <c r="J58" s="85">
        <v>3.70969181904717E-2</v>
      </c>
      <c r="K58" s="85">
        <v>6.5150908186856699E-3</v>
      </c>
      <c r="M58" s="85">
        <v>-7.0051643603982802E-3</v>
      </c>
      <c r="N58" s="85">
        <v>1.14223604915614E-4</v>
      </c>
      <c r="P58" s="85">
        <v>-2.2178064110814499E-4</v>
      </c>
    </row>
    <row r="59" spans="1:16">
      <c r="A59" s="82">
        <v>39263</v>
      </c>
      <c r="B59" s="84">
        <v>1.3587908499660401E-2</v>
      </c>
      <c r="D59" s="84">
        <v>5.6187209577088899E-2</v>
      </c>
      <c r="E59" s="84">
        <v>0.12853858360020601</v>
      </c>
      <c r="F59" s="84">
        <v>3.1562218456566801E-2</v>
      </c>
      <c r="I59" s="84">
        <v>0.102658267640798</v>
      </c>
      <c r="J59" s="84">
        <v>-6.3127339177430006E-2</v>
      </c>
      <c r="K59" s="84">
        <v>-1.4786484176107799E-2</v>
      </c>
      <c r="M59" s="84">
        <v>-1.5889051456121999E-2</v>
      </c>
      <c r="N59" s="84">
        <v>-1.5081227070865099E-2</v>
      </c>
      <c r="P59" s="84">
        <v>-1.20475929515464E-3</v>
      </c>
    </row>
    <row r="60" spans="1:16">
      <c r="A60" s="82">
        <v>39355</v>
      </c>
      <c r="B60" s="85">
        <v>1.7014308856727198E-2</v>
      </c>
      <c r="D60" s="85">
        <v>-2.8683603712199902E-2</v>
      </c>
      <c r="E60" s="85">
        <v>5.2917668080330299E-2</v>
      </c>
      <c r="F60" s="85">
        <v>-2.8559853313920601E-2</v>
      </c>
      <c r="I60" s="85">
        <v>6.2429388544418499E-2</v>
      </c>
      <c r="J60" s="85">
        <v>-1.17521319917233E-2</v>
      </c>
      <c r="K60" s="85">
        <v>-1.0708515795098499E-2</v>
      </c>
      <c r="M60" s="85">
        <v>2.4494315875912501E-2</v>
      </c>
      <c r="N60" s="85">
        <v>2.34089705152941E-2</v>
      </c>
      <c r="P60" s="85">
        <v>1.9531243620935002E-2</v>
      </c>
    </row>
    <row r="61" spans="1:16">
      <c r="A61" s="82">
        <v>39447</v>
      </c>
      <c r="B61" s="84">
        <v>-1.0386437945226101E-2</v>
      </c>
      <c r="D61" s="84">
        <v>-5.2306729720322E-2</v>
      </c>
      <c r="E61" s="84">
        <v>1.5118243048342601E-2</v>
      </c>
      <c r="F61" s="84">
        <v>-1.21524246699219E-3</v>
      </c>
      <c r="I61" s="84">
        <v>-1.3467056659401601E-2</v>
      </c>
      <c r="J61" s="84">
        <v>-8.57947107657408E-2</v>
      </c>
      <c r="K61" s="84">
        <v>-3.1789087884911298E-3</v>
      </c>
      <c r="M61" s="84">
        <v>1.6074611752549098E-2</v>
      </c>
      <c r="N61" s="84">
        <v>9.9155678135932502E-3</v>
      </c>
      <c r="P61" s="84">
        <v>9.7610587131735493E-3</v>
      </c>
    </row>
    <row r="62" spans="1:16">
      <c r="A62" s="82">
        <v>39538</v>
      </c>
      <c r="B62" s="85">
        <v>-4.5103711398185503E-2</v>
      </c>
      <c r="D62" s="85">
        <v>-0.156941675661498</v>
      </c>
      <c r="E62" s="85">
        <v>-0.18866273788047699</v>
      </c>
      <c r="F62" s="85">
        <v>-7.3635101436716394E-2</v>
      </c>
      <c r="I62" s="85">
        <v>-3.8309994613410003E-2</v>
      </c>
      <c r="J62" s="85">
        <v>-4.4387110124052602E-2</v>
      </c>
      <c r="K62" s="85">
        <v>-4.0494971350654302E-2</v>
      </c>
      <c r="M62" s="85">
        <v>2.4842593017828499E-2</v>
      </c>
      <c r="N62" s="85">
        <v>2.0428489009140498E-2</v>
      </c>
      <c r="P62" s="85">
        <v>2.6936640517147999E-2</v>
      </c>
    </row>
    <row r="63" spans="1:16">
      <c r="A63" s="82">
        <v>39629</v>
      </c>
      <c r="B63" s="84">
        <v>-6.1458007436288901E-3</v>
      </c>
      <c r="D63" s="84">
        <v>-1.2868750551818299E-2</v>
      </c>
      <c r="E63" s="84">
        <v>-1.9164725379247499E-4</v>
      </c>
      <c r="F63" s="84">
        <v>2.76116330177365E-2</v>
      </c>
      <c r="I63" s="84">
        <v>2.0814616959258101E-2</v>
      </c>
      <c r="J63" s="84">
        <v>-5.5829849851917503E-2</v>
      </c>
      <c r="K63" s="84">
        <v>-7.1445355608139704E-3</v>
      </c>
      <c r="M63" s="84">
        <v>1.53387094994591E-3</v>
      </c>
      <c r="N63" s="84">
        <v>-2.5558127459497201E-2</v>
      </c>
      <c r="P63" s="84">
        <v>-5.0484001479524296E-3</v>
      </c>
    </row>
    <row r="64" spans="1:16">
      <c r="A64" s="82">
        <v>39721</v>
      </c>
      <c r="B64" s="85">
        <v>-4.9167472716617498E-2</v>
      </c>
      <c r="D64" s="85">
        <v>-8.8973936229151798E-2</v>
      </c>
      <c r="E64" s="85">
        <v>-0.17634598767803999</v>
      </c>
      <c r="F64" s="85">
        <v>6.4201041826382504E-2</v>
      </c>
      <c r="I64" s="85">
        <v>5.6787063420183997E-2</v>
      </c>
      <c r="J64" s="85">
        <v>3.5869536555268998E-2</v>
      </c>
      <c r="K64" s="85">
        <v>3.7499136165746599E-2</v>
      </c>
      <c r="M64" s="85">
        <v>1.4189925887485601E-3</v>
      </c>
      <c r="N64" s="85">
        <v>3.6362581582604303E-2</v>
      </c>
      <c r="P64" s="85">
        <v>-2.60743731298308E-2</v>
      </c>
    </row>
    <row r="65" spans="1:16">
      <c r="A65" s="82">
        <v>39813</v>
      </c>
      <c r="B65" s="84">
        <v>-0.116156606192563</v>
      </c>
      <c r="D65" s="84">
        <v>-0.22849906236321699</v>
      </c>
      <c r="E65" s="84">
        <v>-0.28908946872250801</v>
      </c>
      <c r="F65" s="84">
        <v>-6.4245560872263296E-2</v>
      </c>
      <c r="I65" s="84">
        <v>-0.25939917689793801</v>
      </c>
      <c r="J65" s="84">
        <v>-0.257014160324887</v>
      </c>
      <c r="K65" s="84">
        <v>-1.5647606696732201E-2</v>
      </c>
      <c r="M65" s="84">
        <v>-2.7723297966820701E-2</v>
      </c>
      <c r="N65" s="84">
        <v>6.6371804058849501E-2</v>
      </c>
      <c r="P65" s="84">
        <v>1.27851935608962E-2</v>
      </c>
    </row>
    <row r="66" spans="1:16">
      <c r="A66" s="82">
        <v>39903</v>
      </c>
      <c r="B66" s="85">
        <v>-4.2183108675103401E-2</v>
      </c>
      <c r="D66" s="85">
        <v>-7.7375726789392196E-2</v>
      </c>
      <c r="E66" s="85">
        <v>2.57267449070014E-2</v>
      </c>
      <c r="F66" s="85">
        <v>7.07358130196305E-2</v>
      </c>
      <c r="I66" s="85">
        <v>-1.32902598874742E-2</v>
      </c>
      <c r="J66" s="85">
        <v>-0.13959964917905299</v>
      </c>
      <c r="K66" s="85">
        <v>1.6608040813419701E-2</v>
      </c>
      <c r="M66" s="85">
        <v>1.25287294697353E-2</v>
      </c>
      <c r="N66" s="85">
        <v>1.5713432233393599E-2</v>
      </c>
      <c r="P66" s="85">
        <v>-2.3169557256331099E-2</v>
      </c>
    </row>
    <row r="67" spans="1:16">
      <c r="A67" s="82">
        <v>39994</v>
      </c>
      <c r="B67" s="84">
        <v>9.0773147940176005E-2</v>
      </c>
      <c r="D67" s="84">
        <v>0.147698997550263</v>
      </c>
      <c r="E67" s="84">
        <v>0.305177361899585</v>
      </c>
      <c r="F67" s="84">
        <v>-2.5182612481890701E-2</v>
      </c>
      <c r="I67" s="84">
        <v>-1.39092012692133E-2</v>
      </c>
      <c r="J67" s="84">
        <v>8.5758062679947206E-2</v>
      </c>
      <c r="K67" s="84">
        <v>3.5479036349529203E-2</v>
      </c>
      <c r="M67" s="84">
        <v>4.2931601977231899E-2</v>
      </c>
      <c r="N67" s="84">
        <v>1.1533859842246899E-2</v>
      </c>
      <c r="P67" s="84">
        <v>1.9386174829806799E-2</v>
      </c>
    </row>
    <row r="68" spans="1:16">
      <c r="A68" s="82">
        <v>40086</v>
      </c>
      <c r="B68" s="85">
        <v>0.10711201238290401</v>
      </c>
      <c r="D68" s="85">
        <v>0.146558222329535</v>
      </c>
      <c r="E68" s="85">
        <v>0.171386850316605</v>
      </c>
      <c r="F68" s="85">
        <v>2.1676786741601402E-3</v>
      </c>
      <c r="I68" s="85">
        <v>2.5323083463934401E-2</v>
      </c>
      <c r="J68" s="85">
        <v>0.15622610603104001</v>
      </c>
      <c r="K68" s="85">
        <v>6.2141648067201197E-2</v>
      </c>
      <c r="M68" s="85">
        <v>4.8857070312134002E-2</v>
      </c>
      <c r="N68" s="85">
        <v>2.87515609409335E-2</v>
      </c>
      <c r="P68" s="85">
        <v>2.4710163011710699E-2</v>
      </c>
    </row>
    <row r="69" spans="1:16">
      <c r="A69" s="82">
        <v>40178</v>
      </c>
      <c r="B69" s="84">
        <v>3.9364489786038397E-2</v>
      </c>
      <c r="D69" s="84">
        <v>6.3141234376206501E-2</v>
      </c>
      <c r="E69" s="84">
        <v>0.109961978491186</v>
      </c>
      <c r="F69" s="84">
        <v>5.1915192632411997E-2</v>
      </c>
      <c r="I69" s="84">
        <v>6.9676312590585807E-2</v>
      </c>
      <c r="J69" s="84">
        <v>4.0295072175808799E-2</v>
      </c>
      <c r="K69" s="84">
        <v>2.9686218366287001E-2</v>
      </c>
      <c r="M69" s="84">
        <v>3.9318111934013699E-3</v>
      </c>
      <c r="N69" s="84">
        <v>-1.9804823151123902E-3</v>
      </c>
      <c r="P69" s="84">
        <v>-4.28055389953575E-3</v>
      </c>
    </row>
    <row r="70" spans="1:16">
      <c r="A70" s="82">
        <v>40268</v>
      </c>
      <c r="B70" s="85">
        <v>5.0657292640639E-2</v>
      </c>
      <c r="C70" s="85">
        <v>-1.91548427263208E-2</v>
      </c>
      <c r="D70" s="85">
        <v>7.7538396772546703E-2</v>
      </c>
      <c r="E70" s="85">
        <v>8.3664874280825294E-2</v>
      </c>
      <c r="F70" s="85">
        <v>8.2727968865663304E-2</v>
      </c>
      <c r="G70" s="85">
        <v>0.123303899888506</v>
      </c>
      <c r="H70" s="85">
        <v>7.8579153697902596E-2</v>
      </c>
      <c r="I70" s="85">
        <v>8.0330664572650201E-2</v>
      </c>
      <c r="J70" s="85">
        <v>6.3777921959265502E-2</v>
      </c>
      <c r="K70" s="85">
        <v>6.5332341664186597E-2</v>
      </c>
      <c r="M70" s="85">
        <v>1.75539724610555E-2</v>
      </c>
      <c r="N70" s="85">
        <v>2.26885982248634E-2</v>
      </c>
      <c r="P70" s="85">
        <v>-1.14878974541583E-2</v>
      </c>
    </row>
    <row r="71" spans="1:16">
      <c r="A71" s="82">
        <v>40359</v>
      </c>
      <c r="B71" s="84">
        <v>-5.3082168545352396E-3</v>
      </c>
      <c r="C71" s="84">
        <v>0.116021349369475</v>
      </c>
      <c r="D71" s="84">
        <v>-4.39976400105343E-2</v>
      </c>
      <c r="E71" s="84">
        <v>1.22792233081338E-2</v>
      </c>
      <c r="F71" s="84">
        <v>0.122419910469937</v>
      </c>
      <c r="G71" s="84">
        <v>0.143350364121134</v>
      </c>
      <c r="H71" s="84">
        <v>2.2612667069158699E-2</v>
      </c>
      <c r="I71" s="84">
        <v>0.12698919480326601</v>
      </c>
      <c r="J71" s="84">
        <v>8.4005354424929197E-3</v>
      </c>
      <c r="K71" s="84">
        <v>6.6291372946801305E-2</v>
      </c>
      <c r="M71" s="84">
        <v>-2.1787278456928901E-2</v>
      </c>
      <c r="N71" s="84">
        <v>5.7948477029021103E-3</v>
      </c>
      <c r="P71" s="84">
        <v>-2.0675519996622899E-2</v>
      </c>
    </row>
    <row r="72" spans="1:16">
      <c r="A72" s="82">
        <v>40451</v>
      </c>
      <c r="B72" s="85">
        <v>5.7067665291108599E-2</v>
      </c>
      <c r="C72" s="85">
        <v>2.0550237196424501E-2</v>
      </c>
      <c r="D72" s="85">
        <v>4.0145910491267901E-2</v>
      </c>
      <c r="E72" s="85">
        <v>5.7031617660784302E-2</v>
      </c>
      <c r="F72" s="85">
        <v>-8.6641746266002406E-2</v>
      </c>
      <c r="G72" s="85">
        <v>-7.3809525381379401E-2</v>
      </c>
      <c r="H72" s="85">
        <v>-1.4452833674224201E-2</v>
      </c>
      <c r="I72" s="85">
        <v>-5.1069031180914902E-2</v>
      </c>
      <c r="J72" s="85">
        <v>5.2378706956614299E-2</v>
      </c>
      <c r="K72" s="85">
        <v>-1.51734569788631E-2</v>
      </c>
      <c r="M72" s="85">
        <v>2.75936369889122E-2</v>
      </c>
      <c r="N72" s="85">
        <v>2.2669116075022699E-2</v>
      </c>
      <c r="P72" s="85">
        <v>4.3565790806157197E-2</v>
      </c>
    </row>
    <row r="73" spans="1:16">
      <c r="A73" s="82">
        <v>40543</v>
      </c>
      <c r="B73" s="84">
        <v>2.7798058271544499E-2</v>
      </c>
      <c r="C73" s="84">
        <v>3.6278078125202298E-2</v>
      </c>
      <c r="D73" s="84">
        <v>0.10245287633101401</v>
      </c>
      <c r="E73" s="84">
        <v>9.7386592496131505E-2</v>
      </c>
      <c r="F73" s="84">
        <v>5.4267435213293802E-2</v>
      </c>
      <c r="G73" s="84">
        <v>8.5730877137118994E-2</v>
      </c>
      <c r="H73" s="84">
        <v>5.9557886689442098E-2</v>
      </c>
      <c r="I73" s="84">
        <v>0.15157766766053801</v>
      </c>
      <c r="J73" s="84">
        <v>6.3516612429500199E-2</v>
      </c>
      <c r="K73" s="84">
        <v>-3.1499660204763E-3</v>
      </c>
      <c r="M73" s="84">
        <v>-2.4431603080748199E-2</v>
      </c>
      <c r="N73" s="84">
        <v>-3.3739909733373402E-2</v>
      </c>
      <c r="P73" s="84">
        <v>-1.9463337414636898E-2</v>
      </c>
    </row>
    <row r="74" spans="1:16">
      <c r="A74" s="82">
        <v>40633</v>
      </c>
      <c r="B74" s="85">
        <v>8.9890723103776098E-3</v>
      </c>
      <c r="C74" s="85">
        <v>5.6581174547516502E-2</v>
      </c>
      <c r="D74" s="85">
        <v>2.4822685444831499E-4</v>
      </c>
      <c r="E74" s="85">
        <v>-4.29862394612694E-2</v>
      </c>
      <c r="F74" s="85">
        <v>-3.1480654338161197E-2</v>
      </c>
      <c r="G74" s="85">
        <v>6.5145751198723897E-3</v>
      </c>
      <c r="H74" s="85">
        <v>-6.9051869125766703E-3</v>
      </c>
      <c r="I74" s="85">
        <v>-2.6412492027969001E-2</v>
      </c>
      <c r="J74" s="85">
        <v>1.2364306062636599E-2</v>
      </c>
      <c r="K74" s="85">
        <v>-1.55933052968761E-2</v>
      </c>
      <c r="M74" s="85">
        <v>1.59829229544249E-2</v>
      </c>
      <c r="N74" s="85">
        <v>-1.0537551198926E-2</v>
      </c>
      <c r="P74" s="85">
        <v>1.3789779380292799E-2</v>
      </c>
    </row>
    <row r="75" spans="1:16">
      <c r="A75" s="82">
        <v>40724</v>
      </c>
      <c r="B75" s="84">
        <v>7.9415717520550707E-3</v>
      </c>
      <c r="C75" s="84">
        <v>-6.6976258483788201E-2</v>
      </c>
      <c r="D75" s="84">
        <v>-8.2984477089093605E-3</v>
      </c>
      <c r="E75" s="84">
        <v>-3.1771202888070803E-2</v>
      </c>
      <c r="F75" s="84">
        <v>-7.9336203426493904E-3</v>
      </c>
      <c r="G75" s="84">
        <v>8.0257548205512896E-3</v>
      </c>
      <c r="H75" s="84">
        <v>-2.4533355120710101E-2</v>
      </c>
      <c r="I75" s="84">
        <v>3.8497477828894101E-3</v>
      </c>
      <c r="J75" s="84">
        <v>1.36262538240399E-2</v>
      </c>
      <c r="K75" s="84">
        <v>9.5025886771534993E-3</v>
      </c>
      <c r="M75" s="84">
        <v>1.56075445885312E-2</v>
      </c>
      <c r="N75" s="84">
        <v>1.41499819031046E-2</v>
      </c>
      <c r="P75" s="84">
        <v>9.3966157369252505E-3</v>
      </c>
    </row>
    <row r="76" spans="1:16">
      <c r="A76" s="82">
        <v>40816</v>
      </c>
      <c r="B76" s="85">
        <v>-2.90084847149913E-2</v>
      </c>
      <c r="C76" s="85">
        <v>-3.7161273398538398E-2</v>
      </c>
      <c r="D76" s="85">
        <v>-0.12349299796230701</v>
      </c>
      <c r="E76" s="85">
        <v>-0.16004034607505699</v>
      </c>
      <c r="F76" s="85">
        <v>9.0192759091831096E-2</v>
      </c>
      <c r="G76" s="85">
        <v>5.2206841161242398E-2</v>
      </c>
      <c r="H76" s="85">
        <v>2.3663116439578299E-2</v>
      </c>
      <c r="I76" s="85">
        <v>5.7987167741907202E-2</v>
      </c>
      <c r="J76" s="85">
        <v>-7.1329094886509695E-2</v>
      </c>
      <c r="K76" s="85">
        <v>4.57249199944188E-2</v>
      </c>
      <c r="M76" s="85">
        <v>-1.6303525862941998E-2</v>
      </c>
      <c r="N76" s="85">
        <v>3.3477628675979899E-2</v>
      </c>
      <c r="P76" s="85">
        <v>2.6699186721833002E-3</v>
      </c>
    </row>
    <row r="77" spans="1:16">
      <c r="A77" s="82">
        <v>40908</v>
      </c>
      <c r="B77" s="84">
        <v>4.6185838412731897E-2</v>
      </c>
      <c r="C77" s="84">
        <v>0.118025362461192</v>
      </c>
      <c r="D77" s="84">
        <v>0.10764845206904999</v>
      </c>
      <c r="E77" s="84">
        <v>7.7932607598532697E-2</v>
      </c>
      <c r="F77" s="84">
        <v>2.7760031162057899E-2</v>
      </c>
      <c r="G77" s="84">
        <v>3.5466094225361601E-2</v>
      </c>
      <c r="H77" s="84">
        <v>4.3705844607562903E-2</v>
      </c>
      <c r="I77" s="84">
        <v>2.4317360887045801E-2</v>
      </c>
      <c r="J77" s="84">
        <v>6.9889482592430496E-2</v>
      </c>
      <c r="K77" s="84">
        <v>2.3907024242090399E-2</v>
      </c>
      <c r="M77" s="84">
        <v>-2.0565791649515199E-2</v>
      </c>
      <c r="N77" s="84">
        <v>-3.7602825821467499E-3</v>
      </c>
      <c r="P77" s="84">
        <v>-1.6849757534725201E-3</v>
      </c>
    </row>
    <row r="78" spans="1:16">
      <c r="A78" s="82">
        <v>40999</v>
      </c>
      <c r="B78" s="85">
        <v>5.8256949329522502E-2</v>
      </c>
      <c r="C78" s="85">
        <v>5.9256853474687399E-2</v>
      </c>
      <c r="D78" s="85">
        <v>9.0106680558439803E-2</v>
      </c>
      <c r="E78" s="85">
        <v>0.119167358545888</v>
      </c>
      <c r="F78" s="85">
        <v>-1.9285392536693799E-3</v>
      </c>
      <c r="G78" s="85">
        <v>1.3758885374618101E-2</v>
      </c>
      <c r="H78" s="85">
        <v>-8.8298196453012196E-3</v>
      </c>
      <c r="I78" s="85">
        <v>3.0692877029926901E-3</v>
      </c>
      <c r="J78" s="85">
        <v>6.2551033682196805E-2</v>
      </c>
      <c r="K78" s="85">
        <v>2.0573800144261301E-2</v>
      </c>
      <c r="M78" s="85">
        <v>5.4457487267548198E-2</v>
      </c>
      <c r="N78" s="85">
        <v>3.3222078652181103E-2</v>
      </c>
      <c r="P78" s="85">
        <v>6.7773929920276997E-3</v>
      </c>
    </row>
    <row r="79" spans="1:16">
      <c r="A79" s="82">
        <v>41090</v>
      </c>
      <c r="B79" s="84">
        <v>9.0699386000863704E-4</v>
      </c>
      <c r="C79" s="84">
        <v>-6.3603327542828797E-2</v>
      </c>
      <c r="D79" s="84">
        <v>-1.20540889055849E-2</v>
      </c>
      <c r="E79" s="84">
        <v>-4.5737440159533897E-2</v>
      </c>
      <c r="F79" s="84">
        <v>6.4030107748891799E-2</v>
      </c>
      <c r="G79" s="84">
        <v>7.7812422223754799E-3</v>
      </c>
      <c r="H79" s="84">
        <v>3.3285361152397698E-2</v>
      </c>
      <c r="I79" s="84">
        <v>7.7155771389306405E-2</v>
      </c>
      <c r="J79" s="84">
        <v>4.4424015830458199E-2</v>
      </c>
      <c r="K79" s="84">
        <v>3.9250339561433097E-2</v>
      </c>
      <c r="M79" s="84">
        <v>-7.6183462697995497E-3</v>
      </c>
      <c r="N79" s="84">
        <v>1.2499383434340201E-3</v>
      </c>
      <c r="P79" s="84">
        <v>-8.8600683067836996E-3</v>
      </c>
    </row>
    <row r="80" spans="1:16">
      <c r="A80" s="82">
        <v>41182</v>
      </c>
      <c r="B80" s="85">
        <v>4.7962370793199899E-2</v>
      </c>
      <c r="C80" s="85">
        <v>9.7850031323843498E-2</v>
      </c>
      <c r="D80" s="85">
        <v>6.15248578451228E-2</v>
      </c>
      <c r="E80" s="85">
        <v>6.2092917814046203E-2</v>
      </c>
      <c r="F80" s="85">
        <v>1.16297021235106E-2</v>
      </c>
      <c r="G80" s="85">
        <v>3.1811626084957502E-2</v>
      </c>
      <c r="H80" s="85">
        <v>-1.2050455793885801E-2</v>
      </c>
      <c r="I80" s="85">
        <v>2.0011776996530999E-2</v>
      </c>
      <c r="J80" s="85">
        <v>2.14786068689716E-2</v>
      </c>
      <c r="K80" s="85">
        <v>2.99213493165927E-2</v>
      </c>
      <c r="M80" s="85">
        <v>5.1440845800846999E-2</v>
      </c>
      <c r="N80" s="85">
        <v>3.1198700440158E-2</v>
      </c>
      <c r="P80" s="85">
        <v>5.3238881922990601E-3</v>
      </c>
    </row>
    <row r="81" spans="1:16">
      <c r="A81" s="82">
        <v>41274</v>
      </c>
      <c r="B81" s="84">
        <v>2.44628433937626E-2</v>
      </c>
      <c r="C81" s="84">
        <v>-4.1673355882847297E-2</v>
      </c>
      <c r="D81" s="84">
        <v>1.52882731577513E-2</v>
      </c>
      <c r="E81" s="84">
        <v>3.3338594751794001E-2</v>
      </c>
      <c r="F81" s="84">
        <v>-3.5183947801483901E-3</v>
      </c>
      <c r="G81" s="84">
        <v>-4.5959111251472999E-3</v>
      </c>
      <c r="H81" s="84">
        <v>-1.03957616056222E-2</v>
      </c>
      <c r="I81" s="84">
        <v>8.7639233636295603E-3</v>
      </c>
      <c r="J81" s="84">
        <v>2.52988752475347E-2</v>
      </c>
      <c r="K81" s="84">
        <v>1.06957387155355E-2</v>
      </c>
      <c r="M81" s="84">
        <v>1.7094876605698101E-2</v>
      </c>
      <c r="N81" s="84">
        <v>2.71081114827166E-2</v>
      </c>
      <c r="P81" s="84">
        <v>9.8371949569121507E-3</v>
      </c>
    </row>
    <row r="82" spans="1:16">
      <c r="A82" s="82">
        <v>41364</v>
      </c>
      <c r="B82" s="85">
        <v>3.5715799061705897E-2</v>
      </c>
      <c r="C82" s="85">
        <v>3.3463112297673799E-2</v>
      </c>
      <c r="D82" s="85">
        <v>9.7166715384590804E-2</v>
      </c>
      <c r="E82" s="85">
        <v>2.33323572460588E-2</v>
      </c>
      <c r="F82" s="85">
        <v>5.6196088555134797E-2</v>
      </c>
      <c r="G82" s="85">
        <v>1.7764879913042101E-2</v>
      </c>
      <c r="H82" s="85">
        <v>3.4438647143123703E-2</v>
      </c>
      <c r="I82" s="85">
        <v>6.5609483975686597E-2</v>
      </c>
      <c r="J82" s="85">
        <v>4.9790354261959102E-2</v>
      </c>
      <c r="K82" s="85">
        <v>2.4679432442967601E-2</v>
      </c>
      <c r="M82" s="85">
        <v>-9.6479309327799495E-3</v>
      </c>
      <c r="N82" s="85">
        <v>-1.03602398217005E-4</v>
      </c>
      <c r="P82" s="85">
        <v>-6.9101811299473702E-3</v>
      </c>
    </row>
    <row r="83" spans="1:16">
      <c r="A83" s="82">
        <v>41455</v>
      </c>
      <c r="B83" s="84">
        <v>-1.8909494554289401E-2</v>
      </c>
      <c r="C83" s="84">
        <v>-7.4853308981832498E-2</v>
      </c>
      <c r="D83" s="84">
        <v>-5.3142257005564103E-3</v>
      </c>
      <c r="E83" s="84">
        <v>-9.1899159453116094E-2</v>
      </c>
      <c r="F83" s="84">
        <v>4.53132360837689E-3</v>
      </c>
      <c r="G83" s="84">
        <v>-1.26594769145504E-2</v>
      </c>
      <c r="H83" s="84">
        <v>3.7999595531035498E-3</v>
      </c>
      <c r="I83" s="84">
        <v>2.9611537705620999E-2</v>
      </c>
      <c r="J83" s="84">
        <v>-2.38634402855551E-2</v>
      </c>
      <c r="K83" s="84">
        <v>-1.89992196364638E-2</v>
      </c>
      <c r="M83" s="84">
        <v>-3.1360185780706797E-2</v>
      </c>
      <c r="N83" s="84">
        <v>-2.4990494985888999E-3</v>
      </c>
      <c r="P83" s="84">
        <v>-1.05764199110507E-3</v>
      </c>
    </row>
    <row r="84" spans="1:16">
      <c r="A84" s="82">
        <v>41547</v>
      </c>
      <c r="B84" s="85">
        <v>2.0868413751507699E-2</v>
      </c>
      <c r="C84" s="85">
        <v>5.9991846142215402E-3</v>
      </c>
      <c r="D84" s="85">
        <v>5.4047278248823598E-2</v>
      </c>
      <c r="E84" s="85">
        <v>8.9083274205062207E-3</v>
      </c>
      <c r="F84" s="85">
        <v>-3.3008213735813897E-2</v>
      </c>
      <c r="G84" s="85">
        <v>-1.51544732561745E-2</v>
      </c>
      <c r="H84" s="85">
        <v>-8.4989055329596792E-3</v>
      </c>
      <c r="I84" s="85">
        <v>9.9559816163981296E-3</v>
      </c>
      <c r="J84" s="85">
        <v>-8.3080416731118305E-3</v>
      </c>
      <c r="K84" s="85">
        <v>-7.61967676815066E-3</v>
      </c>
      <c r="M84" s="85">
        <v>4.2236865469553204E-3</v>
      </c>
      <c r="N84" s="85">
        <v>9.6757855527873308E-3</v>
      </c>
      <c r="P84" s="85">
        <v>6.9406832490232903E-3</v>
      </c>
    </row>
    <row r="85" spans="1:16">
      <c r="A85" s="82">
        <v>41639</v>
      </c>
      <c r="B85" s="84">
        <v>2.3772106929297199E-2</v>
      </c>
      <c r="C85" s="84">
        <v>-1.3869367289179599E-3</v>
      </c>
      <c r="D85" s="84">
        <v>6.15403096923074E-2</v>
      </c>
      <c r="E85" s="84">
        <v>1.83320638195524E-3</v>
      </c>
      <c r="F85" s="84">
        <v>-7.7912243444649698E-3</v>
      </c>
      <c r="G85" s="84">
        <v>3.1382895492001101E-3</v>
      </c>
      <c r="H85" s="84">
        <v>7.3457945747502501E-3</v>
      </c>
      <c r="I85" s="84">
        <v>6.0381273026383402E-2</v>
      </c>
      <c r="J85" s="84">
        <v>-3.0385399803735599E-3</v>
      </c>
      <c r="K85" s="84">
        <v>2.40211078879638E-3</v>
      </c>
      <c r="M85" s="84">
        <v>-4.1908920638037599E-3</v>
      </c>
      <c r="N85" s="84">
        <v>1.2748494645560301E-2</v>
      </c>
      <c r="P85" s="84">
        <v>2.84643516309834E-3</v>
      </c>
    </row>
    <row r="86" spans="1:16">
      <c r="A86" s="82">
        <v>41729</v>
      </c>
      <c r="B86" s="85">
        <v>3.05752897374445E-2</v>
      </c>
      <c r="C86" s="85">
        <v>1.24059719723601E-2</v>
      </c>
      <c r="D86" s="85">
        <v>2.07621958311155E-2</v>
      </c>
      <c r="E86" s="85">
        <v>-6.8990412568454102E-3</v>
      </c>
      <c r="F86" s="85">
        <v>1.4345346694570301E-2</v>
      </c>
      <c r="G86" s="85">
        <v>3.0265928002110899E-2</v>
      </c>
      <c r="H86" s="85">
        <v>4.4477826831334701E-2</v>
      </c>
      <c r="I86" s="85">
        <v>2.9222893974338499E-2</v>
      </c>
      <c r="J86" s="85">
        <v>4.29341875767374E-2</v>
      </c>
      <c r="K86" s="85">
        <v>2.4683408573132899E-2</v>
      </c>
      <c r="L86" s="85">
        <v>1.9022210121909001E-2</v>
      </c>
      <c r="M86" s="85">
        <v>1.51459401719931E-2</v>
      </c>
      <c r="N86" s="85">
        <v>3.98812655868983E-2</v>
      </c>
      <c r="P86" s="85">
        <v>6.7336873185721803E-3</v>
      </c>
    </row>
    <row r="87" spans="1:16">
      <c r="A87" s="82">
        <v>41820</v>
      </c>
      <c r="B87" s="84">
        <v>5.0328039398318203E-2</v>
      </c>
      <c r="C87" s="84">
        <v>4.7550956273857699E-2</v>
      </c>
      <c r="D87" s="84">
        <v>5.3025374262699598E-2</v>
      </c>
      <c r="E87" s="84">
        <v>8.3583838789961298E-2</v>
      </c>
      <c r="F87" s="84">
        <v>1.7037176309763299E-2</v>
      </c>
      <c r="G87" s="84">
        <v>2.7567376463431E-2</v>
      </c>
      <c r="H87" s="84">
        <v>2.40592759817768E-2</v>
      </c>
      <c r="I87" s="84">
        <v>4.7198816206836601E-2</v>
      </c>
      <c r="J87" s="84">
        <v>6.4826826457488398E-2</v>
      </c>
      <c r="K87" s="84">
        <v>2.9400641803534602E-2</v>
      </c>
      <c r="L87" s="84">
        <v>5.9138367461496498E-2</v>
      </c>
      <c r="M87" s="84">
        <v>3.0802848720579399E-2</v>
      </c>
      <c r="N87" s="84">
        <v>3.1458466830971803E-2</v>
      </c>
      <c r="P87" s="84">
        <v>5.1003013616635201E-3</v>
      </c>
    </row>
    <row r="88" spans="1:16">
      <c r="A88" s="82">
        <v>41912</v>
      </c>
      <c r="B88" s="85">
        <v>2.89536921994085E-2</v>
      </c>
      <c r="C88" s="85">
        <v>-4.9155932037472601E-2</v>
      </c>
      <c r="D88" s="85">
        <v>5.0410698140902897E-2</v>
      </c>
      <c r="E88" s="85">
        <v>4.47944230043157E-2</v>
      </c>
      <c r="F88" s="85">
        <v>9.5930666829245101E-2</v>
      </c>
      <c r="G88" s="85">
        <v>6.9749220076575996E-2</v>
      </c>
      <c r="H88" s="85">
        <v>8.1244204254812699E-2</v>
      </c>
      <c r="I88" s="85">
        <v>9.8211571012273305E-2</v>
      </c>
      <c r="J88" s="85">
        <v>4.35663798679908E-2</v>
      </c>
      <c r="K88" s="85">
        <v>4.8301865211766999E-2</v>
      </c>
      <c r="L88" s="85">
        <v>3.8532186150766798E-2</v>
      </c>
      <c r="M88" s="85">
        <v>1.1796520222781701E-2</v>
      </c>
      <c r="N88" s="85">
        <v>2.9542675719059299E-2</v>
      </c>
      <c r="P88" s="85">
        <v>-1.36820417856694E-2</v>
      </c>
    </row>
    <row r="89" spans="1:16">
      <c r="A89" s="82">
        <v>42004</v>
      </c>
      <c r="B89" s="84">
        <v>2.80934339570744E-2</v>
      </c>
      <c r="C89" s="84">
        <v>-0.225722576053836</v>
      </c>
      <c r="D89" s="84">
        <v>4.9682778211511597E-2</v>
      </c>
      <c r="E89" s="84">
        <v>-2.2268475878709799E-3</v>
      </c>
      <c r="F89" s="84">
        <v>3.5160860981909299E-2</v>
      </c>
      <c r="G89" s="84">
        <v>3.30560111859299E-2</v>
      </c>
      <c r="H89" s="84">
        <v>3.06775891657892E-2</v>
      </c>
      <c r="I89" s="84">
        <v>4.1928781219495302E-2</v>
      </c>
      <c r="J89" s="84">
        <v>9.1619707911414799E-2</v>
      </c>
      <c r="K89" s="84">
        <v>3.5992166141066401E-2</v>
      </c>
      <c r="L89" s="84">
        <v>8.5942657731690397E-4</v>
      </c>
      <c r="M89" s="84">
        <v>-3.1845472595523798E-3</v>
      </c>
      <c r="N89" s="84">
        <v>2.7055187833360701E-2</v>
      </c>
      <c r="P89" s="84">
        <v>9.2467377039032802E-4</v>
      </c>
    </row>
    <row r="90" spans="1:16">
      <c r="A90" s="82">
        <v>42094</v>
      </c>
      <c r="B90" s="85">
        <v>8.7796386099376705E-2</v>
      </c>
      <c r="C90" s="85">
        <v>5.5217547672854098E-2</v>
      </c>
      <c r="D90" s="85">
        <v>0.15972166299712601</v>
      </c>
      <c r="E90" s="85">
        <v>0.140551968809846</v>
      </c>
      <c r="F90" s="85">
        <v>0.151456725899874</v>
      </c>
      <c r="G90" s="85">
        <v>0.104966170734082</v>
      </c>
      <c r="H90" s="85">
        <v>0.107568367143917</v>
      </c>
      <c r="I90" s="85">
        <v>0.13180904039692701</v>
      </c>
      <c r="J90" s="85">
        <v>0.14806444062989099</v>
      </c>
      <c r="K90" s="85">
        <v>7.7494243623730696E-2</v>
      </c>
      <c r="L90" s="85">
        <v>0.117348578606256</v>
      </c>
      <c r="M90" s="85">
        <v>4.2220798363259898E-2</v>
      </c>
      <c r="N90" s="85">
        <v>4.0441933227239102E-2</v>
      </c>
      <c r="O90" s="85">
        <v>0.10793270684081401</v>
      </c>
      <c r="P90" s="85">
        <v>-2.1693508664172099E-2</v>
      </c>
    </row>
    <row r="91" spans="1:16">
      <c r="A91" s="82">
        <v>42185</v>
      </c>
      <c r="B91" s="84">
        <v>-4.3476242556845103E-2</v>
      </c>
      <c r="C91" s="84">
        <v>3.5213932055719301E-2</v>
      </c>
      <c r="D91" s="84">
        <v>-2.9338019286974298E-2</v>
      </c>
      <c r="E91" s="84">
        <v>-2.9506585622303402E-2</v>
      </c>
      <c r="F91" s="84">
        <v>-3.9453556014609703E-2</v>
      </c>
      <c r="G91" s="84">
        <v>1.18688471398559E-2</v>
      </c>
      <c r="H91" s="84">
        <v>-9.7084852096215001E-3</v>
      </c>
      <c r="I91" s="84">
        <v>3.6277488033614302E-2</v>
      </c>
      <c r="J91" s="84">
        <v>-5.1682610356398997E-2</v>
      </c>
      <c r="K91" s="84">
        <v>-3.4562496732652603E-2</v>
      </c>
      <c r="L91" s="84">
        <v>-4.0392411157438898E-2</v>
      </c>
      <c r="M91" s="84">
        <v>-2.7807835516240598E-2</v>
      </c>
      <c r="N91" s="84">
        <v>-5.1897663703982903E-2</v>
      </c>
      <c r="O91" s="84">
        <v>-0.102498093460601</v>
      </c>
      <c r="P91" s="84">
        <v>-1.3264499619063799E-2</v>
      </c>
    </row>
    <row r="92" spans="1:16">
      <c r="A92" s="82">
        <v>42277</v>
      </c>
      <c r="B92" s="85">
        <v>-3.1002481560127599E-2</v>
      </c>
      <c r="C92" s="85">
        <v>-0.180388466710103</v>
      </c>
      <c r="D92" s="85">
        <v>-8.2602813663855898E-2</v>
      </c>
      <c r="E92" s="85">
        <v>-0.174855742054325</v>
      </c>
      <c r="F92" s="85">
        <v>1.9794633958787901E-3</v>
      </c>
      <c r="G92" s="85">
        <v>-1.7753416127813899E-2</v>
      </c>
      <c r="H92" s="85">
        <v>-4.9110133480719104E-3</v>
      </c>
      <c r="I92" s="85">
        <v>3.2704888617592402E-2</v>
      </c>
      <c r="J92" s="85">
        <v>-3.6592194087991202E-4</v>
      </c>
      <c r="K92" s="85">
        <v>4.0366607724800696E-3</v>
      </c>
      <c r="L92" s="85">
        <v>-7.0818217192477897E-2</v>
      </c>
      <c r="M92" s="85">
        <v>-1.2017730663298899E-2</v>
      </c>
      <c r="N92" s="85">
        <v>2.5485318769568201E-2</v>
      </c>
      <c r="O92" s="85">
        <v>4.7874925880229201E-2</v>
      </c>
      <c r="P92" s="85">
        <v>7.7803439592546101E-3</v>
      </c>
    </row>
    <row r="93" spans="1:16">
      <c r="A93" s="82">
        <v>42369</v>
      </c>
      <c r="B93" s="84">
        <v>1.8925930812168399E-2</v>
      </c>
      <c r="C93" s="84">
        <v>-0.106455574075728</v>
      </c>
      <c r="D93" s="84">
        <v>8.1312573788180006E-2</v>
      </c>
      <c r="E93" s="84">
        <v>4.3722249302254303E-2</v>
      </c>
      <c r="F93" s="84">
        <v>1.9778241951157301E-2</v>
      </c>
      <c r="G93" s="84">
        <v>2.9229756035832399E-2</v>
      </c>
      <c r="H93" s="84">
        <v>8.3096304169417001E-3</v>
      </c>
      <c r="I93" s="84">
        <v>3.0010617438360501E-2</v>
      </c>
      <c r="J93" s="84">
        <v>7.3722459954266503E-2</v>
      </c>
      <c r="K93" s="84">
        <v>1.30925140278213E-2</v>
      </c>
      <c r="L93" s="84">
        <v>3.5652159054656601E-2</v>
      </c>
      <c r="M93" s="84">
        <v>-5.0843879674600202E-4</v>
      </c>
      <c r="N93" s="84">
        <v>1.2991325069212701E-3</v>
      </c>
      <c r="O93" s="84">
        <v>-1.8028145705935E-2</v>
      </c>
      <c r="P93" s="84">
        <v>-1.21022779094079E-2</v>
      </c>
    </row>
    <row r="94" spans="1:16">
      <c r="A94" s="82">
        <v>42460</v>
      </c>
      <c r="B94" s="85">
        <v>2.2296416141178398E-2</v>
      </c>
      <c r="C94" s="85">
        <v>-5.9263376743178699E-2</v>
      </c>
      <c r="D94" s="85">
        <v>-4.7107889015134803E-2</v>
      </c>
      <c r="E94" s="85">
        <v>5.40574435398046E-3</v>
      </c>
      <c r="F94" s="85">
        <v>-4.5726378517641102E-2</v>
      </c>
      <c r="G94" s="85">
        <v>6.3214417282441999E-3</v>
      </c>
      <c r="H94" s="85">
        <v>-6.5205968967362901E-2</v>
      </c>
      <c r="I94" s="85">
        <v>-1.89735072172043E-2</v>
      </c>
      <c r="J94" s="85">
        <v>8.3686680121384204E-4</v>
      </c>
      <c r="K94" s="85">
        <v>3.6560728476533202E-3</v>
      </c>
      <c r="L94" s="85">
        <v>3.0763260175928099E-2</v>
      </c>
      <c r="M94" s="85">
        <v>1.9562460004506298E-2</v>
      </c>
      <c r="N94" s="85">
        <v>3.30772806731175E-2</v>
      </c>
      <c r="O94" s="85">
        <v>8.9924791928847905E-2</v>
      </c>
      <c r="P94" s="85">
        <v>2.9130433006520899E-2</v>
      </c>
    </row>
    <row r="95" spans="1:16">
      <c r="A95" s="82">
        <v>42551</v>
      </c>
      <c r="B95" s="84">
        <v>3.8913380006590101E-2</v>
      </c>
      <c r="C95" s="84">
        <v>0.14461063580823</v>
      </c>
      <c r="D95" s="84">
        <v>3.55130645411319E-2</v>
      </c>
      <c r="E95" s="84">
        <v>4.2149544883483499E-2</v>
      </c>
      <c r="F95" s="84">
        <v>2.6369747716992499E-2</v>
      </c>
      <c r="G95" s="84">
        <v>4.4594344047956598E-2</v>
      </c>
      <c r="H95" s="84">
        <v>9.9163378665448904E-3</v>
      </c>
      <c r="I95" s="84">
        <v>3.1637061650633201E-2</v>
      </c>
      <c r="J95" s="84">
        <v>4.3911967541709701E-2</v>
      </c>
      <c r="K95" s="84">
        <v>3.4617707733281503E-2</v>
      </c>
      <c r="L95" s="84">
        <v>6.89697889975176E-2</v>
      </c>
      <c r="M95" s="84">
        <v>2.90021956211063E-2</v>
      </c>
      <c r="N95" s="84">
        <v>2.3190004066175999E-2</v>
      </c>
      <c r="O95" s="84">
        <v>7.3973023637723595E-2</v>
      </c>
      <c r="P95" s="84">
        <v>-1.6421491404935099E-3</v>
      </c>
    </row>
    <row r="96" spans="1:16">
      <c r="A96" s="82">
        <v>42643</v>
      </c>
      <c r="B96" s="85">
        <v>2.6521876650206101E-2</v>
      </c>
      <c r="C96" s="85">
        <v>-3.7485901185455001E-2</v>
      </c>
      <c r="D96" s="85">
        <v>3.7159114311427002E-2</v>
      </c>
      <c r="E96" s="85">
        <v>7.7882768401645194E-2</v>
      </c>
      <c r="F96" s="85">
        <v>1.3951467606876E-3</v>
      </c>
      <c r="G96" s="85">
        <v>1.4220419440086699E-2</v>
      </c>
      <c r="H96" s="85">
        <v>2.6300739295078202E-2</v>
      </c>
      <c r="I96" s="85">
        <v>2.4101701562908501E-2</v>
      </c>
      <c r="J96" s="85">
        <v>1.14162514164543E-2</v>
      </c>
      <c r="K96" s="85">
        <v>1.1015039320319E-2</v>
      </c>
      <c r="L96" s="85">
        <v>2.1423245764433E-2</v>
      </c>
      <c r="M96" s="85">
        <v>1.8353937114092202E-2</v>
      </c>
      <c r="N96" s="85">
        <v>4.6348964101729402E-3</v>
      </c>
      <c r="O96" s="85">
        <v>2.8765458237189701E-3</v>
      </c>
      <c r="P96" s="85">
        <v>5.5324471541761304E-3</v>
      </c>
    </row>
    <row r="97" spans="1:16">
      <c r="A97" s="82">
        <v>42735</v>
      </c>
      <c r="B97" s="84">
        <v>3.9106062522397999E-3</v>
      </c>
      <c r="C97" s="84">
        <v>0.12718964048590101</v>
      </c>
      <c r="D97" s="84">
        <v>8.3755714222596894E-2</v>
      </c>
      <c r="E97" s="84">
        <v>1.89916464426595E-2</v>
      </c>
      <c r="F97" s="84">
        <v>0.100559688210758</v>
      </c>
      <c r="G97" s="84">
        <v>6.0085083992181897E-2</v>
      </c>
      <c r="H97" s="84">
        <v>8.3932296636662101E-2</v>
      </c>
      <c r="I97" s="84">
        <v>0.107688808311413</v>
      </c>
      <c r="J97" s="84">
        <v>2.54386480709759E-2</v>
      </c>
      <c r="K97" s="84">
        <v>1.4988833205180799E-2</v>
      </c>
      <c r="L97" s="84">
        <v>2.05802754965239E-2</v>
      </c>
      <c r="M97" s="84">
        <v>-1.6722275056086498E-2</v>
      </c>
      <c r="N97" s="84">
        <v>-3.4212809300696298E-2</v>
      </c>
      <c r="O97" s="84">
        <v>-8.0569769109364697E-2</v>
      </c>
      <c r="P97" s="84">
        <v>-3.0415504708823701E-2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sheetPr>
  <dimension ref="A1:AA80"/>
  <sheetViews>
    <sheetView zoomScale="90" zoomScaleNormal="90" zoomScalePageLayoutView="90" workbookViewId="0">
      <selection activeCell="Q19" sqref="Q19"/>
    </sheetView>
  </sheetViews>
  <sheetFormatPr defaultColWidth="8.85546875" defaultRowHeight="15"/>
  <cols>
    <col min="1" max="1" width="10.28515625" style="35" customWidth="1"/>
    <col min="2" max="2" width="8.85546875" style="4"/>
    <col min="3" max="3" width="9.140625" style="4" customWidth="1"/>
    <col min="4" max="4" width="8.85546875" style="309"/>
    <col min="5" max="5" width="8.85546875" style="4"/>
    <col min="6" max="6" width="15" style="4" customWidth="1"/>
    <col min="7" max="7" width="10.28515625" style="35" hidden="1" customWidth="1"/>
    <col min="8" max="11" width="17.140625" style="117" hidden="1" customWidth="1"/>
    <col min="12" max="12" width="11.140625" style="4" hidden="1" customWidth="1"/>
    <col min="13" max="13" width="14" style="4" hidden="1" customWidth="1"/>
    <col min="14" max="14" width="8.85546875" style="4"/>
    <col min="15" max="15" width="11.85546875" style="4" bestFit="1" customWidth="1"/>
    <col min="16" max="16" width="8.85546875" style="4"/>
    <col min="17" max="17" width="11.140625" style="4" bestFit="1" customWidth="1"/>
    <col min="18" max="18" width="13" style="4" hidden="1" customWidth="1"/>
    <col min="19" max="19" width="7.7109375" style="4" hidden="1" customWidth="1"/>
    <col min="20" max="20" width="11.140625" style="4" customWidth="1"/>
    <col min="21" max="21" width="14.42578125" style="4" customWidth="1"/>
    <col min="22" max="22" width="8.85546875" style="4"/>
    <col min="23" max="23" width="13.42578125" style="4" customWidth="1"/>
    <col min="24" max="24" width="11.140625" style="4" bestFit="1" customWidth="1"/>
    <col min="25" max="25" width="13.42578125" style="4" customWidth="1"/>
    <col min="26" max="26" width="17.42578125" style="4" bestFit="1" customWidth="1"/>
    <col min="27" max="27" width="12.140625" style="4" customWidth="1"/>
    <col min="28" max="16384" width="8.85546875" style="4"/>
  </cols>
  <sheetData>
    <row r="1" spans="1:27" ht="21">
      <c r="A1" s="343" t="s">
        <v>546</v>
      </c>
      <c r="B1" s="343"/>
      <c r="C1" s="343"/>
      <c r="D1" s="343"/>
      <c r="E1" s="343"/>
      <c r="F1" s="343"/>
      <c r="G1" s="343"/>
      <c r="H1" s="343"/>
      <c r="I1" s="343"/>
      <c r="J1" s="343"/>
      <c r="K1" s="343"/>
      <c r="L1" s="343"/>
      <c r="M1" s="343"/>
    </row>
    <row r="2" spans="1:27" s="344" customFormat="1" ht="14.25" customHeight="1">
      <c r="A2" s="916" t="s">
        <v>547</v>
      </c>
      <c r="B2" s="916"/>
      <c r="C2" s="916"/>
      <c r="D2" s="916"/>
      <c r="E2" s="916"/>
      <c r="F2" s="916"/>
      <c r="G2" s="916" t="s">
        <v>575</v>
      </c>
      <c r="H2" s="916"/>
      <c r="I2" s="916"/>
      <c r="J2" s="916"/>
      <c r="K2" s="916"/>
      <c r="L2" s="916"/>
      <c r="M2" s="916"/>
    </row>
    <row r="3" spans="1:27" ht="75">
      <c r="A3" s="325" t="s">
        <v>226</v>
      </c>
      <c r="B3" s="327" t="s">
        <v>256</v>
      </c>
      <c r="C3" s="310" t="s">
        <v>545</v>
      </c>
      <c r="D3" s="310" t="s">
        <v>257</v>
      </c>
      <c r="E3" s="327" t="s">
        <v>544</v>
      </c>
      <c r="F3" s="327" t="s">
        <v>261</v>
      </c>
      <c r="G3" s="310" t="s">
        <v>226</v>
      </c>
      <c r="H3" s="327" t="s">
        <v>220</v>
      </c>
      <c r="I3" s="327" t="s">
        <v>259</v>
      </c>
      <c r="J3" s="327" t="s">
        <v>260</v>
      </c>
      <c r="K3" s="327" t="s">
        <v>255</v>
      </c>
      <c r="L3" s="310" t="s">
        <v>226</v>
      </c>
      <c r="M3" s="327" t="s">
        <v>262</v>
      </c>
      <c r="N3" s="310" t="s">
        <v>226</v>
      </c>
      <c r="O3" s="327" t="s">
        <v>143</v>
      </c>
      <c r="P3" s="327" t="s">
        <v>548</v>
      </c>
      <c r="Q3" s="327" t="s">
        <v>225</v>
      </c>
      <c r="R3" s="310" t="s">
        <v>232</v>
      </c>
      <c r="S3" s="310" t="s">
        <v>366</v>
      </c>
      <c r="T3" s="327" t="s">
        <v>224</v>
      </c>
      <c r="U3" s="310" t="s">
        <v>130</v>
      </c>
      <c r="V3" s="327" t="s">
        <v>230</v>
      </c>
      <c r="W3" s="327" t="s">
        <v>237</v>
      </c>
      <c r="X3" s="327" t="s">
        <v>267</v>
      </c>
      <c r="Y3" s="327" t="s">
        <v>231</v>
      </c>
      <c r="Z3" s="310" t="s">
        <v>144</v>
      </c>
      <c r="AA3" s="327" t="s">
        <v>455</v>
      </c>
    </row>
    <row r="4" spans="1:27">
      <c r="A4" s="331" t="s">
        <v>74</v>
      </c>
      <c r="B4" s="107">
        <v>3.0797797121220299E-2</v>
      </c>
      <c r="C4" s="173">
        <f t="shared" ref="C4:C35" si="0">B4+1</f>
        <v>1.0307977971212203</v>
      </c>
      <c r="D4" s="342" t="s">
        <v>110</v>
      </c>
      <c r="E4" s="107">
        <v>0.16500000000000001</v>
      </c>
      <c r="F4" s="40"/>
      <c r="G4" s="328" t="s">
        <v>74</v>
      </c>
      <c r="H4" s="91">
        <v>123890167036.5</v>
      </c>
      <c r="I4" s="86"/>
      <c r="J4" s="86"/>
      <c r="K4" s="86"/>
      <c r="L4" s="341" t="s">
        <v>110</v>
      </c>
      <c r="M4" s="90"/>
      <c r="N4" s="342" t="s">
        <v>110</v>
      </c>
      <c r="Q4" s="4">
        <f t="shared" ref="Q4:Q12" si="1">O4-P4</f>
        <v>0</v>
      </c>
      <c r="U4" s="173"/>
      <c r="X4" s="4">
        <v>0</v>
      </c>
      <c r="Z4" s="4">
        <f t="shared" ref="Z4:Z21" si="2">Y4+W4</f>
        <v>0</v>
      </c>
      <c r="AA4" s="4">
        <v>0</v>
      </c>
    </row>
    <row r="5" spans="1:27">
      <c r="A5" s="331" t="s">
        <v>75</v>
      </c>
      <c r="B5" s="107">
        <v>3.0797797121220299E-2</v>
      </c>
      <c r="C5" s="173">
        <f t="shared" si="0"/>
        <v>1.0307977971212203</v>
      </c>
      <c r="D5" s="342" t="s">
        <v>111</v>
      </c>
      <c r="E5" s="107">
        <v>-0.01</v>
      </c>
      <c r="F5" s="40"/>
      <c r="G5" s="328" t="s">
        <v>75</v>
      </c>
      <c r="H5" s="91">
        <v>123890167036.5</v>
      </c>
      <c r="I5" s="86">
        <f>(H5/H4)-1</f>
        <v>0</v>
      </c>
      <c r="J5" s="86">
        <f t="shared" ref="J5:J36" si="3">LN(I5+1)</f>
        <v>0</v>
      </c>
      <c r="K5" s="89">
        <f t="shared" ref="K5:K36" si="4">J5+1</f>
        <v>1</v>
      </c>
      <c r="L5" s="341" t="s">
        <v>111</v>
      </c>
      <c r="M5" s="90"/>
      <c r="N5" s="342" t="s">
        <v>111</v>
      </c>
      <c r="Q5" s="4">
        <f t="shared" si="1"/>
        <v>0</v>
      </c>
      <c r="U5" s="173"/>
      <c r="X5" s="4">
        <v>0</v>
      </c>
      <c r="Z5" s="4">
        <f t="shared" si="2"/>
        <v>0</v>
      </c>
      <c r="AA5" s="4">
        <v>0</v>
      </c>
    </row>
    <row r="6" spans="1:27">
      <c r="A6" s="331" t="s">
        <v>76</v>
      </c>
      <c r="B6" s="107">
        <v>3.0797797121220299E-2</v>
      </c>
      <c r="C6" s="339">
        <f t="shared" si="0"/>
        <v>1.0307977971212203</v>
      </c>
      <c r="D6" s="342" t="s">
        <v>112</v>
      </c>
      <c r="E6" s="107">
        <v>0.16400000000000001</v>
      </c>
      <c r="F6" s="40"/>
      <c r="G6" s="328" t="s">
        <v>76</v>
      </c>
      <c r="H6" s="91">
        <v>123890167036.5</v>
      </c>
      <c r="I6" s="86">
        <f>(H6/H5)-1</f>
        <v>0</v>
      </c>
      <c r="J6" s="86">
        <f t="shared" si="3"/>
        <v>0</v>
      </c>
      <c r="K6" s="89">
        <f t="shared" si="4"/>
        <v>1</v>
      </c>
      <c r="L6" s="341" t="s">
        <v>112</v>
      </c>
      <c r="M6" s="90"/>
      <c r="N6" s="342" t="s">
        <v>112</v>
      </c>
      <c r="Q6" s="4">
        <f t="shared" si="1"/>
        <v>0</v>
      </c>
      <c r="U6" s="173"/>
      <c r="X6" s="4">
        <v>0</v>
      </c>
      <c r="Z6" s="4">
        <f t="shared" si="2"/>
        <v>0</v>
      </c>
      <c r="AA6" s="4">
        <v>0</v>
      </c>
    </row>
    <row r="7" spans="1:27">
      <c r="A7" s="331" t="s">
        <v>77</v>
      </c>
      <c r="B7" s="107">
        <v>3.0797797121220299E-2</v>
      </c>
      <c r="C7" s="339">
        <f t="shared" si="0"/>
        <v>1.0307977971212203</v>
      </c>
      <c r="D7" s="342" t="s">
        <v>113</v>
      </c>
      <c r="E7" s="107">
        <v>0.11799999999999999</v>
      </c>
      <c r="F7" s="40"/>
      <c r="G7" s="328" t="s">
        <v>77</v>
      </c>
      <c r="H7" s="45">
        <v>136238134063</v>
      </c>
      <c r="I7" s="86">
        <f>(H7/H6)-1</f>
        <v>9.9668660732873837E-2</v>
      </c>
      <c r="J7" s="86">
        <f t="shared" si="3"/>
        <v>9.5008916913647698E-2</v>
      </c>
      <c r="K7" s="86">
        <f t="shared" si="4"/>
        <v>1.0950089169136477</v>
      </c>
      <c r="L7" s="341" t="s">
        <v>113</v>
      </c>
      <c r="M7" s="90"/>
      <c r="N7" s="342" t="s">
        <v>113</v>
      </c>
      <c r="Q7" s="4">
        <f t="shared" si="1"/>
        <v>0</v>
      </c>
      <c r="U7" s="173"/>
      <c r="X7" s="4">
        <v>0</v>
      </c>
      <c r="Z7" s="4">
        <f t="shared" si="2"/>
        <v>0</v>
      </c>
      <c r="AA7" s="4">
        <v>0</v>
      </c>
    </row>
    <row r="8" spans="1:27">
      <c r="A8" s="331" t="s">
        <v>70</v>
      </c>
      <c r="B8" s="107">
        <v>2.4113687777131201E-2</v>
      </c>
      <c r="C8" s="339">
        <f t="shared" si="0"/>
        <v>1.0241136877771313</v>
      </c>
      <c r="D8" s="342" t="s">
        <v>114</v>
      </c>
      <c r="E8" s="107">
        <v>0.11899999999999999</v>
      </c>
      <c r="F8" s="40"/>
      <c r="G8" s="328" t="s">
        <v>70</v>
      </c>
      <c r="H8" s="45">
        <v>138967911292.95001</v>
      </c>
      <c r="I8" s="86">
        <f>(H8/H7)-1</f>
        <v>2.0036807232604259E-2</v>
      </c>
      <c r="J8" s="86">
        <f t="shared" si="3"/>
        <v>1.983871216727396E-2</v>
      </c>
      <c r="K8" s="89">
        <f t="shared" si="4"/>
        <v>1.0198387121672741</v>
      </c>
      <c r="L8" s="341" t="s">
        <v>114</v>
      </c>
      <c r="M8" s="90"/>
      <c r="N8" s="342" t="s">
        <v>114</v>
      </c>
      <c r="Q8" s="4">
        <f t="shared" si="1"/>
        <v>0</v>
      </c>
      <c r="U8" s="173"/>
      <c r="X8" s="4">
        <v>0</v>
      </c>
      <c r="Z8" s="4">
        <f t="shared" si="2"/>
        <v>0</v>
      </c>
      <c r="AA8" s="4">
        <v>0</v>
      </c>
    </row>
    <row r="9" spans="1:27">
      <c r="A9" s="331" t="s">
        <v>71</v>
      </c>
      <c r="B9" s="107">
        <v>2.4113687777131201E-2</v>
      </c>
      <c r="C9" s="227">
        <f>B9+1</f>
        <v>1.0241136877771313</v>
      </c>
      <c r="D9" s="342" t="s">
        <v>115</v>
      </c>
      <c r="E9" s="107">
        <v>0.129</v>
      </c>
      <c r="F9" s="107">
        <f>SUM(B4:B7)</f>
        <v>0.1231911884848812</v>
      </c>
      <c r="G9" s="328" t="s">
        <v>71</v>
      </c>
      <c r="H9" s="45">
        <v>141220975857.12</v>
      </c>
      <c r="I9" s="86">
        <f>(H9/H8)-1</f>
        <v>1.6212840383132976E-2</v>
      </c>
      <c r="J9" s="86">
        <f t="shared" si="3"/>
        <v>1.6082815782700273E-2</v>
      </c>
      <c r="K9" s="89">
        <f t="shared" si="4"/>
        <v>1.0160828157827002</v>
      </c>
      <c r="L9" s="341" t="s">
        <v>115</v>
      </c>
      <c r="M9" s="90"/>
      <c r="N9" s="342" t="s">
        <v>115</v>
      </c>
      <c r="Q9" s="4">
        <f t="shared" si="1"/>
        <v>0</v>
      </c>
      <c r="U9" s="173"/>
      <c r="X9" s="4">
        <v>0</v>
      </c>
      <c r="Z9" s="4">
        <f t="shared" si="2"/>
        <v>0</v>
      </c>
      <c r="AA9" s="4">
        <v>0</v>
      </c>
    </row>
    <row r="10" spans="1:27">
      <c r="A10" s="331" t="s">
        <v>72</v>
      </c>
      <c r="B10" s="107">
        <v>2.4113687777131201E-2</v>
      </c>
      <c r="C10" s="339">
        <f t="shared" si="0"/>
        <v>1.0241136877771313</v>
      </c>
      <c r="D10" s="342" t="s">
        <v>116</v>
      </c>
      <c r="E10" s="107">
        <v>0.1</v>
      </c>
      <c r="F10" s="107">
        <f>SUM(B8:B11)</f>
        <v>9.6454751108524805E-2</v>
      </c>
      <c r="G10" s="328" t="s">
        <v>72</v>
      </c>
      <c r="H10" s="45">
        <v>137284368553.32001</v>
      </c>
      <c r="I10" s="86">
        <f t="shared" ref="I10:I36" si="5">(H10/H9)-1</f>
        <v>-2.7875514100559995E-2</v>
      </c>
      <c r="J10" s="86">
        <f t="shared" si="3"/>
        <v>-2.8271410809201144E-2</v>
      </c>
      <c r="K10" s="89">
        <f t="shared" si="4"/>
        <v>0.97172858919079885</v>
      </c>
      <c r="L10" s="341" t="s">
        <v>116</v>
      </c>
      <c r="M10" s="40">
        <f>(K8*K9*K10*K11)-1</f>
        <v>7.906023211326807E-2</v>
      </c>
      <c r="N10" s="342" t="s">
        <v>116</v>
      </c>
      <c r="Q10" s="4">
        <f t="shared" si="1"/>
        <v>0</v>
      </c>
      <c r="U10" s="173"/>
      <c r="X10" s="4">
        <v>0</v>
      </c>
      <c r="Z10" s="4">
        <f t="shared" si="2"/>
        <v>0</v>
      </c>
      <c r="AA10" s="4">
        <v>0</v>
      </c>
    </row>
    <row r="11" spans="1:27">
      <c r="A11" s="331" t="s">
        <v>73</v>
      </c>
      <c r="B11" s="107">
        <v>2.4113687777131201E-2</v>
      </c>
      <c r="C11" s="339">
        <f t="shared" si="0"/>
        <v>1.0241136877771313</v>
      </c>
      <c r="D11" s="342" t="s">
        <v>117</v>
      </c>
      <c r="E11" s="107">
        <v>3.2000000000000001E-2</v>
      </c>
      <c r="F11" s="107">
        <f>SUM(B12:B15)</f>
        <v>3.1394096181335082E-2</v>
      </c>
      <c r="G11" s="328" t="s">
        <v>73</v>
      </c>
      <c r="H11" s="45">
        <v>147477072347.98999</v>
      </c>
      <c r="I11" s="86">
        <f t="shared" si="5"/>
        <v>7.4245188305697152E-2</v>
      </c>
      <c r="J11" s="86">
        <f t="shared" si="3"/>
        <v>7.1618264543268612E-2</v>
      </c>
      <c r="K11" s="89">
        <f t="shared" si="4"/>
        <v>1.0716182645432686</v>
      </c>
      <c r="L11" s="341" t="s">
        <v>117</v>
      </c>
      <c r="M11" s="40">
        <f>(K12*K13*K14*K15)-1</f>
        <v>1.7748364050632848E-2</v>
      </c>
      <c r="N11" s="342" t="s">
        <v>117</v>
      </c>
      <c r="Q11" s="4">
        <f t="shared" si="1"/>
        <v>0</v>
      </c>
      <c r="U11" s="173"/>
      <c r="X11" s="4">
        <v>0</v>
      </c>
      <c r="Z11" s="4">
        <f t="shared" si="2"/>
        <v>0</v>
      </c>
      <c r="AA11" s="4">
        <v>0</v>
      </c>
    </row>
    <row r="12" spans="1:27">
      <c r="A12" s="331" t="s">
        <v>59</v>
      </c>
      <c r="B12" s="107">
        <v>7.8485240453337705E-3</v>
      </c>
      <c r="C12" s="339">
        <f t="shared" si="0"/>
        <v>1.0078485240453339</v>
      </c>
      <c r="D12" s="342" t="s">
        <v>118</v>
      </c>
      <c r="E12" s="107">
        <v>-7.0000000000000001E-3</v>
      </c>
      <c r="F12" s="107">
        <f>SUM(B16:B19)</f>
        <v>-3.1537638492082909E-3</v>
      </c>
      <c r="G12" s="328" t="s">
        <v>59</v>
      </c>
      <c r="H12" s="45">
        <v>151393779855.84</v>
      </c>
      <c r="I12" s="86">
        <f t="shared" si="5"/>
        <v>2.6558077438695316E-2</v>
      </c>
      <c r="J12" s="86">
        <f t="shared" si="3"/>
        <v>2.6211533994923472E-2</v>
      </c>
      <c r="K12" s="89">
        <f t="shared" si="4"/>
        <v>1.0262115339949234</v>
      </c>
      <c r="L12" s="341" t="s">
        <v>118</v>
      </c>
      <c r="M12" s="40">
        <f>(K16*K17*K18*K19)-1</f>
        <v>-2.2903405147651101E-2</v>
      </c>
      <c r="N12" s="342" t="s">
        <v>118</v>
      </c>
      <c r="Q12" s="4">
        <f t="shared" si="1"/>
        <v>0</v>
      </c>
      <c r="U12" s="173"/>
      <c r="X12" s="4">
        <v>0</v>
      </c>
      <c r="Z12" s="4">
        <f t="shared" si="2"/>
        <v>0</v>
      </c>
      <c r="AA12" s="4">
        <v>0</v>
      </c>
    </row>
    <row r="13" spans="1:27">
      <c r="A13" s="331" t="s">
        <v>60</v>
      </c>
      <c r="B13" s="107">
        <v>7.8485240453337705E-3</v>
      </c>
      <c r="C13" s="339">
        <f t="shared" si="0"/>
        <v>1.0078485240453339</v>
      </c>
      <c r="D13" s="342">
        <v>2002</v>
      </c>
      <c r="E13" s="107">
        <v>-7.1999999999999995E-2</v>
      </c>
      <c r="F13" s="107">
        <f>SUM(B20:B23)</f>
        <v>-7.079126024068691E-2</v>
      </c>
      <c r="G13" s="328" t="s">
        <v>60</v>
      </c>
      <c r="H13" s="45">
        <v>150645862570.75</v>
      </c>
      <c r="I13" s="86">
        <f t="shared" si="5"/>
        <v>-4.9402114525588514E-3</v>
      </c>
      <c r="J13" s="86">
        <f t="shared" si="3"/>
        <v>-4.9524546364123042E-3</v>
      </c>
      <c r="K13" s="89">
        <f t="shared" si="4"/>
        <v>0.99504754536358775</v>
      </c>
      <c r="L13" s="341">
        <v>2002</v>
      </c>
      <c r="M13" s="40">
        <f>(K20*K21*K22*K23)-1</f>
        <v>-8.3378891628112184E-2</v>
      </c>
      <c r="N13" s="342">
        <v>2002</v>
      </c>
      <c r="Q13" s="4">
        <f>O13-P13</f>
        <v>0</v>
      </c>
      <c r="R13" s="4" t="e">
        <f t="shared" ref="R13:R26" si="6">P13/Q13</f>
        <v>#DIV/0!</v>
      </c>
      <c r="U13" s="173"/>
      <c r="X13" s="4">
        <v>0</v>
      </c>
      <c r="Z13" s="4">
        <f t="shared" si="2"/>
        <v>0</v>
      </c>
      <c r="AA13" s="4">
        <v>0</v>
      </c>
    </row>
    <row r="14" spans="1:27">
      <c r="A14" s="331" t="s">
        <v>61</v>
      </c>
      <c r="B14" s="107">
        <v>7.8485240453337705E-3</v>
      </c>
      <c r="C14" s="339">
        <f t="shared" si="0"/>
        <v>1.0078485240453339</v>
      </c>
      <c r="D14" s="342" t="s">
        <v>119</v>
      </c>
      <c r="E14" s="107">
        <v>0.11</v>
      </c>
      <c r="F14" s="107">
        <f>SUM(B24:B27)</f>
        <v>0.1080806279995325</v>
      </c>
      <c r="G14" s="328" t="s">
        <v>61</v>
      </c>
      <c r="H14" s="45">
        <v>152284227549.48001</v>
      </c>
      <c r="I14" s="86">
        <f t="shared" si="5"/>
        <v>1.0875605547816303E-2</v>
      </c>
      <c r="J14" s="86">
        <f t="shared" si="3"/>
        <v>1.0816891466998595E-2</v>
      </c>
      <c r="K14" s="89">
        <f t="shared" si="4"/>
        <v>1.0108168914669986</v>
      </c>
      <c r="L14" s="341" t="s">
        <v>119</v>
      </c>
      <c r="M14" s="40">
        <f>(K24*K25*K26*K27)-1</f>
        <v>0.10283715299801544</v>
      </c>
      <c r="N14" s="342" t="s">
        <v>119</v>
      </c>
      <c r="O14" s="4">
        <f>(41.73+0.289)*1000</f>
        <v>42019</v>
      </c>
      <c r="Q14" s="4">
        <f t="shared" ref="Q14:Q26" si="7">(O14-P14)</f>
        <v>42019</v>
      </c>
      <c r="R14" s="4">
        <f t="shared" si="6"/>
        <v>0</v>
      </c>
      <c r="U14" s="173"/>
      <c r="X14" s="4">
        <v>0</v>
      </c>
      <c r="Z14" s="4">
        <f t="shared" si="2"/>
        <v>0</v>
      </c>
      <c r="AA14" s="4">
        <v>0</v>
      </c>
    </row>
    <row r="15" spans="1:27">
      <c r="A15" s="331" t="s">
        <v>62</v>
      </c>
      <c r="B15" s="107">
        <v>7.8485240453337705E-3</v>
      </c>
      <c r="C15" s="339">
        <f t="shared" si="0"/>
        <v>1.0078485240453339</v>
      </c>
      <c r="D15" s="342">
        <v>2004</v>
      </c>
      <c r="E15" s="107">
        <v>0.112</v>
      </c>
      <c r="F15" s="107">
        <f>SUM(B28:B31)</f>
        <v>0.10865108258471143</v>
      </c>
      <c r="G15" s="328" t="s">
        <v>62</v>
      </c>
      <c r="H15" s="45">
        <v>150170608728.87</v>
      </c>
      <c r="I15" s="86">
        <f t="shared" si="5"/>
        <v>-1.3879433573797173E-2</v>
      </c>
      <c r="J15" s="86">
        <f t="shared" si="3"/>
        <v>-1.3976653532165441E-2</v>
      </c>
      <c r="K15" s="89">
        <f t="shared" si="4"/>
        <v>0.98602334646783452</v>
      </c>
      <c r="L15" s="341">
        <v>2004</v>
      </c>
      <c r="M15" s="40">
        <f>(K28*K29*K30*K31)-1</f>
        <v>0.11336925354879401</v>
      </c>
      <c r="N15" s="342">
        <v>2004</v>
      </c>
      <c r="O15" s="193">
        <f>(169.196+1.164)*1000</f>
        <v>170359.99999999997</v>
      </c>
      <c r="P15" s="193">
        <f>2.309*1000</f>
        <v>2309</v>
      </c>
      <c r="Q15" s="4">
        <f t="shared" si="7"/>
        <v>168050.99999999997</v>
      </c>
      <c r="R15" s="4">
        <f t="shared" si="6"/>
        <v>1.3739876585084292E-2</v>
      </c>
      <c r="U15" s="173">
        <f>(Q15-(T15-T14))/Q14-1</f>
        <v>2.9994050310573783</v>
      </c>
      <c r="V15" s="4">
        <f>LN(U15+1)</f>
        <v>1.3861456078210117</v>
      </c>
      <c r="X15" s="4">
        <v>0</v>
      </c>
      <c r="Z15" s="4">
        <f t="shared" si="2"/>
        <v>0</v>
      </c>
      <c r="AA15" s="4">
        <v>0</v>
      </c>
    </row>
    <row r="16" spans="1:27">
      <c r="A16" s="331" t="s">
        <v>63</v>
      </c>
      <c r="B16" s="107">
        <v>-1.5053294593090299E-2</v>
      </c>
      <c r="C16" s="339">
        <f t="shared" si="0"/>
        <v>0.98494670540690965</v>
      </c>
      <c r="D16" s="342" t="s">
        <v>120</v>
      </c>
      <c r="E16" s="107">
        <v>0.128</v>
      </c>
      <c r="F16" s="107">
        <f>SUM(B32:B35)</f>
        <v>0.12258387573723489</v>
      </c>
      <c r="G16" s="328" t="s">
        <v>63</v>
      </c>
      <c r="H16" s="45">
        <v>147380877340.85001</v>
      </c>
      <c r="I16" s="86">
        <f t="shared" si="5"/>
        <v>-1.8577079840282118E-2</v>
      </c>
      <c r="J16" s="86">
        <f t="shared" si="3"/>
        <v>-1.8751801044617107E-2</v>
      </c>
      <c r="K16" s="89">
        <f t="shared" si="4"/>
        <v>0.98124819895538284</v>
      </c>
      <c r="L16" s="341" t="s">
        <v>120</v>
      </c>
      <c r="M16" s="40">
        <f>(K32*K33*K34*K35)-1</f>
        <v>0.13128833938131645</v>
      </c>
      <c r="N16" s="342" t="s">
        <v>120</v>
      </c>
      <c r="O16" s="4">
        <f>(190.215+30.975+13.793+0.093+0.61+0.472)*1000</f>
        <v>236158.00000000003</v>
      </c>
      <c r="P16" s="4">
        <f>(41.965+0.272+1.839+1.191+0.276)*1000</f>
        <v>45543.000000000007</v>
      </c>
      <c r="Q16" s="4">
        <f t="shared" si="7"/>
        <v>190615.00000000003</v>
      </c>
      <c r="R16" s="4">
        <f t="shared" si="6"/>
        <v>0.23892663221677202</v>
      </c>
      <c r="T16" s="4">
        <f>(6.742+0.329-5.501-0.189)*1000</f>
        <v>1380.9999999999993</v>
      </c>
      <c r="U16" s="173">
        <f>(Q16-(T16-T15))/Q15-1</f>
        <v>0.12605102022600323</v>
      </c>
      <c r="V16" s="4">
        <f t="shared" ref="V16:V25" si="8">LN(U16+1)</f>
        <v>0.11871683972651152</v>
      </c>
      <c r="X16" s="4">
        <v>0</v>
      </c>
      <c r="Z16" s="4">
        <f t="shared" si="2"/>
        <v>0</v>
      </c>
      <c r="AA16" s="4">
        <v>0</v>
      </c>
    </row>
    <row r="17" spans="1:27">
      <c r="A17" s="331" t="s">
        <v>64</v>
      </c>
      <c r="B17" s="107">
        <v>2.4728834678657701E-2</v>
      </c>
      <c r="C17" s="339">
        <f t="shared" si="0"/>
        <v>1.0247288346786576</v>
      </c>
      <c r="D17" s="342" t="s">
        <v>121</v>
      </c>
      <c r="E17" s="107">
        <v>9.5000000000000001E-2</v>
      </c>
      <c r="F17" s="107">
        <f>SUM(B36:B39)</f>
        <v>9.3200356899274195E-2</v>
      </c>
      <c r="G17" s="328" t="s">
        <v>64</v>
      </c>
      <c r="H17" s="45">
        <v>150620781671.10999</v>
      </c>
      <c r="I17" s="86">
        <f t="shared" si="5"/>
        <v>2.198320697173628E-2</v>
      </c>
      <c r="J17" s="86">
        <f t="shared" si="3"/>
        <v>2.174506011200893E-2</v>
      </c>
      <c r="K17" s="89">
        <f t="shared" si="4"/>
        <v>1.0217450601120088</v>
      </c>
      <c r="L17" s="341" t="s">
        <v>121</v>
      </c>
      <c r="M17" s="40">
        <f>(K36*K37*K38*K39)-1</f>
        <v>9.5855687535209677E-2</v>
      </c>
      <c r="N17" s="342" t="s">
        <v>121</v>
      </c>
      <c r="O17" s="4">
        <f>(207.676+45.238+16.8+0.083+0.795+0.586)*1000</f>
        <v>271178.00000000006</v>
      </c>
      <c r="P17" s="4">
        <f>(53.982+4.904+0.59+0.014+0.586)*1000</f>
        <v>60076</v>
      </c>
      <c r="Q17" s="4">
        <f t="shared" si="7"/>
        <v>211102.00000000006</v>
      </c>
      <c r="R17" s="4">
        <f t="shared" si="6"/>
        <v>0.2845828083106744</v>
      </c>
      <c r="T17" s="4">
        <f>(6.591+0.483-6.087-0.111)*1000</f>
        <v>876.00000000000011</v>
      </c>
      <c r="U17" s="173">
        <f>(Q17-(T17-T16))/Q16-1</f>
        <v>0.11012774440626405</v>
      </c>
      <c r="V17" s="4">
        <f t="shared" si="8"/>
        <v>0.1044750937531547</v>
      </c>
      <c r="W17" s="4">
        <f>(0.085+0.38)*1000</f>
        <v>465</v>
      </c>
      <c r="X17" s="4">
        <v>0</v>
      </c>
      <c r="Y17" s="4">
        <f>0.127*1000</f>
        <v>127</v>
      </c>
      <c r="Z17" s="4">
        <f t="shared" si="2"/>
        <v>592</v>
      </c>
      <c r="AA17" s="4">
        <v>0</v>
      </c>
    </row>
    <row r="18" spans="1:27">
      <c r="A18" s="331" t="s">
        <v>65</v>
      </c>
      <c r="B18" s="107">
        <v>-6.3306387857984994E-2</v>
      </c>
      <c r="C18" s="339">
        <f t="shared" si="0"/>
        <v>0.93669361214201496</v>
      </c>
      <c r="D18" s="342" t="s">
        <v>122</v>
      </c>
      <c r="E18" s="107">
        <v>3.7999999999999999E-2</v>
      </c>
      <c r="F18" s="107">
        <f>SUM(B40:B43)</f>
        <v>3.7492579194132389E-2</v>
      </c>
      <c r="G18" s="328" t="s">
        <v>65</v>
      </c>
      <c r="H18" s="45">
        <v>140666102364.45001</v>
      </c>
      <c r="I18" s="86">
        <f t="shared" si="5"/>
        <v>-6.6091008134565699E-2</v>
      </c>
      <c r="J18" s="86">
        <f t="shared" si="3"/>
        <v>-6.837628461703088E-2</v>
      </c>
      <c r="K18" s="89">
        <f t="shared" si="4"/>
        <v>0.93162371538296918</v>
      </c>
      <c r="L18" s="341" t="s">
        <v>122</v>
      </c>
      <c r="M18" s="40">
        <f>(K40*K41*K42*K43)-1</f>
        <v>3.6720121785409177E-2</v>
      </c>
      <c r="N18" s="342" t="s">
        <v>122</v>
      </c>
      <c r="O18" s="63">
        <f>(225.464+31.424+4.486+20.303+0.274+0.106+0.952+0.419)*1000</f>
        <v>283427.99999999994</v>
      </c>
      <c r="P18" s="63">
        <f>(54.165+9.584+0.018+0.03+0.816+0.002)*1000</f>
        <v>64614.999999999993</v>
      </c>
      <c r="Q18" s="63">
        <f t="shared" si="7"/>
        <v>218812.99999999994</v>
      </c>
      <c r="R18" s="63">
        <f t="shared" si="6"/>
        <v>0.29529781137318173</v>
      </c>
      <c r="S18" s="63"/>
      <c r="T18" s="63">
        <f>(6.693+0.468-6.507-0.175)*1000</f>
        <v>478.99999999999994</v>
      </c>
      <c r="U18" s="108">
        <f t="shared" ref="U18:U25" si="9">(Q18-(T18-T17))/Q17-1</f>
        <v>3.8407973396745954E-2</v>
      </c>
      <c r="V18" s="63">
        <f t="shared" si="8"/>
        <v>3.7688745478988657E-2</v>
      </c>
      <c r="W18" s="63">
        <f>(0.205+0.126)*1000</f>
        <v>330.99999999999994</v>
      </c>
      <c r="X18" s="63">
        <v>0</v>
      </c>
      <c r="Y18" s="63">
        <f>0.152*1000</f>
        <v>152</v>
      </c>
      <c r="Z18" s="63">
        <f t="shared" si="2"/>
        <v>482.99999999999994</v>
      </c>
      <c r="AA18" s="63">
        <v>0</v>
      </c>
    </row>
    <row r="19" spans="1:27">
      <c r="A19" s="331" t="s">
        <v>66</v>
      </c>
      <c r="B19" s="107">
        <v>5.04770839232093E-2</v>
      </c>
      <c r="C19" s="339">
        <f t="shared" si="0"/>
        <v>1.0504770839232094</v>
      </c>
      <c r="D19" s="342" t="s">
        <v>123</v>
      </c>
      <c r="E19" s="107">
        <v>-0.20200000000000001</v>
      </c>
      <c r="F19" s="107">
        <f>SUM(B44:B47)</f>
        <v>-0.21657359105099488</v>
      </c>
      <c r="G19" s="328" t="s">
        <v>66</v>
      </c>
      <c r="H19" s="45">
        <v>147303437129.04999</v>
      </c>
      <c r="I19" s="86">
        <f t="shared" si="5"/>
        <v>4.7185033586865099E-2</v>
      </c>
      <c r="J19" s="86">
        <f t="shared" si="3"/>
        <v>4.6105643673059714E-2</v>
      </c>
      <c r="K19" s="89">
        <f t="shared" si="4"/>
        <v>1.0461056436730598</v>
      </c>
      <c r="L19" s="341" t="s">
        <v>123</v>
      </c>
      <c r="M19" s="40">
        <f>(K44*K45*K46*K47)-1</f>
        <v>-0.21220014296169876</v>
      </c>
      <c r="N19" s="342" t="s">
        <v>123</v>
      </c>
      <c r="O19" s="4">
        <f>(249.294)*1000</f>
        <v>249294</v>
      </c>
      <c r="P19" s="40">
        <f>72.559*1000</f>
        <v>72559</v>
      </c>
      <c r="Q19" s="4">
        <f t="shared" si="7"/>
        <v>176735</v>
      </c>
      <c r="R19" s="4">
        <f t="shared" si="6"/>
        <v>0.41055252213766374</v>
      </c>
      <c r="T19" s="669">
        <f>(7.275+0.554-6.911-0.132)*1000</f>
        <v>786.00000000000102</v>
      </c>
      <c r="U19" s="173">
        <f>(Q19-(T19-T18))/Q18-1</f>
        <v>-0.19370421318660203</v>
      </c>
      <c r="V19" s="4">
        <f>LN(U19+1)</f>
        <v>-0.21530462263856207</v>
      </c>
      <c r="W19" s="4">
        <f>(0.185+0.127)*1000</f>
        <v>312</v>
      </c>
      <c r="X19" s="4">
        <v>0</v>
      </c>
      <c r="Y19" s="4">
        <f>0.208*1000</f>
        <v>208</v>
      </c>
      <c r="Z19" s="4">
        <f t="shared" si="2"/>
        <v>520</v>
      </c>
      <c r="AA19" s="4">
        <v>0</v>
      </c>
    </row>
    <row r="20" spans="1:27">
      <c r="A20" s="331" t="s">
        <v>67</v>
      </c>
      <c r="B20" s="107">
        <v>1.6693118652624302E-2</v>
      </c>
      <c r="C20" s="339">
        <f t="shared" si="0"/>
        <v>1.0166931186526242</v>
      </c>
      <c r="D20" s="342" t="s">
        <v>124</v>
      </c>
      <c r="E20" s="107">
        <v>0.20200000000000001</v>
      </c>
      <c r="F20" s="107">
        <f>SUM(B48:B51)</f>
        <v>0.19506654143401503</v>
      </c>
      <c r="G20" s="328" t="s">
        <v>67</v>
      </c>
      <c r="H20" s="45">
        <v>149159217863.42001</v>
      </c>
      <c r="I20" s="86">
        <f t="shared" si="5"/>
        <v>1.2598353239674953E-2</v>
      </c>
      <c r="J20" s="86">
        <f t="shared" si="3"/>
        <v>1.2519654283017897E-2</v>
      </c>
      <c r="K20" s="89">
        <f t="shared" si="4"/>
        <v>1.0125196542830179</v>
      </c>
      <c r="L20" s="341" t="s">
        <v>124</v>
      </c>
      <c r="M20" s="40">
        <f>(K48*K49*K50*K51)-1</f>
        <v>0.18999869602533193</v>
      </c>
      <c r="N20" s="342" t="s">
        <v>124</v>
      </c>
      <c r="O20" s="31">
        <f>257.269*1000</f>
        <v>257269</v>
      </c>
      <c r="P20" s="4">
        <f>44.85*1000</f>
        <v>44850</v>
      </c>
      <c r="Q20" s="4">
        <f t="shared" si="7"/>
        <v>212419</v>
      </c>
      <c r="R20" s="4">
        <f t="shared" si="6"/>
        <v>0.21113930486444243</v>
      </c>
      <c r="T20" s="40">
        <f>(7.43+0.121-6.898-0.134)*1000</f>
        <v>519.00000000000045</v>
      </c>
      <c r="U20" s="173">
        <f t="shared" si="9"/>
        <v>0.20341754604351148</v>
      </c>
      <c r="V20" s="4">
        <f t="shared" si="8"/>
        <v>0.18516546408963752</v>
      </c>
      <c r="W20" s="4">
        <f>(0.171+0.086+0.5)*1000</f>
        <v>757</v>
      </c>
      <c r="X20" s="4">
        <v>0</v>
      </c>
      <c r="Y20" s="4">
        <f>0.23*1000</f>
        <v>230</v>
      </c>
      <c r="Z20" s="4">
        <f t="shared" si="2"/>
        <v>987</v>
      </c>
      <c r="AA20" s="4">
        <f>0.58*1000</f>
        <v>580</v>
      </c>
    </row>
    <row r="21" spans="1:27">
      <c r="A21" s="331" t="s">
        <v>68</v>
      </c>
      <c r="B21" s="107">
        <v>-5.8467129632802102E-2</v>
      </c>
      <c r="C21" s="339">
        <f t="shared" si="0"/>
        <v>0.9415328703671979</v>
      </c>
      <c r="D21" s="342" t="s">
        <v>125</v>
      </c>
      <c r="E21" s="107">
        <v>0.13500000000000001</v>
      </c>
      <c r="F21" s="107">
        <f>SUM(B52:B55)</f>
        <v>0.13021479934875685</v>
      </c>
      <c r="G21" s="328" t="s">
        <v>68</v>
      </c>
      <c r="H21" s="45">
        <v>140290545463.19</v>
      </c>
      <c r="I21" s="86">
        <f t="shared" si="5"/>
        <v>-5.9457756129767003E-2</v>
      </c>
      <c r="J21" s="86">
        <f t="shared" si="3"/>
        <v>-6.129871485398105E-2</v>
      </c>
      <c r="K21" s="89">
        <f t="shared" si="4"/>
        <v>0.93870128514601892</v>
      </c>
      <c r="L21" s="341" t="s">
        <v>125</v>
      </c>
      <c r="M21" s="40">
        <f>(K52*K53*K54*K55)-1</f>
        <v>0.13626088748119791</v>
      </c>
      <c r="N21" s="342" t="s">
        <v>125</v>
      </c>
      <c r="O21" s="4">
        <f>260.592*1000</f>
        <v>260591.99999999997</v>
      </c>
      <c r="P21" s="4">
        <f>22.995*1000</f>
        <v>22995</v>
      </c>
      <c r="Q21" s="4">
        <f t="shared" si="7"/>
        <v>237596.99999999997</v>
      </c>
      <c r="R21" s="4">
        <f t="shared" si="6"/>
        <v>9.6781525019255299E-2</v>
      </c>
      <c r="T21" s="4">
        <f>(7.914+0.458-7.23-0.079)*1000</f>
        <v>1062.9999999999995</v>
      </c>
      <c r="U21" s="173">
        <f t="shared" si="9"/>
        <v>0.11596891050235603</v>
      </c>
      <c r="V21" s="4">
        <f t="shared" si="8"/>
        <v>0.10972300559827941</v>
      </c>
      <c r="W21" s="4">
        <f>(0.676+0.6)*1000</f>
        <v>1276</v>
      </c>
      <c r="X21" s="4">
        <v>0</v>
      </c>
      <c r="Y21" s="4">
        <f>(1.627*1000)-W21</f>
        <v>351</v>
      </c>
      <c r="Z21" s="4">
        <f t="shared" si="2"/>
        <v>1627</v>
      </c>
      <c r="AA21" s="4">
        <f>0.57*1000</f>
        <v>570</v>
      </c>
    </row>
    <row r="22" spans="1:27">
      <c r="A22" s="331" t="s">
        <v>69</v>
      </c>
      <c r="B22" s="107">
        <v>-5.1537168802297903E-2</v>
      </c>
      <c r="C22" s="339">
        <f t="shared" si="0"/>
        <v>0.94846283119770214</v>
      </c>
      <c r="D22" s="342" t="s">
        <v>126</v>
      </c>
      <c r="E22" s="107">
        <v>3.3000000000000002E-2</v>
      </c>
      <c r="F22" s="107">
        <f>SUM(B56:B59)</f>
        <v>3.4107997760173273E-2</v>
      </c>
      <c r="G22" s="328" t="s">
        <v>69</v>
      </c>
      <c r="H22" s="45">
        <v>132792391132.02</v>
      </c>
      <c r="I22" s="86">
        <f t="shared" si="5"/>
        <v>-5.3447324667629803E-2</v>
      </c>
      <c r="J22" s="86">
        <f t="shared" si="3"/>
        <v>-5.4928657126567332E-2</v>
      </c>
      <c r="K22" s="89">
        <f t="shared" si="4"/>
        <v>0.94507134287343264</v>
      </c>
      <c r="L22" s="341" t="s">
        <v>126</v>
      </c>
      <c r="M22" s="40">
        <f>(K56*K57*K58*K59)-1</f>
        <v>3.543115242839745E-2</v>
      </c>
      <c r="N22" s="342" t="s">
        <v>126</v>
      </c>
      <c r="O22" s="4">
        <f>267.918*1000</f>
        <v>267918</v>
      </c>
      <c r="P22" s="4">
        <f>21.373*1000</f>
        <v>21373</v>
      </c>
      <c r="Q22" s="4">
        <f t="shared" si="7"/>
        <v>246545</v>
      </c>
      <c r="R22" s="4">
        <f t="shared" si="6"/>
        <v>8.6690056581962729E-2</v>
      </c>
      <c r="T22" s="4">
        <f>(8.293+1.129-7.684-0.169)*1000</f>
        <v>1568.9999999999986</v>
      </c>
      <c r="U22" s="173">
        <f t="shared" si="9"/>
        <v>3.5530751650904913E-2</v>
      </c>
      <c r="V22" s="4">
        <f t="shared" si="8"/>
        <v>3.4914098805980807E-2</v>
      </c>
      <c r="W22" s="4">
        <f>(0.454+0.729)*1000</f>
        <v>1183</v>
      </c>
      <c r="X22" s="4">
        <f>0.245*1000</f>
        <v>245</v>
      </c>
      <c r="Y22" s="4">
        <f>(1.627*1000)-W22</f>
        <v>444</v>
      </c>
      <c r="Z22" s="4">
        <f>Y22+X22+W22</f>
        <v>1872</v>
      </c>
      <c r="AA22" s="4">
        <f>0.454*1000</f>
        <v>454</v>
      </c>
    </row>
    <row r="23" spans="1:27">
      <c r="A23" s="331" t="s">
        <v>58</v>
      </c>
      <c r="B23" s="107">
        <v>2.2519919541788801E-2</v>
      </c>
      <c r="C23" s="339">
        <f t="shared" si="0"/>
        <v>1.0225199195417889</v>
      </c>
      <c r="D23" s="342" t="s">
        <v>127</v>
      </c>
      <c r="E23" s="107">
        <v>0.13700000000000001</v>
      </c>
      <c r="F23" s="107">
        <f>SUM(B60:B63)</f>
        <v>0.13158915737649363</v>
      </c>
      <c r="G23" s="328" t="s">
        <v>58</v>
      </c>
      <c r="H23" s="45">
        <v>135536798412.37</v>
      </c>
      <c r="I23" s="86">
        <f t="shared" si="5"/>
        <v>2.0666901596956277E-2</v>
      </c>
      <c r="J23" s="86">
        <f t="shared" si="3"/>
        <v>2.045623874072906E-2</v>
      </c>
      <c r="K23" s="89">
        <f t="shared" si="4"/>
        <v>1.020456238740729</v>
      </c>
      <c r="L23" s="341" t="s">
        <v>127</v>
      </c>
      <c r="M23" s="40">
        <f>(K60*K61*K62*K63)-1</f>
        <v>0.13879315998625419</v>
      </c>
      <c r="N23" s="342" t="s">
        <v>127</v>
      </c>
      <c r="O23" s="40">
        <f>314.916*1000</f>
        <v>314916</v>
      </c>
      <c r="P23" s="40">
        <f>33.342*1000</f>
        <v>33342</v>
      </c>
      <c r="Q23" s="4">
        <f t="shared" si="7"/>
        <v>281574</v>
      </c>
      <c r="R23" s="4">
        <f t="shared" si="6"/>
        <v>0.1184129216475953</v>
      </c>
      <c r="S23" s="40">
        <v>34.094000000000001</v>
      </c>
      <c r="T23" s="4">
        <f>(9.073+0.623-8.247-0.004)*1000</f>
        <v>1444.9999999999998</v>
      </c>
      <c r="U23" s="173">
        <f t="shared" si="9"/>
        <v>0.14258249001196543</v>
      </c>
      <c r="V23" s="4">
        <f t="shared" si="8"/>
        <v>0.13329104250321594</v>
      </c>
      <c r="W23" s="4">
        <f>(0.757+0.674)*1000</f>
        <v>1431</v>
      </c>
      <c r="X23" s="4">
        <f>0.155*1000</f>
        <v>155</v>
      </c>
      <c r="Y23" s="4">
        <f>(1.233-0.757)*1000</f>
        <v>476.00000000000011</v>
      </c>
      <c r="Z23" s="4">
        <f>Y23+W23+X23</f>
        <v>2062</v>
      </c>
      <c r="AA23" s="4">
        <f>0.674*1000</f>
        <v>674</v>
      </c>
    </row>
    <row r="24" spans="1:27">
      <c r="A24" s="331" t="s">
        <v>57</v>
      </c>
      <c r="B24" s="107">
        <v>-1.9097453219927899E-2</v>
      </c>
      <c r="C24" s="339">
        <f t="shared" si="0"/>
        <v>0.98090254678007205</v>
      </c>
      <c r="D24" s="342" t="s">
        <v>128</v>
      </c>
      <c r="E24" s="107">
        <v>6.2E-2</v>
      </c>
      <c r="F24" s="107">
        <f>SUM(B64:B67)</f>
        <v>6.1446825188221393E-2</v>
      </c>
      <c r="G24" s="328" t="s">
        <v>57</v>
      </c>
      <c r="H24" s="45">
        <v>132582733284.14</v>
      </c>
      <c r="I24" s="86">
        <f t="shared" si="5"/>
        <v>-2.1795299600055995E-2</v>
      </c>
      <c r="J24" s="86">
        <f t="shared" si="3"/>
        <v>-2.2036325736161599E-2</v>
      </c>
      <c r="K24" s="89">
        <f t="shared" si="4"/>
        <v>0.97796367426383846</v>
      </c>
      <c r="L24" s="341" t="s">
        <v>128</v>
      </c>
      <c r="M24" s="40">
        <f>(K64*K65*K66*K67)-1</f>
        <v>6.7620561872470786E-2</v>
      </c>
      <c r="N24" s="342" t="s">
        <v>128</v>
      </c>
      <c r="O24" s="4">
        <f>325.232*1000</f>
        <v>325232</v>
      </c>
      <c r="P24" s="40">
        <f>24.354*1000</f>
        <v>24354</v>
      </c>
      <c r="Q24" s="4">
        <f t="shared" si="7"/>
        <v>300878</v>
      </c>
      <c r="R24" s="4">
        <f t="shared" si="6"/>
        <v>8.0943106508285748E-2</v>
      </c>
      <c r="S24" s="40">
        <v>17.536000000000001</v>
      </c>
      <c r="T24" s="669">
        <f>(9.998+0.796-8.757-0.136)*1000</f>
        <v>1900.9999999999989</v>
      </c>
      <c r="U24" s="173">
        <f t="shared" si="9"/>
        <v>6.6937998536796828E-2</v>
      </c>
      <c r="V24" s="4">
        <f t="shared" si="8"/>
        <v>6.4792862418332278E-2</v>
      </c>
      <c r="W24" s="4">
        <f>(0.919+0.761)*1000</f>
        <v>1680.0000000000002</v>
      </c>
      <c r="X24" s="4">
        <f>0.198*1000</f>
        <v>198</v>
      </c>
      <c r="Y24" s="4">
        <f>(1.264-0.761)*1000</f>
        <v>503</v>
      </c>
      <c r="Z24" s="4">
        <f>Y24+W24+X24</f>
        <v>2381</v>
      </c>
      <c r="AA24" s="4">
        <f>0.919*1000</f>
        <v>919</v>
      </c>
    </row>
    <row r="25" spans="1:27">
      <c r="A25" s="331" t="s">
        <v>56</v>
      </c>
      <c r="B25" s="107">
        <v>6.6316525676841195E-2</v>
      </c>
      <c r="C25" s="339">
        <f t="shared" si="0"/>
        <v>1.0663165256768412</v>
      </c>
      <c r="D25" s="342" t="s">
        <v>129</v>
      </c>
      <c r="E25" s="107">
        <v>0.14499999999999999</v>
      </c>
      <c r="F25" s="107">
        <f>SUM(B68:B71)</f>
        <v>0.13795045529224559</v>
      </c>
      <c r="G25" s="328" t="s">
        <v>56</v>
      </c>
      <c r="H25" s="45">
        <v>141319427685.17001</v>
      </c>
      <c r="I25" s="86">
        <f t="shared" si="5"/>
        <v>6.5896170524002429E-2</v>
      </c>
      <c r="J25" s="86">
        <f t="shared" si="3"/>
        <v>6.3815919990487857E-2</v>
      </c>
      <c r="K25" s="89">
        <f t="shared" si="4"/>
        <v>1.0638159199904877</v>
      </c>
      <c r="L25" s="341" t="s">
        <v>129</v>
      </c>
      <c r="M25" s="40">
        <f>(K68*K69*K70*K71)-1</f>
        <v>0.14578473970177552</v>
      </c>
      <c r="N25" s="342" t="s">
        <v>129</v>
      </c>
      <c r="O25" s="4">
        <f>391.932*1000</f>
        <v>391932</v>
      </c>
      <c r="P25" s="40">
        <f>47.144*1000</f>
        <v>47144</v>
      </c>
      <c r="Q25" s="4">
        <f t="shared" si="7"/>
        <v>344788</v>
      </c>
      <c r="R25" s="4">
        <f t="shared" si="6"/>
        <v>0.13673329698249359</v>
      </c>
      <c r="S25" s="40">
        <v>44.895000000000003</v>
      </c>
      <c r="T25" s="4">
        <f>(8.535+1.67-9.396-0.255)*1000</f>
        <v>553.99999999999932</v>
      </c>
      <c r="U25" s="173">
        <f t="shared" si="9"/>
        <v>0.1504164478625889</v>
      </c>
      <c r="V25" s="4">
        <f t="shared" si="8"/>
        <v>0.14012400539859532</v>
      </c>
      <c r="W25" s="4">
        <f>(1.05+0.793)*1000</f>
        <v>1843</v>
      </c>
      <c r="X25" s="4">
        <f>0.171*1000</f>
        <v>171</v>
      </c>
      <c r="Y25" s="4">
        <f>(2.365*1000)-W25</f>
        <v>522</v>
      </c>
      <c r="Z25" s="4">
        <f>W25+X25+Y25</f>
        <v>2536</v>
      </c>
      <c r="AA25" s="4">
        <f>1.05*1000</f>
        <v>1050</v>
      </c>
    </row>
    <row r="26" spans="1:27">
      <c r="A26" s="331" t="s">
        <v>55</v>
      </c>
      <c r="B26" s="107">
        <v>1.8350570878345001E-2</v>
      </c>
      <c r="C26" s="339">
        <f t="shared" si="0"/>
        <v>1.0183505708783449</v>
      </c>
      <c r="D26" s="342">
        <v>2015</v>
      </c>
      <c r="E26" s="107">
        <v>2.7E-2</v>
      </c>
      <c r="F26" s="107">
        <f>SUM(B72:B75)</f>
        <v>3.2243592794572402E-2</v>
      </c>
      <c r="G26" s="328" t="s">
        <v>55</v>
      </c>
      <c r="H26" s="45">
        <v>143856073787.17999</v>
      </c>
      <c r="I26" s="86">
        <f t="shared" si="5"/>
        <v>1.7949733759615061E-2</v>
      </c>
      <c r="J26" s="86">
        <f t="shared" si="3"/>
        <v>1.7790539462874136E-2</v>
      </c>
      <c r="K26" s="89">
        <f t="shared" si="4"/>
        <v>1.0177905394628741</v>
      </c>
      <c r="L26" s="341">
        <v>2015</v>
      </c>
      <c r="M26" s="40">
        <f>(K72*K73*K74*K75)-1</f>
        <v>1.7076598431636114E-2</v>
      </c>
      <c r="N26" s="342">
        <v>2015</v>
      </c>
      <c r="O26" s="4">
        <f>396.673*1000</f>
        <v>396673</v>
      </c>
      <c r="P26" s="4">
        <f>44.323*1000</f>
        <v>44323</v>
      </c>
      <c r="Q26" s="4">
        <f t="shared" si="7"/>
        <v>352350</v>
      </c>
      <c r="R26" s="4">
        <f t="shared" si="6"/>
        <v>0.12579253583085001</v>
      </c>
      <c r="S26" s="4">
        <v>10.762</v>
      </c>
      <c r="T26" s="4">
        <f>(7.707+0.312-9.911-0.105)*1000</f>
        <v>-1996.9999999999995</v>
      </c>
      <c r="U26" s="173">
        <f>(Q26-(T26-T25))/Q25-1</f>
        <v>2.9331067206515238E-2</v>
      </c>
      <c r="V26" s="4">
        <f>LN(U26+1)</f>
        <v>2.8909141943922061E-2</v>
      </c>
      <c r="W26" s="4">
        <f>(0.739+0.861)*1000</f>
        <v>1600</v>
      </c>
      <c r="X26" s="4">
        <f>0.218*1000</f>
        <v>218</v>
      </c>
      <c r="Y26" s="4">
        <f>(2.163*1000)-W26</f>
        <v>563</v>
      </c>
      <c r="Z26" s="4">
        <f>W26+X26+Y26</f>
        <v>2381</v>
      </c>
      <c r="AA26" s="4">
        <f>0.739*1000</f>
        <v>739</v>
      </c>
    </row>
    <row r="27" spans="1:27">
      <c r="A27" s="331" t="s">
        <v>54</v>
      </c>
      <c r="B27" s="107">
        <v>4.25109846642742E-2</v>
      </c>
      <c r="C27" s="339">
        <f t="shared" si="0"/>
        <v>1.0425109846642742</v>
      </c>
      <c r="D27" s="342">
        <v>2016</v>
      </c>
      <c r="E27" s="107">
        <v>9.5000000000000001E-2</v>
      </c>
      <c r="F27" s="107">
        <f>SUM(B76:B79)</f>
        <v>9.1642279050214395E-2</v>
      </c>
      <c r="G27" s="328" t="s">
        <v>54</v>
      </c>
      <c r="H27" s="45">
        <v>149953327164.31</v>
      </c>
      <c r="I27" s="86">
        <f t="shared" si="5"/>
        <v>4.2384400022971835E-2</v>
      </c>
      <c r="J27" s="86">
        <f t="shared" si="3"/>
        <v>4.1510781274239288E-2</v>
      </c>
      <c r="K27" s="89">
        <f t="shared" si="4"/>
        <v>1.0415107812742392</v>
      </c>
      <c r="L27" s="341">
        <v>2016</v>
      </c>
      <c r="M27" s="40">
        <f>(K76*K77*K78*K79)-1</f>
        <v>8.5502850361131477E-2</v>
      </c>
      <c r="N27" s="342">
        <v>2016</v>
      </c>
      <c r="O27" s="4">
        <v>422310</v>
      </c>
      <c r="P27" s="4">
        <v>39213</v>
      </c>
      <c r="Q27" s="31">
        <f>O27-P27</f>
        <v>383097</v>
      </c>
      <c r="T27" s="670">
        <f>(8.133+0.017-10.296-0.011)*1000</f>
        <v>-2157.0000000000009</v>
      </c>
      <c r="U27" s="173">
        <f>(Q27-(T27-T26))/Q26-1</f>
        <v>8.771675890449826E-2</v>
      </c>
      <c r="V27" s="4">
        <f>LN(U27+1)</f>
        <v>8.4080782652274408E-2</v>
      </c>
      <c r="W27" s="4">
        <f>(0.867+0.808)*1000</f>
        <v>1675</v>
      </c>
      <c r="X27" s="4">
        <f>0.204*1000</f>
        <v>204</v>
      </c>
      <c r="Y27" s="4">
        <f>(2.232*1000)-W27</f>
        <v>557</v>
      </c>
      <c r="Z27" s="4">
        <f>W27+X27+Y27</f>
        <v>2436</v>
      </c>
      <c r="AA27" s="31">
        <f>0.867*1000</f>
        <v>867</v>
      </c>
    </row>
    <row r="28" spans="1:27">
      <c r="A28" s="331" t="s">
        <v>53</v>
      </c>
      <c r="B28" s="107">
        <v>4.2523243235378497E-2</v>
      </c>
      <c r="C28" s="339">
        <f t="shared" si="0"/>
        <v>1.0425232432353786</v>
      </c>
      <c r="D28" s="340"/>
      <c r="E28" s="40"/>
      <c r="F28" s="40"/>
      <c r="G28" s="328" t="s">
        <v>53</v>
      </c>
      <c r="H28" s="45">
        <v>156184269594.20999</v>
      </c>
      <c r="I28" s="86">
        <f t="shared" si="5"/>
        <v>4.1552545366815963E-2</v>
      </c>
      <c r="J28" s="86">
        <f t="shared" si="3"/>
        <v>4.0712432070652463E-2</v>
      </c>
      <c r="K28" s="89">
        <f t="shared" si="4"/>
        <v>1.0407124320706524</v>
      </c>
      <c r="S28" s="4">
        <f>10762+9573-1189</f>
        <v>19146</v>
      </c>
    </row>
    <row r="29" spans="1:27">
      <c r="A29" s="331" t="s">
        <v>52</v>
      </c>
      <c r="B29" s="107">
        <v>-2.9652538386926801E-3</v>
      </c>
      <c r="C29" s="339">
        <f t="shared" si="0"/>
        <v>0.99703474616130727</v>
      </c>
      <c r="D29" s="340"/>
      <c r="E29" s="40"/>
      <c r="F29" s="40"/>
      <c r="G29" s="328" t="s">
        <v>52</v>
      </c>
      <c r="H29" s="45">
        <v>156021498567.38</v>
      </c>
      <c r="I29" s="86">
        <f t="shared" si="5"/>
        <v>-1.0421729874134922E-3</v>
      </c>
      <c r="J29" s="86">
        <f t="shared" si="3"/>
        <v>-1.0427164272863861E-3</v>
      </c>
      <c r="K29" s="89">
        <f t="shared" si="4"/>
        <v>0.99895728357271363</v>
      </c>
      <c r="Z29" s="668"/>
    </row>
    <row r="30" spans="1:27">
      <c r="A30" s="331" t="s">
        <v>51</v>
      </c>
      <c r="B30" s="107">
        <v>2.1071140395562699E-2</v>
      </c>
      <c r="C30" s="339">
        <f t="shared" si="0"/>
        <v>1.0210711403955628</v>
      </c>
      <c r="D30" s="340"/>
      <c r="E30" s="40"/>
      <c r="F30" s="40"/>
      <c r="G30" s="328" t="s">
        <v>51</v>
      </c>
      <c r="H30" s="45">
        <v>159430380371.82999</v>
      </c>
      <c r="I30" s="86">
        <f t="shared" si="5"/>
        <v>2.1848795427239276E-2</v>
      </c>
      <c r="J30" s="86">
        <f t="shared" si="3"/>
        <v>2.1613531156074187E-2</v>
      </c>
      <c r="K30" s="89">
        <f t="shared" si="4"/>
        <v>1.0216135311560741</v>
      </c>
      <c r="O30" s="668"/>
    </row>
    <row r="31" spans="1:27">
      <c r="A31" s="331" t="s">
        <v>50</v>
      </c>
      <c r="B31" s="107">
        <v>4.8021952792462901E-2</v>
      </c>
      <c r="C31" s="339">
        <f t="shared" si="0"/>
        <v>1.0480219527924628</v>
      </c>
      <c r="D31" s="340"/>
      <c r="E31" s="40"/>
      <c r="F31" s="40"/>
      <c r="G31" s="328" t="s">
        <v>50</v>
      </c>
      <c r="H31" s="45">
        <v>167315560359.25</v>
      </c>
      <c r="I31" s="86">
        <f t="shared" si="5"/>
        <v>4.9458453081714371E-2</v>
      </c>
      <c r="J31" s="86">
        <f t="shared" si="3"/>
        <v>4.8274272150229121E-2</v>
      </c>
      <c r="K31" s="89">
        <f t="shared" si="4"/>
        <v>1.0482742721502292</v>
      </c>
    </row>
    <row r="32" spans="1:27">
      <c r="A32" s="331" t="s">
        <v>6</v>
      </c>
      <c r="B32" s="107">
        <v>1.55183882471747E-2</v>
      </c>
      <c r="C32" s="339">
        <f t="shared" si="0"/>
        <v>1.0155183882471748</v>
      </c>
      <c r="D32" s="340"/>
      <c r="E32" s="40"/>
      <c r="F32" s="40"/>
      <c r="G32" s="328" t="s">
        <v>6</v>
      </c>
      <c r="H32" s="45">
        <v>170070368649.56</v>
      </c>
      <c r="I32" s="86">
        <f t="shared" si="5"/>
        <v>1.6464746520855833E-2</v>
      </c>
      <c r="J32" s="86">
        <f t="shared" si="3"/>
        <v>1.6330672246150681E-2</v>
      </c>
      <c r="K32" s="89">
        <f t="shared" si="4"/>
        <v>1.0163306722461507</v>
      </c>
    </row>
    <row r="33" spans="1:11">
      <c r="A33" s="331" t="s">
        <v>7</v>
      </c>
      <c r="B33" s="107">
        <v>4.2966616164086202E-2</v>
      </c>
      <c r="C33" s="339">
        <f t="shared" si="0"/>
        <v>1.0429666161640863</v>
      </c>
      <c r="D33" s="340"/>
      <c r="E33" s="40"/>
      <c r="F33" s="40"/>
      <c r="G33" s="328" t="s">
        <v>7</v>
      </c>
      <c r="H33" s="45">
        <v>177634467662.20999</v>
      </c>
      <c r="I33" s="86">
        <f t="shared" si="5"/>
        <v>4.4476289859971319E-2</v>
      </c>
      <c r="J33" s="86">
        <f t="shared" si="3"/>
        <v>4.3515601766381244E-2</v>
      </c>
      <c r="K33" s="89">
        <f t="shared" si="4"/>
        <v>1.0435156017663811</v>
      </c>
    </row>
    <row r="34" spans="1:11">
      <c r="A34" s="331" t="s">
        <v>8</v>
      </c>
      <c r="B34" s="107">
        <v>4.5746250579257401E-2</v>
      </c>
      <c r="C34" s="339">
        <f t="shared" si="0"/>
        <v>1.0457462505792574</v>
      </c>
      <c r="D34" s="340"/>
      <c r="E34" s="40"/>
      <c r="F34" s="40"/>
      <c r="G34" s="328" t="s">
        <v>8</v>
      </c>
      <c r="H34" s="45">
        <v>186055045019.67999</v>
      </c>
      <c r="I34" s="86">
        <f t="shared" si="5"/>
        <v>4.7403960888280805E-2</v>
      </c>
      <c r="J34" s="86">
        <f t="shared" si="3"/>
        <v>4.6314684494710538E-2</v>
      </c>
      <c r="K34" s="89">
        <f t="shared" si="4"/>
        <v>1.0463146844947104</v>
      </c>
    </row>
    <row r="35" spans="1:11">
      <c r="A35" s="331" t="s">
        <v>9</v>
      </c>
      <c r="B35" s="107">
        <v>1.8352620746716598E-2</v>
      </c>
      <c r="C35" s="339">
        <f t="shared" si="0"/>
        <v>1.0183526207467166</v>
      </c>
      <c r="D35" s="340"/>
      <c r="E35" s="40"/>
      <c r="F35" s="40"/>
      <c r="G35" s="328" t="s">
        <v>9</v>
      </c>
      <c r="H35" s="45">
        <v>189714172101.51999</v>
      </c>
      <c r="I35" s="86">
        <f t="shared" si="5"/>
        <v>1.9666906003290352E-2</v>
      </c>
      <c r="J35" s="86">
        <f t="shared" si="3"/>
        <v>1.9476011221083906E-2</v>
      </c>
      <c r="K35" s="89">
        <f t="shared" si="4"/>
        <v>1.0194760112210839</v>
      </c>
    </row>
    <row r="36" spans="1:11">
      <c r="A36" s="331" t="s">
        <v>10</v>
      </c>
      <c r="B36" s="107">
        <v>2.9559101110307101E-2</v>
      </c>
      <c r="C36" s="339">
        <f t="shared" ref="C36:C67" si="10">B36+1</f>
        <v>1.0295591011103071</v>
      </c>
      <c r="D36" s="340"/>
      <c r="E36" s="40"/>
      <c r="F36" s="40"/>
      <c r="G36" s="328" t="s">
        <v>10</v>
      </c>
      <c r="H36" s="45">
        <v>195415977885.64999</v>
      </c>
      <c r="I36" s="86">
        <f t="shared" si="5"/>
        <v>3.0054717161978051E-2</v>
      </c>
      <c r="J36" s="86">
        <f t="shared" si="3"/>
        <v>2.9611924288774585E-2</v>
      </c>
      <c r="K36" s="89">
        <f t="shared" si="4"/>
        <v>1.0296119242887747</v>
      </c>
    </row>
    <row r="37" spans="1:11">
      <c r="A37" s="331" t="s">
        <v>11</v>
      </c>
      <c r="B37" s="107">
        <v>-1.46879215364841E-2</v>
      </c>
      <c r="C37" s="339">
        <f t="shared" si="10"/>
        <v>0.98531207846351587</v>
      </c>
      <c r="D37" s="340"/>
      <c r="E37" s="40"/>
      <c r="F37" s="40"/>
      <c r="G37" s="328" t="s">
        <v>11</v>
      </c>
      <c r="H37" s="45">
        <v>192679760333.29999</v>
      </c>
      <c r="I37" s="86">
        <f t="shared" ref="I37:I68" si="11">(H37/H36)-1</f>
        <v>-1.4002015505360288E-2</v>
      </c>
      <c r="J37" s="86">
        <f t="shared" ref="J37:J68" si="12">LN(I37+1)</f>
        <v>-1.4100968504674315E-2</v>
      </c>
      <c r="K37" s="89">
        <f t="shared" ref="K37:K68" si="13">J37+1</f>
        <v>0.98589903149532565</v>
      </c>
    </row>
    <row r="38" spans="1:11">
      <c r="A38" s="331" t="s">
        <v>12</v>
      </c>
      <c r="B38" s="107">
        <v>3.7191941295608301E-2</v>
      </c>
      <c r="C38" s="339">
        <f t="shared" si="10"/>
        <v>1.0371919412956083</v>
      </c>
      <c r="D38" s="340"/>
      <c r="E38" s="40"/>
      <c r="F38" s="40"/>
      <c r="G38" s="328" t="s">
        <v>12</v>
      </c>
      <c r="H38" s="45">
        <v>200042611656.62</v>
      </c>
      <c r="I38" s="86">
        <f t="shared" si="11"/>
        <v>3.82128943412825E-2</v>
      </c>
      <c r="J38" s="86">
        <f t="shared" si="12"/>
        <v>3.7500864234927198E-2</v>
      </c>
      <c r="K38" s="89">
        <f t="shared" si="13"/>
        <v>1.0375008642349273</v>
      </c>
    </row>
    <row r="39" spans="1:11">
      <c r="A39" s="331" t="s">
        <v>13</v>
      </c>
      <c r="B39" s="107">
        <v>4.11372360298429E-2</v>
      </c>
      <c r="C39" s="339">
        <f t="shared" si="10"/>
        <v>1.041137236029843</v>
      </c>
      <c r="D39" s="340"/>
      <c r="E39" s="40"/>
      <c r="F39" s="40"/>
      <c r="G39" s="328" t="s">
        <v>13</v>
      </c>
      <c r="H39" s="45">
        <v>208319024969.98999</v>
      </c>
      <c r="I39" s="86">
        <f t="shared" si="11"/>
        <v>4.1373251652886633E-2</v>
      </c>
      <c r="J39" s="86">
        <f t="shared" si="12"/>
        <v>4.0540276428210772E-2</v>
      </c>
      <c r="K39" s="89">
        <f t="shared" si="13"/>
        <v>1.0405402764282108</v>
      </c>
    </row>
    <row r="40" spans="1:11">
      <c r="A40" s="331" t="s">
        <v>14</v>
      </c>
      <c r="B40" s="107">
        <v>1.7276799782970899E-2</v>
      </c>
      <c r="C40" s="339">
        <f t="shared" si="10"/>
        <v>1.0172767997829708</v>
      </c>
      <c r="D40" s="340"/>
      <c r="E40" s="40"/>
      <c r="F40" s="40"/>
      <c r="G40" s="328" t="s">
        <v>14</v>
      </c>
      <c r="H40" s="45">
        <v>211727937338.09</v>
      </c>
      <c r="I40" s="86">
        <f t="shared" si="11"/>
        <v>1.6363903242111899E-2</v>
      </c>
      <c r="J40" s="86">
        <f t="shared" si="12"/>
        <v>1.623145751023242E-2</v>
      </c>
      <c r="K40" s="89">
        <f t="shared" si="13"/>
        <v>1.0162314575102325</v>
      </c>
    </row>
    <row r="41" spans="1:11">
      <c r="A41" s="331" t="s">
        <v>15</v>
      </c>
      <c r="B41" s="107">
        <v>1.3587908499660401E-2</v>
      </c>
      <c r="C41" s="339">
        <f t="shared" si="10"/>
        <v>1.0135879084996604</v>
      </c>
      <c r="D41" s="340"/>
      <c r="E41" s="40"/>
      <c r="F41" s="40"/>
      <c r="G41" s="328" t="s">
        <v>15</v>
      </c>
      <c r="H41" s="45">
        <v>214586250637.22</v>
      </c>
      <c r="I41" s="86">
        <f t="shared" si="11"/>
        <v>1.3499934562559934E-2</v>
      </c>
      <c r="J41" s="86">
        <f t="shared" si="12"/>
        <v>1.3409622344113848E-2</v>
      </c>
      <c r="K41" s="89">
        <f t="shared" si="13"/>
        <v>1.0134096223441138</v>
      </c>
    </row>
    <row r="42" spans="1:11">
      <c r="A42" s="331" t="s">
        <v>16</v>
      </c>
      <c r="B42" s="107">
        <v>1.7014308856727198E-2</v>
      </c>
      <c r="C42" s="339">
        <f t="shared" si="10"/>
        <v>1.0170143088567272</v>
      </c>
      <c r="D42" s="340"/>
      <c r="E42" s="40"/>
      <c r="F42" s="40"/>
      <c r="G42" s="328" t="s">
        <v>16</v>
      </c>
      <c r="H42" s="45">
        <v>218288874348.92999</v>
      </c>
      <c r="I42" s="86">
        <f t="shared" si="11"/>
        <v>1.7254710871339451E-2</v>
      </c>
      <c r="J42" s="86">
        <f t="shared" si="12"/>
        <v>1.7107538875756157E-2</v>
      </c>
      <c r="K42" s="89">
        <f t="shared" si="13"/>
        <v>1.0171075388757562</v>
      </c>
    </row>
    <row r="43" spans="1:11">
      <c r="A43" s="331" t="s">
        <v>17</v>
      </c>
      <c r="B43" s="107">
        <v>-1.0386437945226101E-2</v>
      </c>
      <c r="C43" s="339">
        <f t="shared" si="10"/>
        <v>0.98961356205477391</v>
      </c>
      <c r="D43" s="340"/>
      <c r="E43" s="40"/>
      <c r="F43" s="40"/>
      <c r="G43" s="328" t="s">
        <v>17</v>
      </c>
      <c r="H43" s="45">
        <v>216058649100.98001</v>
      </c>
      <c r="I43" s="86">
        <f t="shared" si="11"/>
        <v>-1.0216852574836288E-2</v>
      </c>
      <c r="J43" s="86">
        <f t="shared" si="12"/>
        <v>-1.0269402851809366E-2</v>
      </c>
      <c r="K43" s="89">
        <f t="shared" si="13"/>
        <v>0.98973059714819067</v>
      </c>
    </row>
    <row r="44" spans="1:11">
      <c r="A44" s="331" t="s">
        <v>18</v>
      </c>
      <c r="B44" s="107">
        <v>-4.5103711398185503E-2</v>
      </c>
      <c r="C44" s="339">
        <f t="shared" si="10"/>
        <v>0.95489628860181452</v>
      </c>
      <c r="D44" s="340"/>
      <c r="E44" s="40"/>
      <c r="F44" s="40"/>
      <c r="G44" s="328" t="s">
        <v>18</v>
      </c>
      <c r="H44" s="45">
        <v>206062316609.70999</v>
      </c>
      <c r="I44" s="86">
        <f t="shared" si="11"/>
        <v>-4.6266754572727109E-2</v>
      </c>
      <c r="J44" s="86">
        <f t="shared" si="12"/>
        <v>-4.7371263586503613E-2</v>
      </c>
      <c r="K44" s="89">
        <f t="shared" si="13"/>
        <v>0.95262873641349644</v>
      </c>
    </row>
    <row r="45" spans="1:11">
      <c r="A45" s="331" t="s">
        <v>19</v>
      </c>
      <c r="B45" s="107">
        <v>-6.1458007436288901E-3</v>
      </c>
      <c r="C45" s="339">
        <f t="shared" si="10"/>
        <v>0.99385419925637108</v>
      </c>
      <c r="D45" s="340"/>
      <c r="E45" s="40"/>
      <c r="F45" s="40"/>
      <c r="G45" s="328" t="s">
        <v>19</v>
      </c>
      <c r="H45" s="45">
        <v>204635481931.51001</v>
      </c>
      <c r="I45" s="86">
        <f t="shared" si="11"/>
        <v>-6.9242872819995638E-3</v>
      </c>
      <c r="J45" s="86">
        <f t="shared" si="12"/>
        <v>-6.9483714004746067E-3</v>
      </c>
      <c r="K45" s="89">
        <f t="shared" si="13"/>
        <v>0.99305162859952545</v>
      </c>
    </row>
    <row r="46" spans="1:11">
      <c r="A46" s="331" t="s">
        <v>20</v>
      </c>
      <c r="B46" s="107">
        <v>-4.9167472716617498E-2</v>
      </c>
      <c r="C46" s="339">
        <f t="shared" si="10"/>
        <v>0.95083252728338252</v>
      </c>
      <c r="D46" s="340"/>
      <c r="E46" s="40"/>
      <c r="F46" s="40"/>
      <c r="G46" s="328" t="s">
        <v>20</v>
      </c>
      <c r="H46" s="45">
        <v>194787633441.04001</v>
      </c>
      <c r="I46" s="86">
        <f t="shared" si="11"/>
        <v>-4.812385612464809E-2</v>
      </c>
      <c r="J46" s="86">
        <f t="shared" si="12"/>
        <v>-4.9320353625906213E-2</v>
      </c>
      <c r="K46" s="89">
        <f t="shared" si="13"/>
        <v>0.95067964637409375</v>
      </c>
    </row>
    <row r="47" spans="1:11">
      <c r="A47" s="331" t="s">
        <v>21</v>
      </c>
      <c r="B47" s="107">
        <v>-0.116156606192563</v>
      </c>
      <c r="C47" s="339">
        <f t="shared" si="10"/>
        <v>0.88384339380743704</v>
      </c>
      <c r="D47" s="340"/>
      <c r="E47" s="40"/>
      <c r="F47" s="40"/>
      <c r="G47" s="328" t="s">
        <v>21</v>
      </c>
      <c r="H47" s="45">
        <v>172065252518.12</v>
      </c>
      <c r="I47" s="86">
        <f t="shared" si="11"/>
        <v>-0.11665207139444922</v>
      </c>
      <c r="J47" s="86">
        <f t="shared" si="12"/>
        <v>-0.12403612585680115</v>
      </c>
      <c r="K47" s="89">
        <f t="shared" si="13"/>
        <v>0.87596387414319887</v>
      </c>
    </row>
    <row r="48" spans="1:11">
      <c r="A48" s="331" t="s">
        <v>22</v>
      </c>
      <c r="B48" s="107">
        <v>-4.2183108675103401E-2</v>
      </c>
      <c r="C48" s="339">
        <f t="shared" si="10"/>
        <v>0.95781689132489656</v>
      </c>
      <c r="D48" s="340"/>
      <c r="E48" s="40"/>
      <c r="F48" s="40"/>
      <c r="G48" s="328" t="s">
        <v>22</v>
      </c>
      <c r="H48" s="45">
        <v>164773727670.89999</v>
      </c>
      <c r="I48" s="86">
        <f t="shared" si="11"/>
        <v>-4.2376509728204059E-2</v>
      </c>
      <c r="J48" s="86">
        <f t="shared" si="12"/>
        <v>-4.3300594680219677E-2</v>
      </c>
      <c r="K48" s="89">
        <f t="shared" si="13"/>
        <v>0.95669940531978037</v>
      </c>
    </row>
    <row r="49" spans="1:11">
      <c r="A49" s="331" t="s">
        <v>23</v>
      </c>
      <c r="B49" s="107">
        <v>9.0773147940176005E-2</v>
      </c>
      <c r="C49" s="339">
        <f t="shared" si="10"/>
        <v>1.0907731479401761</v>
      </c>
      <c r="D49" s="340"/>
      <c r="E49" s="40"/>
      <c r="F49" s="40"/>
      <c r="G49" s="328" t="s">
        <v>23</v>
      </c>
      <c r="H49" s="45">
        <v>179766470856.51999</v>
      </c>
      <c r="I49" s="86">
        <f t="shared" si="11"/>
        <v>9.0989888968008081E-2</v>
      </c>
      <c r="J49" s="86">
        <f t="shared" si="12"/>
        <v>8.7085439134302167E-2</v>
      </c>
      <c r="K49" s="89">
        <f t="shared" si="13"/>
        <v>1.0870854391343021</v>
      </c>
    </row>
    <row r="50" spans="1:11">
      <c r="A50" s="331" t="s">
        <v>24</v>
      </c>
      <c r="B50" s="107">
        <v>0.10711201238290401</v>
      </c>
      <c r="C50" s="339">
        <f t="shared" si="10"/>
        <v>1.1071120123829039</v>
      </c>
      <c r="D50" s="340"/>
      <c r="E50" s="40"/>
      <c r="F50" s="40"/>
      <c r="G50" s="328" t="s">
        <v>24</v>
      </c>
      <c r="H50" s="45">
        <v>198986783970.79001</v>
      </c>
      <c r="I50" s="86">
        <f t="shared" si="11"/>
        <v>0.10691823131806744</v>
      </c>
      <c r="J50" s="86">
        <f t="shared" si="12"/>
        <v>0.10157978588367433</v>
      </c>
      <c r="K50" s="89">
        <f t="shared" si="13"/>
        <v>1.1015797858836742</v>
      </c>
    </row>
    <row r="51" spans="1:11">
      <c r="A51" s="331" t="s">
        <v>25</v>
      </c>
      <c r="B51" s="107">
        <v>3.9364489786038397E-2</v>
      </c>
      <c r="C51" s="339">
        <f t="shared" si="10"/>
        <v>1.0393644897860383</v>
      </c>
      <c r="D51" s="340"/>
      <c r="E51" s="40"/>
      <c r="F51" s="40"/>
      <c r="G51" s="328" t="s">
        <v>25</v>
      </c>
      <c r="H51" s="45">
        <v>206839123929.57001</v>
      </c>
      <c r="I51" s="86">
        <f t="shared" si="11"/>
        <v>3.9461615500719249E-2</v>
      </c>
      <c r="J51" s="86">
        <f t="shared" si="12"/>
        <v>3.870290170891779E-2</v>
      </c>
      <c r="K51" s="89">
        <f t="shared" si="13"/>
        <v>1.0387029017089178</v>
      </c>
    </row>
    <row r="52" spans="1:11">
      <c r="A52" s="331" t="s">
        <v>26</v>
      </c>
      <c r="B52" s="107">
        <v>5.0657292640639E-2</v>
      </c>
      <c r="C52" s="339">
        <f t="shared" si="10"/>
        <v>1.050657292640639</v>
      </c>
      <c r="D52" s="340"/>
      <c r="E52" s="40"/>
      <c r="F52" s="40"/>
      <c r="G52" s="328" t="s">
        <v>26</v>
      </c>
      <c r="H52" s="45">
        <v>217251841226.38</v>
      </c>
      <c r="I52" s="86">
        <f t="shared" si="11"/>
        <v>5.0342106942763865E-2</v>
      </c>
      <c r="J52" s="86">
        <f t="shared" si="12"/>
        <v>4.9115927238846675E-2</v>
      </c>
      <c r="K52" s="89">
        <f t="shared" si="13"/>
        <v>1.0491159272388466</v>
      </c>
    </row>
    <row r="53" spans="1:11">
      <c r="A53" s="331" t="s">
        <v>27</v>
      </c>
      <c r="B53" s="107">
        <v>-5.3082168545352396E-3</v>
      </c>
      <c r="C53" s="339">
        <f t="shared" si="10"/>
        <v>0.9946917831454648</v>
      </c>
      <c r="D53" s="340"/>
      <c r="E53" s="40"/>
      <c r="F53" s="40"/>
      <c r="G53" s="328" t="s">
        <v>27</v>
      </c>
      <c r="H53" s="45">
        <v>216326066787.57999</v>
      </c>
      <c r="I53" s="86">
        <f t="shared" si="11"/>
        <v>-4.261296169339901E-3</v>
      </c>
      <c r="J53" s="86">
        <f t="shared" si="12"/>
        <v>-4.2704013676989564E-3</v>
      </c>
      <c r="K53" s="89">
        <f t="shared" si="13"/>
        <v>0.99572959863230104</v>
      </c>
    </row>
    <row r="54" spans="1:11">
      <c r="A54" s="331" t="s">
        <v>28</v>
      </c>
      <c r="B54" s="107">
        <v>5.7067665291108599E-2</v>
      </c>
      <c r="C54" s="339">
        <f t="shared" si="10"/>
        <v>1.0570676652911086</v>
      </c>
      <c r="D54" s="340"/>
      <c r="E54" s="40"/>
      <c r="F54" s="40"/>
      <c r="G54" s="328" t="s">
        <v>28</v>
      </c>
      <c r="H54" s="45">
        <v>229085382021.78</v>
      </c>
      <c r="I54" s="86">
        <f t="shared" si="11"/>
        <v>5.8981866696300456E-2</v>
      </c>
      <c r="J54" s="86">
        <f t="shared" si="12"/>
        <v>5.7307943428570637E-2</v>
      </c>
      <c r="K54" s="89">
        <f t="shared" si="13"/>
        <v>1.0573079434285706</v>
      </c>
    </row>
    <row r="55" spans="1:11">
      <c r="A55" s="331" t="s">
        <v>29</v>
      </c>
      <c r="B55" s="107">
        <v>2.7798058271544499E-2</v>
      </c>
      <c r="C55" s="339">
        <f t="shared" si="10"/>
        <v>1.0277980582715445</v>
      </c>
      <c r="D55" s="340"/>
      <c r="E55" s="40"/>
      <c r="F55" s="40"/>
      <c r="G55" s="328" t="s">
        <v>29</v>
      </c>
      <c r="H55" s="45">
        <v>235768192104.16</v>
      </c>
      <c r="I55" s="86">
        <f t="shared" si="11"/>
        <v>2.9171700190563143E-2</v>
      </c>
      <c r="J55" s="86">
        <f t="shared" si="12"/>
        <v>2.8754304147447288E-2</v>
      </c>
      <c r="K55" s="89">
        <f t="shared" si="13"/>
        <v>1.0287543041474474</v>
      </c>
    </row>
    <row r="56" spans="1:11">
      <c r="A56" s="331" t="s">
        <v>30</v>
      </c>
      <c r="B56" s="107">
        <v>8.9890723103776098E-3</v>
      </c>
      <c r="C56" s="339">
        <f t="shared" si="10"/>
        <v>1.0089890723103776</v>
      </c>
      <c r="D56" s="340"/>
      <c r="E56" s="40"/>
      <c r="F56" s="40"/>
      <c r="G56" s="328" t="s">
        <v>30</v>
      </c>
      <c r="H56" s="45">
        <v>237855185147.79001</v>
      </c>
      <c r="I56" s="86">
        <f t="shared" si="11"/>
        <v>8.8518855109513961E-3</v>
      </c>
      <c r="J56" s="86">
        <f t="shared" si="12"/>
        <v>8.8129372473653364E-3</v>
      </c>
      <c r="K56" s="89">
        <f t="shared" si="13"/>
        <v>1.0088129372473653</v>
      </c>
    </row>
    <row r="57" spans="1:11">
      <c r="A57" s="331" t="s">
        <v>31</v>
      </c>
      <c r="B57" s="107">
        <v>7.9415717520550707E-3</v>
      </c>
      <c r="C57" s="339">
        <f t="shared" si="10"/>
        <v>1.007941571752055</v>
      </c>
      <c r="D57" s="340"/>
      <c r="E57" s="40"/>
      <c r="F57" s="40"/>
      <c r="G57" s="328" t="s">
        <v>31</v>
      </c>
      <c r="H57" s="45">
        <v>240028211309.92001</v>
      </c>
      <c r="I57" s="86">
        <f t="shared" si="11"/>
        <v>9.1359209208738967E-3</v>
      </c>
      <c r="J57" s="86">
        <f t="shared" si="12"/>
        <v>9.0944408430688305E-3</v>
      </c>
      <c r="K57" s="89">
        <f t="shared" si="13"/>
        <v>1.0090944408430689</v>
      </c>
    </row>
    <row r="58" spans="1:11">
      <c r="A58" s="331" t="s">
        <v>32</v>
      </c>
      <c r="B58" s="107">
        <v>-2.90084847149913E-2</v>
      </c>
      <c r="C58" s="339">
        <f t="shared" si="10"/>
        <v>0.97099151528500871</v>
      </c>
      <c r="D58" s="340"/>
      <c r="E58" s="40"/>
      <c r="F58" s="40"/>
      <c r="G58" s="328" t="s">
        <v>32</v>
      </c>
      <c r="H58" s="45">
        <v>233436142640.01999</v>
      </c>
      <c r="I58" s="86">
        <f t="shared" si="11"/>
        <v>-2.7463724509401377E-2</v>
      </c>
      <c r="J58" s="86">
        <f t="shared" si="12"/>
        <v>-2.7847902909531159E-2</v>
      </c>
      <c r="K58" s="89">
        <f t="shared" si="13"/>
        <v>0.97215209709046879</v>
      </c>
    </row>
    <row r="59" spans="1:11">
      <c r="A59" s="331" t="s">
        <v>33</v>
      </c>
      <c r="B59" s="107">
        <v>4.6185838412731897E-2</v>
      </c>
      <c r="C59" s="339">
        <f t="shared" si="10"/>
        <v>1.0461858384127318</v>
      </c>
      <c r="D59" s="340"/>
      <c r="E59" s="40"/>
      <c r="F59" s="40"/>
      <c r="G59" s="328" t="s">
        <v>33</v>
      </c>
      <c r="H59" s="45">
        <v>244491474814.31</v>
      </c>
      <c r="I59" s="86">
        <f t="shared" si="11"/>
        <v>4.7359128065007194E-2</v>
      </c>
      <c r="J59" s="86">
        <f t="shared" si="12"/>
        <v>4.6271879822891673E-2</v>
      </c>
      <c r="K59" s="89">
        <f t="shared" si="13"/>
        <v>1.0462718798228916</v>
      </c>
    </row>
    <row r="60" spans="1:11">
      <c r="A60" s="331" t="s">
        <v>34</v>
      </c>
      <c r="B60" s="107">
        <v>5.8256949329522502E-2</v>
      </c>
      <c r="C60" s="339">
        <f t="shared" si="10"/>
        <v>1.0582569493295224</v>
      </c>
      <c r="D60" s="340"/>
      <c r="E60" s="40"/>
      <c r="F60" s="40"/>
      <c r="G60" s="328" t="s">
        <v>34</v>
      </c>
      <c r="H60" s="45">
        <v>258951074920.42999</v>
      </c>
      <c r="I60" s="86">
        <f t="shared" si="11"/>
        <v>5.9141530873835224E-2</v>
      </c>
      <c r="J60" s="86">
        <f t="shared" si="12"/>
        <v>5.7458703462684176E-2</v>
      </c>
      <c r="K60" s="89">
        <f t="shared" si="13"/>
        <v>1.0574587034626841</v>
      </c>
    </row>
    <row r="61" spans="1:11">
      <c r="A61" s="331" t="s">
        <v>35</v>
      </c>
      <c r="B61" s="107">
        <v>9.0699386000863704E-4</v>
      </c>
      <c r="C61" s="339">
        <f t="shared" si="10"/>
        <v>1.0009069938600086</v>
      </c>
      <c r="D61" s="340"/>
      <c r="E61" s="40"/>
      <c r="F61" s="40"/>
      <c r="G61" s="328" t="s">
        <v>35</v>
      </c>
      <c r="H61" s="45">
        <v>259465727318.38</v>
      </c>
      <c r="I61" s="86">
        <f t="shared" si="11"/>
        <v>1.9874503247694353E-3</v>
      </c>
      <c r="J61" s="86">
        <f t="shared" si="12"/>
        <v>1.9854779582606655E-3</v>
      </c>
      <c r="K61" s="89">
        <f t="shared" si="13"/>
        <v>1.0019854779582607</v>
      </c>
    </row>
    <row r="62" spans="1:11">
      <c r="A62" s="331" t="s">
        <v>36</v>
      </c>
      <c r="B62" s="107">
        <v>4.7962370793199899E-2</v>
      </c>
      <c r="C62" s="339">
        <f t="shared" si="10"/>
        <v>1.0479623707932</v>
      </c>
      <c r="D62" s="340"/>
      <c r="E62" s="40"/>
      <c r="F62" s="40"/>
      <c r="G62" s="328" t="s">
        <v>36</v>
      </c>
      <c r="H62" s="45">
        <v>272270505160.48999</v>
      </c>
      <c r="I62" s="86">
        <f t="shared" si="11"/>
        <v>4.9350555753352898E-2</v>
      </c>
      <c r="J62" s="86">
        <f t="shared" si="12"/>
        <v>4.8171454477918464E-2</v>
      </c>
      <c r="K62" s="89">
        <f t="shared" si="13"/>
        <v>1.0481714544779184</v>
      </c>
    </row>
    <row r="63" spans="1:11">
      <c r="A63" s="331" t="s">
        <v>37</v>
      </c>
      <c r="B63" s="107">
        <v>2.44628433937626E-2</v>
      </c>
      <c r="C63" s="339">
        <f t="shared" si="10"/>
        <v>1.0244628433937626</v>
      </c>
      <c r="D63" s="340"/>
      <c r="E63" s="40"/>
      <c r="F63" s="40"/>
      <c r="G63" s="328" t="s">
        <v>37</v>
      </c>
      <c r="H63" s="45">
        <v>279271038083.56</v>
      </c>
      <c r="I63" s="86">
        <f t="shared" si="11"/>
        <v>2.5711683015182007E-2</v>
      </c>
      <c r="J63" s="86">
        <f t="shared" si="12"/>
        <v>2.5386696551220517E-2</v>
      </c>
      <c r="K63" s="89">
        <f t="shared" si="13"/>
        <v>1.0253866965512206</v>
      </c>
    </row>
    <row r="64" spans="1:11">
      <c r="A64" s="331" t="s">
        <v>38</v>
      </c>
      <c r="B64" s="107">
        <v>3.5715799061705897E-2</v>
      </c>
      <c r="C64" s="339">
        <f t="shared" si="10"/>
        <v>1.0357157990617059</v>
      </c>
      <c r="D64" s="340"/>
      <c r="E64" s="40"/>
      <c r="F64" s="40"/>
      <c r="G64" s="328" t="s">
        <v>38</v>
      </c>
      <c r="H64" s="45">
        <v>289552863697.16803</v>
      </c>
      <c r="I64" s="86">
        <f t="shared" si="11"/>
        <v>3.6816655547832422E-2</v>
      </c>
      <c r="J64" s="86">
        <f t="shared" si="12"/>
        <v>3.6155110865538839E-2</v>
      </c>
      <c r="K64" s="89">
        <f t="shared" si="13"/>
        <v>1.0361551108655389</v>
      </c>
    </row>
    <row r="65" spans="1:11">
      <c r="A65" s="331" t="s">
        <v>39</v>
      </c>
      <c r="B65" s="107">
        <v>-1.8909494554289401E-2</v>
      </c>
      <c r="C65" s="339">
        <f t="shared" si="10"/>
        <v>0.98109050544571064</v>
      </c>
      <c r="D65" s="340"/>
      <c r="E65" s="40"/>
      <c r="F65" s="40"/>
      <c r="G65" s="328" t="s">
        <v>39</v>
      </c>
      <c r="H65" s="45">
        <v>284539939088.91998</v>
      </c>
      <c r="I65" s="86">
        <f t="shared" si="11"/>
        <v>-1.7312640407835422E-2</v>
      </c>
      <c r="J65" s="86">
        <f t="shared" si="12"/>
        <v>-1.7464256633123437E-2</v>
      </c>
      <c r="K65" s="89">
        <f t="shared" si="13"/>
        <v>0.98253574336687655</v>
      </c>
    </row>
    <row r="66" spans="1:11">
      <c r="A66" s="331" t="s">
        <v>40</v>
      </c>
      <c r="B66" s="107">
        <v>2.0868413751507699E-2</v>
      </c>
      <c r="C66" s="339">
        <f t="shared" si="10"/>
        <v>1.0208684137515076</v>
      </c>
      <c r="D66" s="340"/>
      <c r="E66" s="40"/>
      <c r="F66" s="40"/>
      <c r="G66" s="328" t="s">
        <v>40</v>
      </c>
      <c r="H66" s="45">
        <v>291229765023.74597</v>
      </c>
      <c r="I66" s="86">
        <f t="shared" si="11"/>
        <v>2.3511026101454835E-2</v>
      </c>
      <c r="J66" s="86">
        <f t="shared" si="12"/>
        <v>2.3238898998604835E-2</v>
      </c>
      <c r="K66" s="89">
        <f t="shared" si="13"/>
        <v>1.0232388989986048</v>
      </c>
    </row>
    <row r="67" spans="1:11">
      <c r="A67" s="331" t="s">
        <v>41</v>
      </c>
      <c r="B67" s="107">
        <v>2.3772106929297199E-2</v>
      </c>
      <c r="C67" s="339">
        <f t="shared" si="10"/>
        <v>1.0237721069292971</v>
      </c>
      <c r="D67" s="340"/>
      <c r="E67" s="40"/>
      <c r="F67" s="40"/>
      <c r="G67" s="328" t="s">
        <v>41</v>
      </c>
      <c r="H67" s="45">
        <v>298562039266.98999</v>
      </c>
      <c r="I67" s="86">
        <f t="shared" si="11"/>
        <v>2.5176939735696902E-2</v>
      </c>
      <c r="J67" s="86">
        <f t="shared" si="12"/>
        <v>2.486522182492764E-2</v>
      </c>
      <c r="K67" s="89">
        <f t="shared" si="13"/>
        <v>1.0248652218249277</v>
      </c>
    </row>
    <row r="68" spans="1:11">
      <c r="A68" s="331" t="s">
        <v>42</v>
      </c>
      <c r="B68" s="107">
        <v>3.05752897374445E-2</v>
      </c>
      <c r="C68" s="339">
        <f>B68+1</f>
        <v>1.0305752897374445</v>
      </c>
      <c r="D68" s="340"/>
      <c r="E68" s="40"/>
      <c r="F68" s="40"/>
      <c r="G68" s="328" t="s">
        <v>42</v>
      </c>
      <c r="H68" s="45">
        <v>308022494104.35699</v>
      </c>
      <c r="I68" s="86">
        <f t="shared" si="11"/>
        <v>3.1686730371328187E-2</v>
      </c>
      <c r="J68" s="86">
        <f t="shared" si="12"/>
        <v>3.1195065135234255E-2</v>
      </c>
      <c r="K68" s="89">
        <f t="shared" si="13"/>
        <v>1.0311950651352342</v>
      </c>
    </row>
    <row r="69" spans="1:11">
      <c r="A69" s="331" t="s">
        <v>43</v>
      </c>
      <c r="B69" s="107">
        <v>5.0328039398318203E-2</v>
      </c>
      <c r="C69" s="339">
        <f t="shared" ref="C69:C79" si="14">B69+1</f>
        <v>1.0503280393983183</v>
      </c>
      <c r="D69" s="340"/>
      <c r="E69" s="40"/>
      <c r="F69" s="40"/>
      <c r="G69" s="328" t="s">
        <v>43</v>
      </c>
      <c r="H69" s="45">
        <v>323674541034.44</v>
      </c>
      <c r="I69" s="86">
        <f t="shared" ref="I69:I79" si="15">(H69/H68)-1</f>
        <v>5.0814623054055819E-2</v>
      </c>
      <c r="J69" s="86">
        <f t="shared" ref="J69:J79" si="16">LN(I69+1)</f>
        <v>4.9565694847813327E-2</v>
      </c>
      <c r="K69" s="89">
        <f t="shared" ref="K69:K79" si="17">J69+1</f>
        <v>1.0495656948478134</v>
      </c>
    </row>
    <row r="70" spans="1:11">
      <c r="A70" s="331" t="s">
        <v>44</v>
      </c>
      <c r="B70" s="107">
        <v>2.89536921994085E-2</v>
      </c>
      <c r="C70" s="339">
        <f t="shared" si="14"/>
        <v>1.0289536921994085</v>
      </c>
      <c r="D70" s="340"/>
      <c r="E70" s="40"/>
      <c r="F70" s="40"/>
      <c r="G70" s="328" t="s">
        <v>44</v>
      </c>
      <c r="H70" s="45">
        <v>333046372326.07898</v>
      </c>
      <c r="I70" s="86">
        <f t="shared" si="15"/>
        <v>2.895449009269413E-2</v>
      </c>
      <c r="J70" s="86">
        <f t="shared" si="16"/>
        <v>2.8543228558689959E-2</v>
      </c>
      <c r="K70" s="89">
        <f t="shared" si="17"/>
        <v>1.02854322855869</v>
      </c>
    </row>
    <row r="71" spans="1:11">
      <c r="A71" s="331" t="s">
        <v>45</v>
      </c>
      <c r="B71" s="107">
        <v>2.80934339570744E-2</v>
      </c>
      <c r="C71" s="339">
        <f t="shared" si="14"/>
        <v>1.0280934339570744</v>
      </c>
      <c r="D71" s="340"/>
      <c r="E71" s="40"/>
      <c r="F71" s="40"/>
      <c r="G71" s="328" t="s">
        <v>45</v>
      </c>
      <c r="H71" s="45">
        <v>342939290030.55402</v>
      </c>
      <c r="I71" s="86">
        <f t="shared" si="15"/>
        <v>2.970432506254439E-2</v>
      </c>
      <c r="J71" s="86">
        <f t="shared" si="16"/>
        <v>2.9271697984987924E-2</v>
      </c>
      <c r="K71" s="89">
        <f t="shared" si="17"/>
        <v>1.0292716979849879</v>
      </c>
    </row>
    <row r="72" spans="1:11">
      <c r="A72" s="331" t="s">
        <v>46</v>
      </c>
      <c r="B72" s="107">
        <v>8.7796386099376705E-2</v>
      </c>
      <c r="C72" s="339">
        <f t="shared" si="14"/>
        <v>1.0877963860993767</v>
      </c>
      <c r="D72" s="340"/>
      <c r="E72" s="40"/>
      <c r="F72" s="40"/>
      <c r="G72" s="328" t="s">
        <v>46</v>
      </c>
      <c r="H72" s="45">
        <v>372776296754.68903</v>
      </c>
      <c r="I72" s="86">
        <f t="shared" si="15"/>
        <v>8.700375719993092E-2</v>
      </c>
      <c r="J72" s="86">
        <f t="shared" si="16"/>
        <v>8.3425064618775774E-2</v>
      </c>
      <c r="K72" s="89">
        <f t="shared" si="17"/>
        <v>1.0834250646187757</v>
      </c>
    </row>
    <row r="73" spans="1:11">
      <c r="A73" s="331" t="s">
        <v>4</v>
      </c>
      <c r="B73" s="107">
        <v>-4.3476242556845103E-2</v>
      </c>
      <c r="C73" s="339">
        <f t="shared" si="14"/>
        <v>0.95652375744315488</v>
      </c>
      <c r="D73" s="340"/>
      <c r="E73" s="40"/>
      <c r="F73" s="40"/>
      <c r="G73" s="328" t="s">
        <v>4</v>
      </c>
      <c r="H73" s="45">
        <v>356177627278.32001</v>
      </c>
      <c r="I73" s="86">
        <f t="shared" si="15"/>
        <v>-4.4527159105537284E-2</v>
      </c>
      <c r="J73" s="86">
        <f t="shared" si="16"/>
        <v>-4.5548939678082927E-2</v>
      </c>
      <c r="K73" s="89">
        <f t="shared" si="17"/>
        <v>0.95445106032191707</v>
      </c>
    </row>
    <row r="74" spans="1:11">
      <c r="A74" s="331" t="s">
        <v>0</v>
      </c>
      <c r="B74" s="107">
        <v>-3.1002481560127599E-2</v>
      </c>
      <c r="C74" s="339">
        <f t="shared" si="14"/>
        <v>0.96899751843987236</v>
      </c>
      <c r="D74" s="340"/>
      <c r="E74" s="40"/>
      <c r="F74" s="40"/>
      <c r="G74" s="328" t="s">
        <v>0</v>
      </c>
      <c r="H74" s="45">
        <v>344659493978.96997</v>
      </c>
      <c r="I74" s="86">
        <f t="shared" si="15"/>
        <v>-3.23381717918787E-2</v>
      </c>
      <c r="J74" s="86">
        <f t="shared" si="16"/>
        <v>-3.2872603767513373E-2</v>
      </c>
      <c r="K74" s="89">
        <f t="shared" si="17"/>
        <v>0.96712739623248667</v>
      </c>
    </row>
    <row r="75" spans="1:11">
      <c r="A75" s="331" t="s">
        <v>1</v>
      </c>
      <c r="B75" s="107">
        <v>1.8925930812168399E-2</v>
      </c>
      <c r="C75" s="339">
        <f t="shared" si="14"/>
        <v>1.0189259308121683</v>
      </c>
      <c r="D75" s="340"/>
      <c r="E75" s="40"/>
      <c r="F75" s="40"/>
      <c r="G75" s="328" t="s">
        <v>1</v>
      </c>
      <c r="H75" s="45">
        <v>350565902173.72998</v>
      </c>
      <c r="I75" s="86">
        <f t="shared" si="15"/>
        <v>1.7136937464198754E-2</v>
      </c>
      <c r="J75" s="86">
        <f t="shared" si="16"/>
        <v>1.6991756442841999E-2</v>
      </c>
      <c r="K75" s="89">
        <f t="shared" si="17"/>
        <v>1.0169917564428419</v>
      </c>
    </row>
    <row r="76" spans="1:11">
      <c r="A76" s="331" t="s">
        <v>47</v>
      </c>
      <c r="B76" s="107">
        <v>2.2296416141178398E-2</v>
      </c>
      <c r="C76" s="339">
        <f t="shared" si="14"/>
        <v>1.0222964161411785</v>
      </c>
      <c r="D76" s="340"/>
      <c r="E76" s="40"/>
      <c r="F76" s="40"/>
      <c r="G76" s="328" t="s">
        <v>47</v>
      </c>
      <c r="H76" s="45">
        <v>357631580066.25299</v>
      </c>
      <c r="I76" s="86">
        <f t="shared" si="15"/>
        <v>2.0155063138517892E-2</v>
      </c>
      <c r="J76" s="86">
        <f t="shared" si="16"/>
        <v>1.995463842672382E-2</v>
      </c>
      <c r="K76" s="89">
        <f t="shared" si="17"/>
        <v>1.0199546384267237</v>
      </c>
    </row>
    <row r="77" spans="1:11">
      <c r="A77" s="331" t="s">
        <v>2</v>
      </c>
      <c r="B77" s="107">
        <v>3.8913380006590101E-2</v>
      </c>
      <c r="C77" s="339">
        <f t="shared" si="14"/>
        <v>1.0389133800065902</v>
      </c>
      <c r="D77" s="340"/>
      <c r="E77" s="40"/>
      <c r="F77" s="40"/>
      <c r="G77" s="328" t="s">
        <v>2</v>
      </c>
      <c r="H77" s="45">
        <v>370897652739.341</v>
      </c>
      <c r="I77" s="86">
        <f t="shared" si="15"/>
        <v>3.7094242825620682E-2</v>
      </c>
      <c r="J77" s="86">
        <f t="shared" si="16"/>
        <v>3.6422805374173362E-2</v>
      </c>
      <c r="K77" s="89">
        <f t="shared" si="17"/>
        <v>1.0364228053741733</v>
      </c>
    </row>
    <row r="78" spans="1:11">
      <c r="A78" s="331" t="s">
        <v>3</v>
      </c>
      <c r="B78" s="107">
        <v>2.6521876650206101E-2</v>
      </c>
      <c r="C78" s="339">
        <f t="shared" si="14"/>
        <v>1.026521876650206</v>
      </c>
      <c r="D78" s="340"/>
      <c r="E78" s="40"/>
      <c r="F78" s="40"/>
      <c r="G78" s="328" t="s">
        <v>3</v>
      </c>
      <c r="H78" s="45">
        <v>380155014596.10999</v>
      </c>
      <c r="I78" s="86">
        <f t="shared" si="15"/>
        <v>2.495934333473615E-2</v>
      </c>
      <c r="J78" s="86">
        <f t="shared" si="16"/>
        <v>2.4652946764411224E-2</v>
      </c>
      <c r="K78" s="89">
        <f t="shared" si="17"/>
        <v>1.0246529467644112</v>
      </c>
    </row>
    <row r="79" spans="1:11">
      <c r="A79" s="331" t="s">
        <v>5</v>
      </c>
      <c r="B79" s="107">
        <v>3.9106062522397999E-3</v>
      </c>
      <c r="C79" s="339">
        <f t="shared" si="14"/>
        <v>1.0039106062522398</v>
      </c>
      <c r="D79" s="340"/>
      <c r="E79" s="40"/>
      <c r="F79" s="40"/>
      <c r="G79" s="328" t="s">
        <v>5</v>
      </c>
      <c r="H79" s="45">
        <v>380976414880.76202</v>
      </c>
      <c r="I79" s="86">
        <f t="shared" si="15"/>
        <v>2.1606982760038473E-3</v>
      </c>
      <c r="J79" s="86">
        <f t="shared" si="16"/>
        <v>2.1583673245352199E-3</v>
      </c>
      <c r="K79" s="89">
        <f t="shared" si="17"/>
        <v>1.0021583673245351</v>
      </c>
    </row>
    <row r="80" spans="1:11">
      <c r="B80" s="227"/>
      <c r="C80" s="40"/>
      <c r="D80" s="340"/>
      <c r="E80" s="40"/>
      <c r="F80" s="40"/>
    </row>
  </sheetData>
  <mergeCells count="2">
    <mergeCell ref="G2:M2"/>
    <mergeCell ref="A2:F2"/>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39997558519241921"/>
  </sheetPr>
  <dimension ref="A1:S76"/>
  <sheetViews>
    <sheetView topLeftCell="A5" workbookViewId="0">
      <pane xSplit="1" topLeftCell="C1" activePane="topRight" state="frozen"/>
      <selection pane="topRight" activeCell="L5" sqref="L5:P23"/>
    </sheetView>
  </sheetViews>
  <sheetFormatPr defaultColWidth="8.85546875" defaultRowHeight="15"/>
  <cols>
    <col min="1" max="1" width="10.28515625" bestFit="1" customWidth="1"/>
    <col min="2" max="2" width="12.42578125" customWidth="1"/>
    <col min="3" max="3" width="12.140625" customWidth="1"/>
    <col min="4" max="4" width="12.85546875" customWidth="1"/>
    <col min="5" max="5" width="16" customWidth="1"/>
    <col min="6" max="6" width="9.42578125" customWidth="1"/>
    <col min="7" max="7" width="14.140625" customWidth="1"/>
    <col min="8" max="8" width="12.28515625" bestFit="1" customWidth="1"/>
    <col min="9" max="9" width="14.7109375" customWidth="1"/>
    <col min="11" max="12" width="10.42578125" customWidth="1"/>
    <col min="13" max="13" width="11" customWidth="1"/>
    <col min="14" max="14" width="25.42578125" style="6" customWidth="1"/>
    <col min="15" max="16" width="13" customWidth="1"/>
    <col min="17" max="17" width="10.140625" bestFit="1" customWidth="1"/>
    <col min="18" max="18" width="11.140625" customWidth="1"/>
  </cols>
  <sheetData>
    <row r="1" spans="1:19" ht="21">
      <c r="A1" s="368" t="s">
        <v>556</v>
      </c>
    </row>
    <row r="2" spans="1:19" s="57" customFormat="1" ht="48" customHeight="1">
      <c r="A2" s="57" t="s">
        <v>226</v>
      </c>
      <c r="B2" s="57" t="s">
        <v>143</v>
      </c>
      <c r="C2" s="333" t="s">
        <v>548</v>
      </c>
      <c r="D2" s="57" t="s">
        <v>142</v>
      </c>
      <c r="E2" s="57" t="s">
        <v>456</v>
      </c>
      <c r="F2" s="57" t="s">
        <v>141</v>
      </c>
      <c r="G2" s="57" t="s">
        <v>130</v>
      </c>
      <c r="H2" s="57" t="s">
        <v>140</v>
      </c>
      <c r="K2" s="333" t="s">
        <v>553</v>
      </c>
      <c r="L2" s="333" t="s">
        <v>267</v>
      </c>
      <c r="M2" s="333" t="s">
        <v>552</v>
      </c>
      <c r="N2" s="57" t="s">
        <v>554</v>
      </c>
      <c r="Q2" s="366" t="s">
        <v>555</v>
      </c>
      <c r="R2" s="333" t="s">
        <v>557</v>
      </c>
      <c r="S2" s="57" t="s">
        <v>84</v>
      </c>
    </row>
    <row r="3" spans="1:19">
      <c r="A3" s="337" t="s">
        <v>218</v>
      </c>
      <c r="B3" s="4"/>
      <c r="C3" s="4"/>
      <c r="D3" s="4"/>
      <c r="E3" s="68"/>
      <c r="F3" s="347"/>
      <c r="G3" s="348"/>
      <c r="H3" s="349"/>
      <c r="K3" s="10"/>
      <c r="L3" s="35" t="s">
        <v>219</v>
      </c>
      <c r="M3" s="41">
        <v>0.36558800000000002</v>
      </c>
      <c r="N3" s="6" t="s">
        <v>237</v>
      </c>
      <c r="O3" s="37"/>
      <c r="P3" s="37"/>
      <c r="Q3" s="367">
        <v>35520</v>
      </c>
    </row>
    <row r="4" spans="1:19">
      <c r="A4" s="337" t="s">
        <v>217</v>
      </c>
      <c r="B4" s="4"/>
      <c r="C4" s="4"/>
      <c r="D4" s="4"/>
      <c r="E4" s="51"/>
      <c r="F4" s="350"/>
      <c r="G4" s="348"/>
      <c r="H4" s="349"/>
      <c r="K4" s="357"/>
      <c r="L4" s="358" t="s">
        <v>219</v>
      </c>
      <c r="M4" s="102">
        <f>O4-M3</f>
        <v>-0.36558800000000002</v>
      </c>
      <c r="N4" s="29" t="s">
        <v>552</v>
      </c>
      <c r="O4" s="29"/>
      <c r="P4" s="31"/>
      <c r="Q4" s="367">
        <v>35885</v>
      </c>
    </row>
    <row r="5" spans="1:19">
      <c r="A5" s="337" t="s">
        <v>216</v>
      </c>
      <c r="B5" s="35"/>
      <c r="C5" s="35"/>
      <c r="D5" s="4"/>
      <c r="E5" s="51"/>
      <c r="F5" s="351"/>
      <c r="G5" s="348"/>
      <c r="H5" s="349"/>
      <c r="K5" s="8" t="s">
        <v>98</v>
      </c>
      <c r="L5" s="837" t="s">
        <v>219</v>
      </c>
      <c r="M5" s="838">
        <v>0.83751699999999996</v>
      </c>
      <c r="N5" s="78" t="s">
        <v>145</v>
      </c>
      <c r="O5" s="39">
        <f>SUM(O6:O8)</f>
        <v>3.5104489999999999</v>
      </c>
      <c r="P5" s="39"/>
      <c r="Q5" s="367">
        <v>36250</v>
      </c>
      <c r="R5" s="46">
        <v>0.05</v>
      </c>
    </row>
    <row r="6" spans="1:19">
      <c r="A6" s="337" t="s">
        <v>215</v>
      </c>
      <c r="B6" s="35"/>
      <c r="C6" s="35"/>
      <c r="D6" s="4"/>
      <c r="E6" s="51"/>
      <c r="F6" s="351"/>
      <c r="G6" s="348"/>
      <c r="H6" s="349"/>
      <c r="K6" s="10" t="s">
        <v>98</v>
      </c>
      <c r="L6" s="340" t="s">
        <v>219</v>
      </c>
      <c r="M6" s="18">
        <v>0.479856</v>
      </c>
      <c r="N6" s="78" t="s">
        <v>237</v>
      </c>
      <c r="O6" s="78">
        <v>0.34248099999999998</v>
      </c>
      <c r="P6" s="78"/>
      <c r="Q6" s="367">
        <v>36616</v>
      </c>
      <c r="R6" s="23">
        <v>0.40100000000000002</v>
      </c>
      <c r="S6">
        <f>R6+1</f>
        <v>1.401</v>
      </c>
    </row>
    <row r="7" spans="1:19">
      <c r="A7" s="337" t="s">
        <v>214</v>
      </c>
      <c r="B7" s="35"/>
      <c r="C7" s="35"/>
      <c r="D7" s="40"/>
      <c r="E7" s="51"/>
      <c r="F7" s="351"/>
      <c r="G7" s="348"/>
      <c r="H7" s="349"/>
      <c r="K7" s="10" t="s">
        <v>98</v>
      </c>
      <c r="L7" s="340" t="s">
        <v>219</v>
      </c>
      <c r="M7" s="18">
        <v>0.83044700000000005</v>
      </c>
      <c r="N7" s="78" t="s">
        <v>267</v>
      </c>
      <c r="O7" s="839" t="s">
        <v>219</v>
      </c>
      <c r="P7" s="839"/>
      <c r="Q7" s="367">
        <v>36981</v>
      </c>
      <c r="R7" s="23">
        <v>-9.4E-2</v>
      </c>
      <c r="S7">
        <f t="shared" ref="S7:S22" si="0">R7+1</f>
        <v>0.90600000000000003</v>
      </c>
    </row>
    <row r="8" spans="1:19">
      <c r="A8" s="337" t="s">
        <v>213</v>
      </c>
      <c r="B8" s="35"/>
      <c r="C8" s="35"/>
      <c r="D8" s="4"/>
      <c r="E8" s="51"/>
      <c r="F8" s="347"/>
      <c r="G8" s="352"/>
      <c r="H8" s="349"/>
      <c r="K8" s="359" t="s">
        <v>98</v>
      </c>
      <c r="L8" s="840" t="s">
        <v>219</v>
      </c>
      <c r="M8" s="363">
        <f>O8-SUM(M5:M7)</f>
        <v>1.0201480000000003</v>
      </c>
      <c r="N8" s="841" t="s">
        <v>552</v>
      </c>
      <c r="O8" s="53">
        <f>1.309769+1.003036+0.855163</f>
        <v>3.1679680000000001</v>
      </c>
      <c r="P8" s="50"/>
      <c r="Q8" s="367">
        <v>37346</v>
      </c>
      <c r="R8" s="23">
        <v>5.7000000000000002E-2</v>
      </c>
      <c r="S8">
        <f t="shared" si="0"/>
        <v>1.0569999999999999</v>
      </c>
    </row>
    <row r="9" spans="1:19" ht="15.75" thickBot="1">
      <c r="A9" s="346" t="s">
        <v>212</v>
      </c>
      <c r="B9" s="353"/>
      <c r="C9" s="353"/>
      <c r="D9" s="63"/>
      <c r="E9" s="53"/>
      <c r="F9" s="354"/>
      <c r="G9" s="355"/>
      <c r="H9" s="356"/>
      <c r="K9" s="8">
        <v>0.24099999999999999</v>
      </c>
      <c r="L9" s="837" t="s">
        <v>219</v>
      </c>
      <c r="M9" s="838">
        <v>1.035925</v>
      </c>
      <c r="N9" s="78" t="s">
        <v>145</v>
      </c>
      <c r="O9" s="39">
        <f>SUM(O10:O12)</f>
        <v>6.7350000000000003</v>
      </c>
      <c r="P9" s="39"/>
      <c r="Q9" s="367">
        <v>37711</v>
      </c>
      <c r="R9" s="23">
        <v>-1.4999999999999999E-2</v>
      </c>
      <c r="S9">
        <f t="shared" si="0"/>
        <v>0.98499999999999999</v>
      </c>
    </row>
    <row r="10" spans="1:19" ht="15.75" thickTop="1">
      <c r="A10" s="337" t="s">
        <v>211</v>
      </c>
      <c r="B10">
        <v>5976.9709999999995</v>
      </c>
      <c r="C10" s="54">
        <v>116.755</v>
      </c>
      <c r="D10" s="4">
        <f>B10-C10</f>
        <v>5860.2159999999994</v>
      </c>
      <c r="E10" s="4">
        <v>5011.0029999999997</v>
      </c>
      <c r="F10" s="43">
        <f t="shared" ref="F10:F63" si="1">C10/D10</f>
        <v>1.9923327058251779E-2</v>
      </c>
      <c r="G10" s="47"/>
      <c r="H10" s="48"/>
      <c r="K10" s="10">
        <v>0.48899999999999999</v>
      </c>
      <c r="L10" s="340" t="s">
        <v>219</v>
      </c>
      <c r="M10" s="18">
        <v>0.85768200000000006</v>
      </c>
      <c r="N10" s="78" t="s">
        <v>237</v>
      </c>
      <c r="O10" s="78">
        <v>1.5349999999999999</v>
      </c>
      <c r="P10" s="78"/>
      <c r="Q10" s="367">
        <v>38077</v>
      </c>
      <c r="R10" s="23">
        <v>0.17599999999999999</v>
      </c>
      <c r="S10">
        <f t="shared" si="0"/>
        <v>1.1759999999999999</v>
      </c>
    </row>
    <row r="11" spans="1:19">
      <c r="A11" s="337" t="s">
        <v>210</v>
      </c>
      <c r="B11" s="4">
        <v>6442.5919999999996</v>
      </c>
      <c r="C11" s="59">
        <v>2.262</v>
      </c>
      <c r="D11" s="40">
        <f>B11-C11</f>
        <v>6440.33</v>
      </c>
      <c r="E11" s="39">
        <v>6043.7979999999998</v>
      </c>
      <c r="F11" s="43">
        <f t="shared" si="1"/>
        <v>3.5122423850951739E-4</v>
      </c>
      <c r="G11" s="47">
        <f t="shared" ref="G11:G42" si="2">(D11-(E11-E10))/D10-1</f>
        <v>-7.7246470095982733E-2</v>
      </c>
      <c r="H11" s="48">
        <f>LN(1+G11)</f>
        <v>-8.0393111661825251E-2</v>
      </c>
      <c r="K11" s="10">
        <v>0.46899999999999997</v>
      </c>
      <c r="L11" s="340" t="s">
        <v>219</v>
      </c>
      <c r="M11" s="18">
        <v>1.4530000000000001</v>
      </c>
      <c r="N11" s="78" t="s">
        <v>267</v>
      </c>
      <c r="O11" s="839" t="s">
        <v>219</v>
      </c>
      <c r="P11" s="839"/>
      <c r="Q11" s="367">
        <v>38442</v>
      </c>
      <c r="R11" s="23">
        <v>8.5000000000000006E-2</v>
      </c>
      <c r="S11">
        <f t="shared" si="0"/>
        <v>1.085</v>
      </c>
    </row>
    <row r="12" spans="1:19">
      <c r="A12" s="337" t="s">
        <v>209</v>
      </c>
      <c r="B12" s="4">
        <v>7156.3429999999998</v>
      </c>
      <c r="C12" s="59">
        <v>2.1739999999999999</v>
      </c>
      <c r="D12" s="40">
        <f t="shared" ref="D12:D63" si="3">B12-C12</f>
        <v>7154.1689999999999</v>
      </c>
      <c r="E12">
        <v>7545.4210000000003</v>
      </c>
      <c r="F12" s="43">
        <f t="shared" si="1"/>
        <v>3.0387875936394569E-4</v>
      </c>
      <c r="G12" s="47">
        <f t="shared" si="2"/>
        <v>-0.12232044010167187</v>
      </c>
      <c r="H12" s="48">
        <f>LN(1+G12)</f>
        <v>-0.13047371791053514</v>
      </c>
      <c r="K12" s="357">
        <f>O10-SUM(K9:K11)</f>
        <v>0.33600000000000008</v>
      </c>
      <c r="L12" s="840" t="s">
        <v>219</v>
      </c>
      <c r="M12" s="363">
        <f>O12-SUM(M9:M11)</f>
        <v>1.8533930000000001</v>
      </c>
      <c r="N12" s="841" t="s">
        <v>552</v>
      </c>
      <c r="O12" s="53">
        <f>2.279+1.963+0.958</f>
        <v>5.2</v>
      </c>
      <c r="P12" s="50"/>
      <c r="Q12" s="367">
        <v>38807</v>
      </c>
      <c r="R12" s="23">
        <v>0.155</v>
      </c>
      <c r="S12">
        <f t="shared" si="0"/>
        <v>1.155</v>
      </c>
    </row>
    <row r="13" spans="1:19">
      <c r="A13" s="337" t="s">
        <v>208</v>
      </c>
      <c r="B13">
        <v>10969.75</v>
      </c>
      <c r="C13" s="54">
        <v>2.6360000000000001</v>
      </c>
      <c r="D13">
        <f t="shared" si="3"/>
        <v>10967.114</v>
      </c>
      <c r="E13">
        <v>11302.78</v>
      </c>
      <c r="F13" s="43">
        <f t="shared" si="1"/>
        <v>2.4035493749768628E-4</v>
      </c>
      <c r="G13" s="47">
        <f t="shared" si="2"/>
        <v>7.7697353808665603E-3</v>
      </c>
      <c r="H13" s="49">
        <f t="shared" ref="H13:H67" si="4">LN(1+G13)</f>
        <v>7.7397064312870623E-3</v>
      </c>
      <c r="K13" s="27">
        <v>0.69799999999999995</v>
      </c>
      <c r="L13" s="837" t="s">
        <v>219</v>
      </c>
      <c r="M13" s="838">
        <f>1.063+0.612+0.158</f>
        <v>1.8329999999999997</v>
      </c>
      <c r="N13" s="78" t="s">
        <v>145</v>
      </c>
      <c r="O13" s="39">
        <f>SUM(O14:O16)</f>
        <v>11.408000000000001</v>
      </c>
      <c r="P13" s="39"/>
      <c r="Q13" s="367">
        <v>39172</v>
      </c>
      <c r="R13" s="23">
        <v>0.129</v>
      </c>
      <c r="S13">
        <f t="shared" si="0"/>
        <v>1.129</v>
      </c>
    </row>
    <row r="14" spans="1:19">
      <c r="A14" s="337" t="s">
        <v>207</v>
      </c>
      <c r="B14">
        <v>12020.373</v>
      </c>
      <c r="C14" s="54">
        <v>8.4079999999999995</v>
      </c>
      <c r="D14">
        <f t="shared" si="3"/>
        <v>12011.965</v>
      </c>
      <c r="E14">
        <v>13774.22</v>
      </c>
      <c r="F14" s="43">
        <f t="shared" si="1"/>
        <v>6.9996873950265413E-4</v>
      </c>
      <c r="G14" s="47">
        <f t="shared" si="2"/>
        <v>-0.13007879739373529</v>
      </c>
      <c r="H14" s="48">
        <f t="shared" si="4"/>
        <v>-0.13935264315231038</v>
      </c>
      <c r="K14" s="28">
        <v>0.70199999999999996</v>
      </c>
      <c r="L14" s="340" t="s">
        <v>219</v>
      </c>
      <c r="M14" s="18">
        <f>0.904+0.851+0.095</f>
        <v>1.8499999999999999</v>
      </c>
      <c r="N14" s="78" t="s">
        <v>237</v>
      </c>
      <c r="O14" s="78">
        <v>2.9510000000000001</v>
      </c>
      <c r="P14" s="78"/>
      <c r="Q14" s="367">
        <v>39538</v>
      </c>
      <c r="R14" s="23">
        <v>-3.0000000000000001E-3</v>
      </c>
      <c r="S14">
        <f t="shared" si="0"/>
        <v>0.997</v>
      </c>
    </row>
    <row r="15" spans="1:19">
      <c r="A15" s="337" t="s">
        <v>206</v>
      </c>
      <c r="B15">
        <v>13809.371999999999</v>
      </c>
      <c r="C15" s="54">
        <v>14.753</v>
      </c>
      <c r="D15">
        <f t="shared" si="3"/>
        <v>13794.618999999999</v>
      </c>
      <c r="E15">
        <v>14137.593000000001</v>
      </c>
      <c r="F15" s="43">
        <f t="shared" si="1"/>
        <v>1.0694749887619223E-3</v>
      </c>
      <c r="G15" s="47">
        <f t="shared" si="2"/>
        <v>0.11815560568150141</v>
      </c>
      <c r="H15" s="48">
        <f t="shared" si="4"/>
        <v>0.11168054723177755</v>
      </c>
      <c r="K15" s="10">
        <v>0.73599999999999999</v>
      </c>
      <c r="L15" s="340" t="s">
        <v>219</v>
      </c>
      <c r="M15" s="18">
        <f>0.911+1.118+0.138</f>
        <v>2.1669999999999998</v>
      </c>
      <c r="N15" s="78" t="s">
        <v>267</v>
      </c>
      <c r="O15" s="839" t="s">
        <v>219</v>
      </c>
      <c r="P15" s="839"/>
      <c r="Q15" s="367">
        <v>39903</v>
      </c>
      <c r="R15" s="23">
        <v>-0.186</v>
      </c>
      <c r="S15">
        <f t="shared" si="0"/>
        <v>0.81400000000000006</v>
      </c>
    </row>
    <row r="16" spans="1:19">
      <c r="A16" s="337" t="s">
        <v>205</v>
      </c>
      <c r="B16">
        <v>14293.078</v>
      </c>
      <c r="C16" s="54">
        <v>8.1120000000000001</v>
      </c>
      <c r="D16">
        <f t="shared" si="3"/>
        <v>14284.966</v>
      </c>
      <c r="E16">
        <v>14371.592000000001</v>
      </c>
      <c r="F16" s="43">
        <f t="shared" si="1"/>
        <v>5.67869745017244E-4</v>
      </c>
      <c r="G16" s="47">
        <f t="shared" si="2"/>
        <v>1.8583188125746775E-2</v>
      </c>
      <c r="H16" s="48">
        <f t="shared" si="4"/>
        <v>1.8412630448738521E-2</v>
      </c>
      <c r="K16" s="357">
        <f>O14-SUM(K13:K15)</f>
        <v>0.81499999999999995</v>
      </c>
      <c r="L16" s="840" t="s">
        <v>219</v>
      </c>
      <c r="M16" s="363">
        <f>O16-SUM(M13:M15)</f>
        <v>2.6070000000000011</v>
      </c>
      <c r="N16" s="841" t="s">
        <v>552</v>
      </c>
      <c r="O16" s="53">
        <f>4.283+3.204+0.97</f>
        <v>8.4570000000000007</v>
      </c>
      <c r="P16" s="50"/>
      <c r="Q16" s="367">
        <v>40268</v>
      </c>
      <c r="R16" s="23">
        <v>0.14899999999999999</v>
      </c>
      <c r="S16">
        <f t="shared" si="0"/>
        <v>1.149</v>
      </c>
    </row>
    <row r="17" spans="1:19">
      <c r="A17" s="337" t="s">
        <v>204</v>
      </c>
      <c r="B17">
        <v>17225.677</v>
      </c>
      <c r="C17" s="54">
        <v>130.291</v>
      </c>
      <c r="D17">
        <f t="shared" si="3"/>
        <v>17095.385999999999</v>
      </c>
      <c r="E17">
        <v>18729.308000000001</v>
      </c>
      <c r="F17" s="43">
        <f t="shared" si="1"/>
        <v>7.6214131696119647E-3</v>
      </c>
      <c r="G17" s="47">
        <f t="shared" si="2"/>
        <v>-0.10831639361269763</v>
      </c>
      <c r="H17" s="48">
        <f t="shared" si="4"/>
        <v>-0.11464391068306069</v>
      </c>
      <c r="K17" s="27">
        <v>0.85899999999999999</v>
      </c>
      <c r="L17" s="837" t="s">
        <v>219</v>
      </c>
      <c r="M17" s="838">
        <f>1.342+1.061+0.408</f>
        <v>2.8109999999999999</v>
      </c>
      <c r="N17" s="78" t="s">
        <v>145</v>
      </c>
      <c r="O17" s="39">
        <f>SUM(O18:O20)</f>
        <v>13.151</v>
      </c>
      <c r="P17" s="39"/>
      <c r="Q17" s="367">
        <v>40633</v>
      </c>
      <c r="R17" s="23">
        <v>0.11899999999999999</v>
      </c>
      <c r="S17">
        <f t="shared" si="0"/>
        <v>1.119</v>
      </c>
    </row>
    <row r="18" spans="1:19">
      <c r="A18" s="337" t="s">
        <v>203</v>
      </c>
      <c r="B18">
        <v>17086.161</v>
      </c>
      <c r="C18" s="54">
        <v>171.649</v>
      </c>
      <c r="D18">
        <f t="shared" si="3"/>
        <v>16914.511999999999</v>
      </c>
      <c r="E18">
        <v>21006.733</v>
      </c>
      <c r="F18" s="43">
        <f t="shared" si="1"/>
        <v>1.0148031465524988E-2</v>
      </c>
      <c r="G18" s="47">
        <f t="shared" si="2"/>
        <v>-0.14379897593420821</v>
      </c>
      <c r="H18" s="48">
        <f t="shared" si="4"/>
        <v>-0.15525008921291783</v>
      </c>
      <c r="K18" s="28">
        <v>0.88900000000000001</v>
      </c>
      <c r="L18" s="340" t="s">
        <v>219</v>
      </c>
      <c r="M18" s="18">
        <f>1.102+0.888+0.269</f>
        <v>2.2590000000000003</v>
      </c>
      <c r="N18" s="78" t="s">
        <v>237</v>
      </c>
      <c r="O18" s="78">
        <f>1.809+0.285</f>
        <v>2.0939999999999999</v>
      </c>
      <c r="P18" s="78"/>
      <c r="Q18" s="367">
        <v>40999</v>
      </c>
      <c r="R18" s="23">
        <v>6.6000000000000003E-2</v>
      </c>
      <c r="S18">
        <f t="shared" si="0"/>
        <v>1.0660000000000001</v>
      </c>
    </row>
    <row r="19" spans="1:19">
      <c r="A19" s="337" t="s">
        <v>202</v>
      </c>
      <c r="B19">
        <v>18451.081999999999</v>
      </c>
      <c r="C19" s="54">
        <v>19.059999999999999</v>
      </c>
      <c r="D19">
        <f t="shared" si="3"/>
        <v>18432.021999999997</v>
      </c>
      <c r="E19">
        <v>21525.024000000001</v>
      </c>
      <c r="F19" s="43">
        <f t="shared" si="1"/>
        <v>1.0340699463140832E-3</v>
      </c>
      <c r="G19" s="47">
        <f t="shared" si="2"/>
        <v>5.9074657312016887E-2</v>
      </c>
      <c r="H19" s="48">
        <f t="shared" si="4"/>
        <v>5.7395562068322699E-2</v>
      </c>
      <c r="K19" s="10">
        <v>0.06</v>
      </c>
      <c r="L19" s="340" t="s">
        <v>219</v>
      </c>
      <c r="M19" s="18">
        <f>1.528+1.238+0.395</f>
        <v>3.161</v>
      </c>
      <c r="N19" s="78" t="s">
        <v>267</v>
      </c>
      <c r="O19" s="839" t="s">
        <v>219</v>
      </c>
      <c r="P19" s="839"/>
      <c r="Q19" s="367">
        <v>41364</v>
      </c>
      <c r="R19" s="23">
        <v>0.10100000000000001</v>
      </c>
      <c r="S19">
        <f t="shared" si="0"/>
        <v>1.101</v>
      </c>
    </row>
    <row r="20" spans="1:19">
      <c r="A20" s="337" t="s">
        <v>201</v>
      </c>
      <c r="B20">
        <v>17939.488000000001</v>
      </c>
      <c r="C20" s="54">
        <v>488.74400000000003</v>
      </c>
      <c r="D20">
        <f t="shared" si="3"/>
        <v>17450.744000000002</v>
      </c>
      <c r="E20">
        <v>21689.66</v>
      </c>
      <c r="F20" s="43">
        <f t="shared" si="1"/>
        <v>2.8007058037181679E-2</v>
      </c>
      <c r="G20" s="47">
        <f t="shared" si="2"/>
        <v>-6.2169739163722482E-2</v>
      </c>
      <c r="H20" s="48">
        <f t="shared" si="4"/>
        <v>-6.4186304947613793E-2</v>
      </c>
      <c r="K20" s="361">
        <f>O18-SUM(K17:K19)</f>
        <v>0.28599999999999981</v>
      </c>
      <c r="L20" s="840" t="s">
        <v>219</v>
      </c>
      <c r="M20" s="363">
        <f>O20-SUM(M17:M19)</f>
        <v>2.8260000000000005</v>
      </c>
      <c r="N20" s="841" t="s">
        <v>552</v>
      </c>
      <c r="O20" s="53">
        <f>4.796+4.835+1.426</f>
        <v>11.057</v>
      </c>
      <c r="P20" s="50"/>
      <c r="Q20" s="367">
        <v>41729</v>
      </c>
      <c r="R20" s="23">
        <v>0.16500000000000001</v>
      </c>
      <c r="S20">
        <f t="shared" si="0"/>
        <v>1.165</v>
      </c>
    </row>
    <row r="21" spans="1:19">
      <c r="A21" s="337" t="s">
        <v>200</v>
      </c>
      <c r="B21">
        <v>24007.13</v>
      </c>
      <c r="C21" s="54">
        <v>382.57900000000001</v>
      </c>
      <c r="D21">
        <f>B21-C21</f>
        <v>23624.550999999999</v>
      </c>
      <c r="E21">
        <v>26192.061000000002</v>
      </c>
      <c r="F21" s="43">
        <f t="shared" si="1"/>
        <v>1.6194127879933042E-2</v>
      </c>
      <c r="G21" s="47">
        <f t="shared" si="2"/>
        <v>9.5778495174761336E-2</v>
      </c>
      <c r="H21" s="48">
        <f t="shared" si="4"/>
        <v>9.1465065157535969E-2</v>
      </c>
      <c r="K21" s="8">
        <f>0+0.504</f>
        <v>0.504</v>
      </c>
      <c r="L21" s="837" t="s">
        <v>219</v>
      </c>
      <c r="M21" s="838">
        <f>1.865+1.72+0.145</f>
        <v>3.73</v>
      </c>
      <c r="N21" s="78" t="s">
        <v>145</v>
      </c>
      <c r="O21" s="39">
        <f>SUM(O22:O24)</f>
        <v>24.04</v>
      </c>
      <c r="P21" s="39"/>
      <c r="Q21" s="367">
        <v>42094</v>
      </c>
      <c r="R21" s="23">
        <v>0.183</v>
      </c>
      <c r="S21">
        <f t="shared" si="0"/>
        <v>1.1830000000000001</v>
      </c>
    </row>
    <row r="22" spans="1:19">
      <c r="A22" s="337" t="s">
        <v>199</v>
      </c>
      <c r="B22">
        <v>27608.971000000001</v>
      </c>
      <c r="C22" s="54">
        <v>192.471</v>
      </c>
      <c r="D22">
        <f t="shared" si="3"/>
        <v>27416.5</v>
      </c>
      <c r="E22">
        <v>28624.223999999998</v>
      </c>
      <c r="F22" s="43">
        <f t="shared" si="1"/>
        <v>7.0202615213466341E-3</v>
      </c>
      <c r="G22" s="47">
        <f t="shared" si="2"/>
        <v>5.7558173274912416E-2</v>
      </c>
      <c r="H22" s="48">
        <f t="shared" si="4"/>
        <v>5.5962640614333495E-2</v>
      </c>
      <c r="K22" s="10">
        <f>0+0.837</f>
        <v>0.83699999999999997</v>
      </c>
      <c r="L22" s="340" t="s">
        <v>219</v>
      </c>
      <c r="M22" s="18">
        <f>1.643+1.91+0.744</f>
        <v>4.2969999999999997</v>
      </c>
      <c r="N22" s="78" t="s">
        <v>237</v>
      </c>
      <c r="O22" s="78">
        <f>0.753+4.385</f>
        <v>5.1379999999999999</v>
      </c>
      <c r="P22" s="78"/>
      <c r="Q22" s="367">
        <v>42460</v>
      </c>
      <c r="R22" s="23">
        <v>3.4000000000000002E-2</v>
      </c>
      <c r="S22">
        <f t="shared" si="0"/>
        <v>1.034</v>
      </c>
    </row>
    <row r="23" spans="1:19">
      <c r="A23" s="337" t="s">
        <v>198</v>
      </c>
      <c r="B23">
        <v>31106.428</v>
      </c>
      <c r="C23" s="54">
        <v>164.38800000000001</v>
      </c>
      <c r="D23">
        <f>B23-C23</f>
        <v>30942.04</v>
      </c>
      <c r="E23">
        <v>29358.31</v>
      </c>
      <c r="F23" s="43">
        <f t="shared" si="1"/>
        <v>5.3127718792943196E-3</v>
      </c>
      <c r="G23" s="47">
        <f t="shared" si="2"/>
        <v>0.10181657031349722</v>
      </c>
      <c r="H23" s="48">
        <f t="shared" si="4"/>
        <v>9.6960245254968325E-2</v>
      </c>
      <c r="K23" s="10">
        <f>0+1.071</f>
        <v>1.071</v>
      </c>
      <c r="L23" s="340" t="s">
        <v>219</v>
      </c>
      <c r="M23" s="18">
        <f>1.884+1.49+0.673</f>
        <v>4.0469999999999997</v>
      </c>
      <c r="N23" s="78" t="s">
        <v>267</v>
      </c>
      <c r="O23" s="839" t="s">
        <v>219</v>
      </c>
      <c r="P23" s="839"/>
    </row>
    <row r="24" spans="1:19">
      <c r="A24" s="337" t="s">
        <v>197</v>
      </c>
      <c r="B24">
        <v>33110.286</v>
      </c>
      <c r="C24" s="54">
        <v>314.94</v>
      </c>
      <c r="D24">
        <f>B24-C24</f>
        <v>32795.345999999998</v>
      </c>
      <c r="E24">
        <v>29824.555</v>
      </c>
      <c r="F24" s="43">
        <f t="shared" si="1"/>
        <v>9.6031918675290092E-3</v>
      </c>
      <c r="G24" s="47">
        <f t="shared" si="2"/>
        <v>4.4827716595285727E-2</v>
      </c>
      <c r="H24" s="48">
        <f t="shared" si="4"/>
        <v>4.3852007323009499E-2</v>
      </c>
      <c r="K24" s="357">
        <f>O22-SUM(K21:K23)</f>
        <v>2.726</v>
      </c>
      <c r="L24" s="358" t="s">
        <v>219</v>
      </c>
      <c r="M24" s="360">
        <f>O24-SUM(M21:M23)</f>
        <v>6.828000000000003</v>
      </c>
      <c r="N24" s="29" t="s">
        <v>552</v>
      </c>
      <c r="O24" s="30">
        <v>18.902000000000001</v>
      </c>
      <c r="P24" s="31"/>
    </row>
    <row r="25" spans="1:19">
      <c r="A25" s="337" t="s">
        <v>196</v>
      </c>
      <c r="B25">
        <v>38804.250999999997</v>
      </c>
      <c r="C25" s="54">
        <v>201.05600000000001</v>
      </c>
      <c r="D25">
        <f t="shared" si="3"/>
        <v>38603.195</v>
      </c>
      <c r="E25">
        <v>35377.953999999998</v>
      </c>
      <c r="F25" s="43">
        <f t="shared" si="1"/>
        <v>5.2082735638850622E-3</v>
      </c>
      <c r="G25" s="47">
        <f t="shared" si="2"/>
        <v>7.7587228382955953E-3</v>
      </c>
      <c r="H25" s="48">
        <f t="shared" si="4"/>
        <v>7.7287787338624321E-3</v>
      </c>
      <c r="K25" s="8">
        <f>0.612+0.977</f>
        <v>1.589</v>
      </c>
      <c r="L25" s="34" t="s">
        <v>219</v>
      </c>
      <c r="M25" s="9">
        <v>6.4160000000000004</v>
      </c>
      <c r="N25" s="6" t="s">
        <v>145</v>
      </c>
      <c r="O25">
        <f>SUM(O26:O28)</f>
        <v>52.466999999999999</v>
      </c>
    </row>
    <row r="26" spans="1:19">
      <c r="A26" s="337" t="s">
        <v>195</v>
      </c>
      <c r="B26">
        <v>44437.275999999998</v>
      </c>
      <c r="C26" s="54">
        <v>221.79400000000001</v>
      </c>
      <c r="D26">
        <f t="shared" si="3"/>
        <v>44215.481999999996</v>
      </c>
      <c r="E26">
        <v>40826.311000000002</v>
      </c>
      <c r="F26" s="43">
        <f t="shared" si="1"/>
        <v>5.016206766670553E-3</v>
      </c>
      <c r="G26" s="47">
        <f t="shared" si="2"/>
        <v>4.246539697037921E-3</v>
      </c>
      <c r="H26" s="48">
        <f t="shared" si="4"/>
        <v>4.2375485924065264E-3</v>
      </c>
      <c r="K26" s="10">
        <f>2.022+0.874</f>
        <v>2.8959999999999999</v>
      </c>
      <c r="L26" s="36" t="s">
        <v>219</v>
      </c>
      <c r="M26" s="11">
        <v>7.415</v>
      </c>
      <c r="N26" s="6" t="s">
        <v>237</v>
      </c>
      <c r="O26" s="6">
        <f>16.263+4.504</f>
        <v>20.767000000000003</v>
      </c>
      <c r="P26" s="6"/>
    </row>
    <row r="27" spans="1:19">
      <c r="A27" s="337" t="s">
        <v>194</v>
      </c>
      <c r="B27">
        <v>50883.940999999999</v>
      </c>
      <c r="C27" s="54">
        <v>302.791</v>
      </c>
      <c r="D27">
        <f>B27-C27</f>
        <v>50581.15</v>
      </c>
      <c r="E27">
        <v>44048.688000000002</v>
      </c>
      <c r="F27" s="43">
        <f t="shared" si="1"/>
        <v>5.9862419102768519E-3</v>
      </c>
      <c r="G27" s="47">
        <f t="shared" si="2"/>
        <v>7.1090280096912872E-2</v>
      </c>
      <c r="H27" s="48">
        <f t="shared" si="4"/>
        <v>6.8677083054817983E-2</v>
      </c>
      <c r="K27" s="10">
        <f>5.492+0.945</f>
        <v>6.4370000000000003</v>
      </c>
      <c r="L27" s="36" t="s">
        <v>219</v>
      </c>
      <c r="M27" s="11">
        <v>9.2910000000000004</v>
      </c>
      <c r="N27" s="6" t="s">
        <v>267</v>
      </c>
      <c r="O27" s="37" t="s">
        <v>219</v>
      </c>
      <c r="P27" s="37"/>
    </row>
    <row r="28" spans="1:19">
      <c r="A28" s="337" t="s">
        <v>193</v>
      </c>
      <c r="B28">
        <v>59028.572</v>
      </c>
      <c r="C28" s="54">
        <v>448.79300000000001</v>
      </c>
      <c r="D28">
        <f t="shared" si="3"/>
        <v>58579.779000000002</v>
      </c>
      <c r="E28">
        <v>50626.790999999997</v>
      </c>
      <c r="F28" s="43">
        <f t="shared" si="1"/>
        <v>7.6612272641042225E-3</v>
      </c>
      <c r="G28" s="47">
        <f t="shared" si="2"/>
        <v>2.808409852286875E-2</v>
      </c>
      <c r="H28" s="48">
        <f t="shared" si="4"/>
        <v>2.7696971588512767E-2</v>
      </c>
      <c r="K28" s="362">
        <f>O26-SUM(K25:K27)</f>
        <v>9.8450000000000024</v>
      </c>
      <c r="L28" s="358" t="s">
        <v>219</v>
      </c>
      <c r="M28" s="363">
        <f>O28-SUM(M25:M27)</f>
        <v>8.5779999999999994</v>
      </c>
      <c r="N28" s="29" t="s">
        <v>552</v>
      </c>
      <c r="O28" s="38">
        <v>31.7</v>
      </c>
      <c r="P28" s="41"/>
    </row>
    <row r="29" spans="1:19">
      <c r="A29" s="337" t="s">
        <v>192</v>
      </c>
      <c r="B29">
        <v>69103.322</v>
      </c>
      <c r="C29" s="54">
        <v>711.12599999999998</v>
      </c>
      <c r="D29">
        <f t="shared" si="3"/>
        <v>68392.195999999996</v>
      </c>
      <c r="E29">
        <v>58244.07</v>
      </c>
      <c r="F29" s="43">
        <f t="shared" si="1"/>
        <v>1.0397765265499006E-2</v>
      </c>
      <c r="G29" s="47">
        <f t="shared" si="2"/>
        <v>3.747262344571145E-2</v>
      </c>
      <c r="H29" s="48">
        <f t="shared" si="4"/>
        <v>3.6787585734294116E-2</v>
      </c>
      <c r="K29" s="27">
        <f>7.386+0.713</f>
        <v>8.0990000000000002</v>
      </c>
      <c r="L29" s="34" t="s">
        <v>219</v>
      </c>
      <c r="M29" s="9">
        <v>10.217000000000001</v>
      </c>
      <c r="N29" s="6" t="s">
        <v>145</v>
      </c>
      <c r="O29">
        <f>SUM(O30:O32)</f>
        <v>90</v>
      </c>
    </row>
    <row r="30" spans="1:19">
      <c r="A30" s="337" t="s">
        <v>191</v>
      </c>
      <c r="B30">
        <v>78082.990999999995</v>
      </c>
      <c r="C30" s="54">
        <v>1083.75</v>
      </c>
      <c r="D30">
        <f t="shared" si="3"/>
        <v>76999.240999999995</v>
      </c>
      <c r="E30">
        <v>62902.072</v>
      </c>
      <c r="F30" s="43">
        <f t="shared" si="1"/>
        <v>1.4074814062128224E-2</v>
      </c>
      <c r="G30" s="47">
        <f t="shared" si="2"/>
        <v>5.7741134675658001E-2</v>
      </c>
      <c r="H30" s="48">
        <f t="shared" si="4"/>
        <v>5.6135629278882444E-2</v>
      </c>
      <c r="K30" s="28">
        <f>14.654+2.306</f>
        <v>16.96</v>
      </c>
      <c r="L30" s="35" t="s">
        <v>219</v>
      </c>
      <c r="M30" s="11">
        <v>11.835000000000001</v>
      </c>
      <c r="N30" s="6" t="s">
        <v>237</v>
      </c>
      <c r="O30" s="6">
        <v>36</v>
      </c>
      <c r="P30" s="6"/>
    </row>
    <row r="31" spans="1:19">
      <c r="A31" s="337" t="s">
        <v>190</v>
      </c>
      <c r="B31">
        <v>81516.377999999997</v>
      </c>
      <c r="C31" s="54">
        <v>940.75300000000004</v>
      </c>
      <c r="D31" s="39">
        <f t="shared" si="3"/>
        <v>80575.625</v>
      </c>
      <c r="E31">
        <v>64378.661</v>
      </c>
      <c r="F31" s="43">
        <f t="shared" si="1"/>
        <v>1.1675404317372655E-2</v>
      </c>
      <c r="G31" s="47">
        <f t="shared" si="2"/>
        <v>2.7270333742640318E-2</v>
      </c>
      <c r="H31" s="48">
        <f t="shared" si="4"/>
        <v>2.6905122932169522E-2</v>
      </c>
      <c r="K31" s="28">
        <f>2.929+2.327</f>
        <v>5.2560000000000002</v>
      </c>
      <c r="L31" s="35" t="s">
        <v>219</v>
      </c>
      <c r="M31" s="11">
        <v>15.813000000000001</v>
      </c>
      <c r="N31" s="6" t="s">
        <v>267</v>
      </c>
      <c r="O31" s="37" t="s">
        <v>219</v>
      </c>
      <c r="P31" s="37"/>
    </row>
    <row r="32" spans="1:19">
      <c r="A32" s="337" t="s">
        <v>189</v>
      </c>
      <c r="B32">
        <v>90048</v>
      </c>
      <c r="C32" s="54">
        <v>1516</v>
      </c>
      <c r="D32">
        <f t="shared" si="3"/>
        <v>88532</v>
      </c>
      <c r="E32">
        <v>68440</v>
      </c>
      <c r="F32" s="43">
        <f t="shared" si="1"/>
        <v>1.7123751863732887E-2</v>
      </c>
      <c r="G32" s="47">
        <f t="shared" si="2"/>
        <v>4.8340127675087663E-2</v>
      </c>
      <c r="H32" s="49">
        <f t="shared" si="4"/>
        <v>4.7208082552405814E-2</v>
      </c>
      <c r="K32" s="357">
        <f>O30-SUM(K29:K31)</f>
        <v>5.6849999999999987</v>
      </c>
      <c r="L32" s="358" t="s">
        <v>219</v>
      </c>
      <c r="M32" s="360">
        <f>O32-SUM(M29:M31)</f>
        <v>16.134999999999998</v>
      </c>
      <c r="N32" s="29" t="s">
        <v>552</v>
      </c>
      <c r="O32" s="30">
        <v>54</v>
      </c>
      <c r="P32" s="31"/>
    </row>
    <row r="33" spans="1:16">
      <c r="A33" s="337" t="s">
        <v>188</v>
      </c>
      <c r="B33">
        <v>94527</v>
      </c>
      <c r="C33" s="54">
        <v>2647</v>
      </c>
      <c r="D33">
        <f t="shared" si="3"/>
        <v>91880</v>
      </c>
      <c r="E33">
        <v>74267</v>
      </c>
      <c r="F33" s="43">
        <f t="shared" si="1"/>
        <v>2.8809316499782325E-2</v>
      </c>
      <c r="G33" s="47">
        <f t="shared" si="2"/>
        <v>-2.8001174716486665E-2</v>
      </c>
      <c r="H33" s="48">
        <f t="shared" si="4"/>
        <v>-2.840068307848452E-2</v>
      </c>
      <c r="K33" s="8">
        <v>7</v>
      </c>
      <c r="L33" s="32" t="s">
        <v>219</v>
      </c>
      <c r="M33" s="9">
        <v>18</v>
      </c>
      <c r="N33" s="6" t="s">
        <v>145</v>
      </c>
      <c r="O33">
        <f>SUM(O34:O36)</f>
        <v>139</v>
      </c>
    </row>
    <row r="34" spans="1:16">
      <c r="A34" s="337" t="s">
        <v>187</v>
      </c>
      <c r="B34">
        <v>101554</v>
      </c>
      <c r="C34" s="54">
        <v>2983</v>
      </c>
      <c r="D34">
        <f t="shared" si="3"/>
        <v>98571</v>
      </c>
      <c r="E34">
        <v>77302</v>
      </c>
      <c r="F34" s="43">
        <f t="shared" si="1"/>
        <v>3.0262450416451085E-2</v>
      </c>
      <c r="G34" s="47">
        <f t="shared" si="2"/>
        <v>3.9791031780583408E-2</v>
      </c>
      <c r="H34" s="48">
        <f t="shared" si="4"/>
        <v>3.9019761983739146E-2</v>
      </c>
      <c r="K34" s="10">
        <v>0</v>
      </c>
      <c r="L34" s="33" t="s">
        <v>219</v>
      </c>
      <c r="M34" s="11">
        <v>17</v>
      </c>
      <c r="N34" s="6" t="s">
        <v>237</v>
      </c>
      <c r="O34" s="50">
        <v>25</v>
      </c>
      <c r="P34" s="50"/>
    </row>
    <row r="35" spans="1:16">
      <c r="A35" s="337" t="s">
        <v>186</v>
      </c>
      <c r="B35">
        <v>109942</v>
      </c>
      <c r="C35" s="54">
        <v>1696</v>
      </c>
      <c r="D35">
        <f t="shared" si="3"/>
        <v>108246</v>
      </c>
      <c r="E35">
        <v>78111</v>
      </c>
      <c r="F35" s="43">
        <f t="shared" si="1"/>
        <v>1.5668015446298245E-2</v>
      </c>
      <c r="G35" s="47">
        <f t="shared" si="2"/>
        <v>8.9945318602834501E-2</v>
      </c>
      <c r="H35" s="48">
        <f t="shared" si="4"/>
        <v>8.6127528563257533E-2</v>
      </c>
      <c r="K35" s="10">
        <v>6</v>
      </c>
      <c r="L35" s="33" t="s">
        <v>219</v>
      </c>
      <c r="M35" s="11">
        <v>28</v>
      </c>
      <c r="N35" s="6" t="s">
        <v>267</v>
      </c>
      <c r="O35" s="36" t="s">
        <v>219</v>
      </c>
      <c r="P35" s="309"/>
    </row>
    <row r="36" spans="1:16">
      <c r="A36" s="337" t="s">
        <v>185</v>
      </c>
      <c r="B36">
        <v>119959</v>
      </c>
      <c r="C36" s="54">
        <v>4024</v>
      </c>
      <c r="D36">
        <f t="shared" si="3"/>
        <v>115935</v>
      </c>
      <c r="E36">
        <v>83169</v>
      </c>
      <c r="F36" s="43">
        <f t="shared" si="1"/>
        <v>3.4709104239444517E-2</v>
      </c>
      <c r="G36" s="47">
        <f t="shared" si="2"/>
        <v>2.4305748018402573E-2</v>
      </c>
      <c r="H36" s="48">
        <f t="shared" si="4"/>
        <v>2.4015064099788246E-2</v>
      </c>
      <c r="K36" s="357">
        <f>O34-SUM(K33:K35)</f>
        <v>12</v>
      </c>
      <c r="L36" s="364" t="s">
        <v>219</v>
      </c>
      <c r="M36" s="360">
        <f>O36-SUM(M33:M35)</f>
        <v>51</v>
      </c>
      <c r="N36" s="29" t="s">
        <v>552</v>
      </c>
      <c r="O36" s="30">
        <v>114</v>
      </c>
      <c r="P36" s="31"/>
    </row>
    <row r="37" spans="1:16">
      <c r="A37" s="337" t="s">
        <v>184</v>
      </c>
      <c r="B37">
        <v>124078</v>
      </c>
      <c r="C37" s="54">
        <v>3611</v>
      </c>
      <c r="D37">
        <f t="shared" si="3"/>
        <v>120467</v>
      </c>
      <c r="E37">
        <v>86928</v>
      </c>
      <c r="F37" s="43">
        <f t="shared" si="1"/>
        <v>2.9975013904222733E-2</v>
      </c>
      <c r="G37" s="47">
        <f t="shared" si="2"/>
        <v>6.6675292189588564E-3</v>
      </c>
      <c r="H37" s="48">
        <f t="shared" si="4"/>
        <v>6.6453995583268454E-3</v>
      </c>
      <c r="K37" s="8">
        <v>58</v>
      </c>
      <c r="L37" s="26">
        <v>17</v>
      </c>
      <c r="M37" s="9">
        <v>32</v>
      </c>
      <c r="N37" s="6" t="s">
        <v>145</v>
      </c>
      <c r="O37">
        <f>SUM(O38:O40)</f>
        <v>500</v>
      </c>
    </row>
    <row r="38" spans="1:16">
      <c r="A38" s="337" t="s">
        <v>183</v>
      </c>
      <c r="B38">
        <v>123148</v>
      </c>
      <c r="C38" s="54">
        <v>1893</v>
      </c>
      <c r="D38">
        <f t="shared" si="3"/>
        <v>121255</v>
      </c>
      <c r="E38">
        <v>87810</v>
      </c>
      <c r="F38" s="43">
        <f t="shared" si="1"/>
        <v>1.5611727351449424E-2</v>
      </c>
      <c r="G38" s="47">
        <f t="shared" si="2"/>
        <v>-7.8029667875845199E-4</v>
      </c>
      <c r="H38" s="48">
        <f t="shared" si="4"/>
        <v>-7.8060126866919715E-4</v>
      </c>
      <c r="K38" s="10">
        <v>53</v>
      </c>
      <c r="L38" s="4">
        <v>16</v>
      </c>
      <c r="M38" s="11">
        <v>38</v>
      </c>
      <c r="N38" s="6" t="s">
        <v>237</v>
      </c>
      <c r="O38" s="31">
        <v>233</v>
      </c>
      <c r="P38" s="31"/>
    </row>
    <row r="39" spans="1:16">
      <c r="A39" s="337" t="s">
        <v>182</v>
      </c>
      <c r="B39">
        <v>121678</v>
      </c>
      <c r="C39" s="54">
        <v>2241</v>
      </c>
      <c r="D39">
        <f t="shared" si="3"/>
        <v>119437</v>
      </c>
      <c r="E39">
        <v>86138</v>
      </c>
      <c r="F39" s="43">
        <f t="shared" si="1"/>
        <v>1.8763029881862403E-2</v>
      </c>
      <c r="G39" s="47">
        <f t="shared" si="2"/>
        <v>-1.2040740588017407E-3</v>
      </c>
      <c r="H39" s="48">
        <f t="shared" si="4"/>
        <v>-1.2047995383838476E-3</v>
      </c>
      <c r="K39" s="10">
        <v>41</v>
      </c>
      <c r="L39" s="4">
        <v>38</v>
      </c>
      <c r="M39" s="11">
        <v>31</v>
      </c>
      <c r="N39" s="6" t="s">
        <v>267</v>
      </c>
      <c r="O39" s="31">
        <v>113</v>
      </c>
      <c r="P39" s="31"/>
    </row>
    <row r="40" spans="1:16">
      <c r="A40" s="337" t="s">
        <v>181</v>
      </c>
      <c r="B40">
        <v>130707</v>
      </c>
      <c r="C40" s="54">
        <v>8004</v>
      </c>
      <c r="D40">
        <f t="shared" si="3"/>
        <v>122703</v>
      </c>
      <c r="E40">
        <v>90359</v>
      </c>
      <c r="F40" s="43">
        <f t="shared" si="1"/>
        <v>6.5230678956504737E-2</v>
      </c>
      <c r="G40" s="47">
        <f t="shared" si="2"/>
        <v>-7.9958471830336997E-3</v>
      </c>
      <c r="H40" s="48">
        <f t="shared" si="4"/>
        <v>-8.0279853986011136E-3</v>
      </c>
      <c r="K40" s="357">
        <f>O38-SUM(K37:K39)</f>
        <v>81</v>
      </c>
      <c r="L40" s="206">
        <f>O39-SUM(L37:L39)</f>
        <v>42</v>
      </c>
      <c r="M40" s="360">
        <f>O40-SUM(M37:M39)</f>
        <v>53</v>
      </c>
      <c r="N40" s="29" t="s">
        <v>552</v>
      </c>
      <c r="O40" s="30">
        <v>154</v>
      </c>
      <c r="P40" s="31"/>
    </row>
    <row r="41" spans="1:16">
      <c r="A41" s="337" t="s">
        <v>180</v>
      </c>
      <c r="B41">
        <v>136923</v>
      </c>
      <c r="C41" s="54">
        <v>9220</v>
      </c>
      <c r="D41">
        <f t="shared" si="3"/>
        <v>127703</v>
      </c>
      <c r="E41">
        <v>94146</v>
      </c>
      <c r="F41" s="43">
        <f t="shared" si="1"/>
        <v>7.2198773717140549E-2</v>
      </c>
      <c r="G41" s="47">
        <f t="shared" si="2"/>
        <v>9.8856588673463808E-3</v>
      </c>
      <c r="H41" s="48">
        <f t="shared" si="4"/>
        <v>9.8371154023094744E-3</v>
      </c>
      <c r="K41" s="8">
        <v>74</v>
      </c>
      <c r="L41" s="26">
        <v>19</v>
      </c>
      <c r="M41" s="9">
        <v>46</v>
      </c>
      <c r="N41" s="6" t="s">
        <v>145</v>
      </c>
      <c r="O41">
        <f>SUM(O42:O44)</f>
        <v>665</v>
      </c>
    </row>
    <row r="42" spans="1:16">
      <c r="A42" s="337" t="s">
        <v>179</v>
      </c>
      <c r="B42">
        <v>129212</v>
      </c>
      <c r="C42" s="54">
        <v>11791</v>
      </c>
      <c r="D42">
        <f t="shared" si="3"/>
        <v>117421</v>
      </c>
      <c r="E42">
        <v>94695</v>
      </c>
      <c r="F42" s="43">
        <f t="shared" si="1"/>
        <v>0.10041645020907675</v>
      </c>
      <c r="G42" s="47">
        <f t="shared" si="2"/>
        <v>-8.4813982443638802E-2</v>
      </c>
      <c r="H42" s="48">
        <f t="shared" si="4"/>
        <v>-8.8627936493023959E-2</v>
      </c>
      <c r="K42" s="10">
        <v>99</v>
      </c>
      <c r="L42" s="4">
        <v>17</v>
      </c>
      <c r="M42" s="18">
        <v>45</v>
      </c>
      <c r="N42" s="6" t="s">
        <v>237</v>
      </c>
      <c r="O42" s="31">
        <v>383</v>
      </c>
      <c r="P42" s="31"/>
    </row>
    <row r="43" spans="1:16">
      <c r="A43" s="337" t="s">
        <v>178</v>
      </c>
      <c r="B43">
        <v>116450</v>
      </c>
      <c r="C43" s="54">
        <v>7585</v>
      </c>
      <c r="D43">
        <f t="shared" si="3"/>
        <v>108865</v>
      </c>
      <c r="E43">
        <v>94063</v>
      </c>
      <c r="F43" s="43">
        <f t="shared" si="1"/>
        <v>6.9673448766821286E-2</v>
      </c>
      <c r="G43" s="47">
        <f t="shared" ref="G43:G75" si="5">(D43-(E43-E42))/D42-1</f>
        <v>-6.7483669871658436E-2</v>
      </c>
      <c r="H43" s="48">
        <f t="shared" si="4"/>
        <v>-6.9868615415528398E-2</v>
      </c>
      <c r="K43" s="10">
        <v>93</v>
      </c>
      <c r="L43" s="4">
        <v>20</v>
      </c>
      <c r="M43" s="11">
        <v>48</v>
      </c>
      <c r="N43" s="6" t="s">
        <v>267</v>
      </c>
      <c r="O43" s="31">
        <v>93</v>
      </c>
      <c r="P43" s="31"/>
    </row>
    <row r="44" spans="1:16">
      <c r="A44" s="337" t="s">
        <v>177</v>
      </c>
      <c r="B44">
        <v>112486</v>
      </c>
      <c r="C44" s="54">
        <v>6985</v>
      </c>
      <c r="D44">
        <f t="shared" si="3"/>
        <v>105501</v>
      </c>
      <c r="E44">
        <v>96922</v>
      </c>
      <c r="F44" s="43">
        <f t="shared" si="1"/>
        <v>6.6207903242623295E-2</v>
      </c>
      <c r="G44" s="47">
        <f t="shared" si="5"/>
        <v>-5.716254076149363E-2</v>
      </c>
      <c r="H44" s="48">
        <f t="shared" si="4"/>
        <v>-5.886137680607248E-2</v>
      </c>
      <c r="K44" s="357">
        <f>O42-SUM(K41:K43)</f>
        <v>117</v>
      </c>
      <c r="L44" s="206">
        <f>O43-SUM(L41:L43)</f>
        <v>37</v>
      </c>
      <c r="M44" s="360">
        <f>O44-SUM(M41:M43)</f>
        <v>50</v>
      </c>
      <c r="N44" s="29" t="s">
        <v>552</v>
      </c>
      <c r="O44" s="30">
        <v>189</v>
      </c>
      <c r="P44" s="31"/>
    </row>
    <row r="45" spans="1:16">
      <c r="A45" s="337" t="s">
        <v>176</v>
      </c>
      <c r="B45">
        <v>120720</v>
      </c>
      <c r="C45" s="54">
        <v>4117</v>
      </c>
      <c r="D45" s="39">
        <f t="shared" si="3"/>
        <v>116603</v>
      </c>
      <c r="E45">
        <v>100443</v>
      </c>
      <c r="F45" s="43">
        <f t="shared" si="1"/>
        <v>3.5307839420941144E-2</v>
      </c>
      <c r="G45" s="47">
        <f t="shared" si="5"/>
        <v>7.1857138794892972E-2</v>
      </c>
      <c r="H45" s="48">
        <f t="shared" si="4"/>
        <v>6.9392787718361118E-2</v>
      </c>
      <c r="K45" s="8">
        <v>94</v>
      </c>
      <c r="L45" s="26">
        <v>29</v>
      </c>
      <c r="M45" s="9">
        <v>60</v>
      </c>
      <c r="N45" s="6" t="s">
        <v>145</v>
      </c>
      <c r="O45">
        <f>SUM(O46:O48)</f>
        <v>850</v>
      </c>
    </row>
    <row r="46" spans="1:16">
      <c r="A46" s="337" t="s">
        <v>175</v>
      </c>
      <c r="B46">
        <v>128173</v>
      </c>
      <c r="C46" s="54">
        <v>4347</v>
      </c>
      <c r="D46">
        <f t="shared" si="3"/>
        <v>123826</v>
      </c>
      <c r="E46">
        <v>102365</v>
      </c>
      <c r="F46" s="43">
        <f t="shared" si="1"/>
        <v>3.5105712855135432E-2</v>
      </c>
      <c r="G46" s="47">
        <f t="shared" si="5"/>
        <v>4.5461952093856839E-2</v>
      </c>
      <c r="H46" s="49">
        <f t="shared" si="4"/>
        <v>4.4458847157253331E-2</v>
      </c>
      <c r="K46" s="10">
        <v>132</v>
      </c>
      <c r="L46" s="4">
        <v>53</v>
      </c>
      <c r="M46" s="11">
        <v>64</v>
      </c>
      <c r="N46" s="6" t="s">
        <v>237</v>
      </c>
      <c r="O46" s="31">
        <v>466</v>
      </c>
      <c r="P46" s="31"/>
    </row>
    <row r="47" spans="1:16">
      <c r="A47" s="337" t="s">
        <v>174</v>
      </c>
      <c r="B47">
        <v>127944</v>
      </c>
      <c r="C47" s="54">
        <v>4005</v>
      </c>
      <c r="D47">
        <f t="shared" si="3"/>
        <v>123939</v>
      </c>
      <c r="E47">
        <v>100342</v>
      </c>
      <c r="F47" s="43">
        <f t="shared" si="1"/>
        <v>3.231428363953235E-2</v>
      </c>
      <c r="G47" s="47">
        <f t="shared" si="5"/>
        <v>1.7250012113772639E-2</v>
      </c>
      <c r="H47" s="48">
        <f t="shared" si="4"/>
        <v>1.7102919808015753E-2</v>
      </c>
      <c r="K47" s="10">
        <v>113</v>
      </c>
      <c r="L47" s="40">
        <v>22</v>
      </c>
      <c r="M47" s="11">
        <v>51</v>
      </c>
      <c r="N47" s="6" t="s">
        <v>267</v>
      </c>
      <c r="O47" s="31">
        <v>148</v>
      </c>
      <c r="P47" s="31"/>
    </row>
    <row r="48" spans="1:16">
      <c r="A48" s="337" t="s">
        <v>173</v>
      </c>
      <c r="B48">
        <v>131641</v>
      </c>
      <c r="C48" s="54">
        <v>4011</v>
      </c>
      <c r="D48">
        <f t="shared" si="3"/>
        <v>127630</v>
      </c>
      <c r="E48">
        <v>103069</v>
      </c>
      <c r="F48" s="43">
        <f t="shared" si="1"/>
        <v>3.1426780537491185E-2</v>
      </c>
      <c r="G48" s="47">
        <f t="shared" si="5"/>
        <v>7.7780198323369465E-3</v>
      </c>
      <c r="H48" s="48">
        <f t="shared" si="4"/>
        <v>7.7479269772394018E-3</v>
      </c>
      <c r="K48" s="357">
        <f>O46-SUM(K45:K47)</f>
        <v>127</v>
      </c>
      <c r="L48" s="206">
        <f>O47-SUM(L45:L47)</f>
        <v>44</v>
      </c>
      <c r="M48" s="360">
        <f>O48-SUM(M45:M47)</f>
        <v>61</v>
      </c>
      <c r="N48" s="29" t="s">
        <v>552</v>
      </c>
      <c r="O48" s="30">
        <v>236</v>
      </c>
      <c r="P48" s="31"/>
    </row>
    <row r="49" spans="1:16">
      <c r="A49" s="337" t="s">
        <v>172</v>
      </c>
      <c r="B49">
        <v>134678</v>
      </c>
      <c r="C49" s="54">
        <v>4998</v>
      </c>
      <c r="D49">
        <f t="shared" si="3"/>
        <v>129680</v>
      </c>
      <c r="E49">
        <v>106876</v>
      </c>
      <c r="F49" s="43">
        <f t="shared" si="1"/>
        <v>3.8541024059222703E-2</v>
      </c>
      <c r="G49" s="47">
        <f t="shared" si="5"/>
        <v>-1.3766355872443792E-2</v>
      </c>
      <c r="H49" s="48">
        <f t="shared" si="4"/>
        <v>-1.3861990860651154E-2</v>
      </c>
      <c r="K49" s="8">
        <v>104</v>
      </c>
      <c r="L49" s="26">
        <v>45</v>
      </c>
      <c r="M49" s="9">
        <v>65</v>
      </c>
      <c r="N49" s="6" t="s">
        <v>145</v>
      </c>
      <c r="O49">
        <f>SUM(O50:O52)</f>
        <v>1001</v>
      </c>
    </row>
    <row r="50" spans="1:16">
      <c r="A50" s="337" t="s">
        <v>171</v>
      </c>
      <c r="B50">
        <v>143672</v>
      </c>
      <c r="C50" s="54">
        <v>5050</v>
      </c>
      <c r="D50">
        <f t="shared" si="3"/>
        <v>138622</v>
      </c>
      <c r="E50">
        <v>107417</v>
      </c>
      <c r="F50" s="43">
        <f t="shared" si="1"/>
        <v>3.6430003895485563E-2</v>
      </c>
      <c r="G50" s="47">
        <f t="shared" si="5"/>
        <v>6.4782541640962421E-2</v>
      </c>
      <c r="H50" s="48">
        <f t="shared" si="4"/>
        <v>6.2770592059920027E-2</v>
      </c>
      <c r="K50" s="10">
        <v>116</v>
      </c>
      <c r="L50" s="4">
        <v>38</v>
      </c>
      <c r="M50" s="11">
        <v>66</v>
      </c>
      <c r="N50" s="6" t="s">
        <v>237</v>
      </c>
      <c r="O50" s="31">
        <v>500</v>
      </c>
      <c r="P50" s="31"/>
    </row>
    <row r="51" spans="1:16">
      <c r="A51" s="337" t="s">
        <v>170</v>
      </c>
      <c r="B51">
        <v>144124</v>
      </c>
      <c r="C51" s="54">
        <v>4022</v>
      </c>
      <c r="D51">
        <f t="shared" si="3"/>
        <v>140102</v>
      </c>
      <c r="E51">
        <v>104972</v>
      </c>
      <c r="F51" s="43">
        <f t="shared" si="1"/>
        <v>2.8707655850737319E-2</v>
      </c>
      <c r="G51" s="47">
        <f t="shared" si="5"/>
        <v>2.8314408968273419E-2</v>
      </c>
      <c r="H51" s="48">
        <f t="shared" si="4"/>
        <v>2.7920965571710709E-2</v>
      </c>
      <c r="K51" s="10">
        <v>135</v>
      </c>
      <c r="L51" s="4">
        <v>68</v>
      </c>
      <c r="M51" s="11">
        <v>76</v>
      </c>
      <c r="N51" s="6" t="s">
        <v>267</v>
      </c>
      <c r="O51" s="31">
        <v>173</v>
      </c>
      <c r="P51" s="31"/>
    </row>
    <row r="52" spans="1:16">
      <c r="A52" s="337" t="s">
        <v>169</v>
      </c>
      <c r="B52">
        <v>154076</v>
      </c>
      <c r="C52" s="54">
        <v>5880</v>
      </c>
      <c r="D52">
        <f t="shared" si="3"/>
        <v>148196</v>
      </c>
      <c r="E52">
        <v>108405</v>
      </c>
      <c r="F52" s="43">
        <f t="shared" si="1"/>
        <v>3.9677184269480956E-2</v>
      </c>
      <c r="G52" s="47">
        <f t="shared" si="5"/>
        <v>3.3268618577893205E-2</v>
      </c>
      <c r="H52" s="48">
        <f t="shared" si="4"/>
        <v>3.2727193679142987E-2</v>
      </c>
      <c r="K52" s="357">
        <f>O50-SUM(K49:K51)</f>
        <v>145</v>
      </c>
      <c r="L52" s="206">
        <f>O51-SUM(L49:L51)</f>
        <v>22</v>
      </c>
      <c r="M52" s="360">
        <f>O52-SUM(M49:M51)</f>
        <v>121</v>
      </c>
      <c r="N52" s="29" t="s">
        <v>552</v>
      </c>
      <c r="O52" s="30">
        <v>328</v>
      </c>
      <c r="P52" s="31"/>
    </row>
    <row r="53" spans="1:16">
      <c r="A53" s="337" t="s">
        <v>168</v>
      </c>
      <c r="B53">
        <v>162990</v>
      </c>
      <c r="C53" s="54">
        <v>9759</v>
      </c>
      <c r="D53">
        <f t="shared" si="3"/>
        <v>153231</v>
      </c>
      <c r="E53">
        <v>112241</v>
      </c>
      <c r="F53" s="43">
        <f t="shared" si="1"/>
        <v>6.3688157096148945E-2</v>
      </c>
      <c r="G53" s="47">
        <f t="shared" si="5"/>
        <v>8.0906367243380739E-3</v>
      </c>
      <c r="H53" s="48">
        <f t="shared" si="4"/>
        <v>8.0580829921071285E-3</v>
      </c>
      <c r="K53" s="8">
        <v>130</v>
      </c>
      <c r="L53" s="52">
        <v>53</v>
      </c>
      <c r="M53" s="9">
        <v>95</v>
      </c>
      <c r="N53" s="6" t="s">
        <v>145</v>
      </c>
      <c r="O53">
        <f>SUM(O54:O56)</f>
        <v>1318</v>
      </c>
    </row>
    <row r="54" spans="1:16">
      <c r="A54" s="337" t="s">
        <v>167</v>
      </c>
      <c r="B54">
        <v>162971</v>
      </c>
      <c r="C54" s="54">
        <v>10677</v>
      </c>
      <c r="D54">
        <f t="shared" si="3"/>
        <v>152294</v>
      </c>
      <c r="E54">
        <v>112614</v>
      </c>
      <c r="F54" s="43">
        <f t="shared" si="1"/>
        <v>7.0107817773517017E-2</v>
      </c>
      <c r="G54" s="47">
        <f t="shared" si="5"/>
        <v>-8.5491839118716495E-3</v>
      </c>
      <c r="H54" s="48">
        <f t="shared" si="4"/>
        <v>-8.5859378118070279E-3</v>
      </c>
      <c r="K54" s="10">
        <v>154</v>
      </c>
      <c r="L54" s="4">
        <v>74</v>
      </c>
      <c r="M54" s="11">
        <v>111</v>
      </c>
      <c r="N54" s="6" t="s">
        <v>237</v>
      </c>
      <c r="O54" s="31">
        <v>650</v>
      </c>
      <c r="P54" s="31"/>
    </row>
    <row r="55" spans="1:16">
      <c r="A55" s="337" t="s">
        <v>166</v>
      </c>
      <c r="B55">
        <v>161416</v>
      </c>
      <c r="C55" s="54">
        <v>8602</v>
      </c>
      <c r="D55">
        <f t="shared" si="3"/>
        <v>152814</v>
      </c>
      <c r="E55">
        <v>110070</v>
      </c>
      <c r="F55" s="43">
        <f t="shared" si="1"/>
        <v>5.6290653997670373E-2</v>
      </c>
      <c r="G55" s="47">
        <f t="shared" si="5"/>
        <v>2.0118980393186936E-2</v>
      </c>
      <c r="H55" s="48">
        <f t="shared" si="4"/>
        <v>1.9919267937696512E-2</v>
      </c>
      <c r="K55" s="10">
        <v>128</v>
      </c>
      <c r="L55" s="4">
        <v>43</v>
      </c>
      <c r="M55" s="11">
        <v>113</v>
      </c>
      <c r="N55" s="6" t="s">
        <v>267</v>
      </c>
      <c r="O55" s="31">
        <v>228</v>
      </c>
      <c r="P55" s="31"/>
    </row>
    <row r="56" spans="1:16">
      <c r="A56" s="337" t="s">
        <v>165</v>
      </c>
      <c r="B56">
        <v>178162</v>
      </c>
      <c r="C56" s="54">
        <v>16526</v>
      </c>
      <c r="D56">
        <f t="shared" si="3"/>
        <v>161636</v>
      </c>
      <c r="E56">
        <v>112349</v>
      </c>
      <c r="F56" s="43">
        <f t="shared" si="1"/>
        <v>0.1022420747853201</v>
      </c>
      <c r="G56" s="47">
        <f t="shared" si="5"/>
        <v>4.2816757626918944E-2</v>
      </c>
      <c r="H56" s="48">
        <f t="shared" si="4"/>
        <v>4.1925472785949748E-2</v>
      </c>
      <c r="K56" s="357">
        <f>O54-SUM(K53:K55)</f>
        <v>238</v>
      </c>
      <c r="L56" s="206">
        <f>O55-SUM(L53:L55)</f>
        <v>58</v>
      </c>
      <c r="M56" s="360">
        <f>O56-SUM(M53:M55)</f>
        <v>121</v>
      </c>
      <c r="N56" s="29" t="s">
        <v>552</v>
      </c>
      <c r="O56" s="30">
        <v>440</v>
      </c>
      <c r="P56" s="31"/>
    </row>
    <row r="57" spans="1:16">
      <c r="A57" s="337" t="s">
        <v>164</v>
      </c>
      <c r="B57">
        <v>179632</v>
      </c>
      <c r="C57" s="54">
        <v>13853</v>
      </c>
      <c r="D57">
        <f t="shared" si="3"/>
        <v>165779</v>
      </c>
      <c r="E57">
        <v>115766</v>
      </c>
      <c r="F57" s="43">
        <f t="shared" si="1"/>
        <v>8.3563056840733743E-2</v>
      </c>
      <c r="G57" s="47">
        <f t="shared" si="5"/>
        <v>4.4915736593333921E-3</v>
      </c>
      <c r="H57" s="48">
        <f t="shared" si="4"/>
        <v>4.4815166456650219E-3</v>
      </c>
      <c r="K57" s="8">
        <v>140</v>
      </c>
      <c r="L57" s="26">
        <v>47</v>
      </c>
      <c r="M57" s="9">
        <v>118</v>
      </c>
      <c r="N57" s="6" t="s">
        <v>145</v>
      </c>
      <c r="O57">
        <f>SUM(O58:O60)</f>
        <v>1449</v>
      </c>
    </row>
    <row r="58" spans="1:16">
      <c r="A58" s="337" t="s">
        <v>163</v>
      </c>
      <c r="B58">
        <v>187916</v>
      </c>
      <c r="C58" s="54">
        <v>17813</v>
      </c>
      <c r="D58">
        <f t="shared" si="3"/>
        <v>170103</v>
      </c>
      <c r="E58">
        <v>117085</v>
      </c>
      <c r="F58" s="43">
        <f t="shared" si="1"/>
        <v>0.10471890560425154</v>
      </c>
      <c r="G58" s="47">
        <f t="shared" si="5"/>
        <v>1.8126541962492304E-2</v>
      </c>
      <c r="H58" s="48">
        <f t="shared" si="4"/>
        <v>1.7964214884988627E-2</v>
      </c>
      <c r="K58" s="10">
        <v>240</v>
      </c>
      <c r="L58" s="4">
        <v>49</v>
      </c>
      <c r="M58" s="11">
        <v>121</v>
      </c>
      <c r="N58" s="6" t="s">
        <v>237</v>
      </c>
      <c r="O58" s="31">
        <v>782</v>
      </c>
      <c r="P58" s="31"/>
    </row>
    <row r="59" spans="1:16">
      <c r="A59" s="337" t="s">
        <v>162</v>
      </c>
      <c r="B59">
        <v>193926</v>
      </c>
      <c r="C59" s="54">
        <v>21345</v>
      </c>
      <c r="D59">
        <f t="shared" si="3"/>
        <v>172581</v>
      </c>
      <c r="E59">
        <v>114674</v>
      </c>
      <c r="F59" s="43">
        <f t="shared" si="1"/>
        <v>0.12368105411372052</v>
      </c>
      <c r="G59" s="47">
        <f t="shared" si="5"/>
        <v>2.8741409616526381E-2</v>
      </c>
      <c r="H59" s="48">
        <f t="shared" si="4"/>
        <v>2.8336122662274948E-2</v>
      </c>
      <c r="K59" s="10">
        <v>199</v>
      </c>
      <c r="L59" s="4">
        <v>39</v>
      </c>
      <c r="M59" s="11">
        <v>139</v>
      </c>
      <c r="N59" s="6" t="s">
        <v>267</v>
      </c>
      <c r="O59" s="31">
        <v>177</v>
      </c>
      <c r="P59" s="31"/>
    </row>
    <row r="60" spans="1:16">
      <c r="A60" s="337" t="s">
        <v>161</v>
      </c>
      <c r="B60">
        <v>208971</v>
      </c>
      <c r="C60" s="54">
        <v>28383</v>
      </c>
      <c r="D60">
        <v>183264</v>
      </c>
      <c r="E60">
        <v>117731</v>
      </c>
      <c r="F60" s="43">
        <f t="shared" si="1"/>
        <v>0.15487493452069145</v>
      </c>
      <c r="G60" s="47">
        <f t="shared" si="5"/>
        <v>4.4187946529455679E-2</v>
      </c>
      <c r="H60" s="48">
        <f t="shared" si="4"/>
        <v>4.3239498669173183E-2</v>
      </c>
      <c r="K60" s="357">
        <f>O58-SUM(K57:K59)</f>
        <v>203</v>
      </c>
      <c r="L60" s="206">
        <f>O59-SUM(L57:L59)</f>
        <v>42</v>
      </c>
      <c r="M60" s="360">
        <f>O60-SUM(M57:M59)</f>
        <v>112</v>
      </c>
      <c r="N60" s="29" t="s">
        <v>552</v>
      </c>
      <c r="O60" s="30">
        <v>490</v>
      </c>
      <c r="P60" s="31"/>
    </row>
    <row r="61" spans="1:16">
      <c r="A61" s="337" t="s">
        <v>160</v>
      </c>
      <c r="B61">
        <v>230393</v>
      </c>
      <c r="C61" s="54">
        <v>41455</v>
      </c>
      <c r="D61">
        <f t="shared" si="3"/>
        <v>188938</v>
      </c>
      <c r="E61">
        <v>121527</v>
      </c>
      <c r="F61" s="43">
        <f t="shared" si="1"/>
        <v>0.21941060030274481</v>
      </c>
      <c r="G61" s="47">
        <f t="shared" si="5"/>
        <v>1.0247511786275476E-2</v>
      </c>
      <c r="H61" s="48">
        <f t="shared" si="4"/>
        <v>1.0195362005113439E-2</v>
      </c>
      <c r="K61" s="8">
        <v>219</v>
      </c>
      <c r="L61" s="26">
        <v>37</v>
      </c>
      <c r="M61" s="9">
        <v>125</v>
      </c>
      <c r="N61" s="6" t="s">
        <v>145</v>
      </c>
      <c r="O61">
        <f>SUM(O62:O64)</f>
        <v>1739</v>
      </c>
    </row>
    <row r="62" spans="1:16">
      <c r="A62" s="337" t="s">
        <v>159</v>
      </c>
      <c r="B62">
        <v>226871</v>
      </c>
      <c r="C62" s="54">
        <v>34027</v>
      </c>
      <c r="D62">
        <f t="shared" si="3"/>
        <v>192844</v>
      </c>
      <c r="E62">
        <v>122164</v>
      </c>
      <c r="F62" s="43">
        <f t="shared" si="1"/>
        <v>0.17644832092261103</v>
      </c>
      <c r="G62" s="47">
        <f t="shared" si="5"/>
        <v>1.7301972075495664E-2</v>
      </c>
      <c r="H62" s="48">
        <f t="shared" si="4"/>
        <v>1.7153997354461464E-2</v>
      </c>
      <c r="K62" s="10">
        <v>212</v>
      </c>
      <c r="L62" s="4">
        <v>72</v>
      </c>
      <c r="M62" s="11">
        <v>100</v>
      </c>
      <c r="N62" s="6" t="s">
        <v>237</v>
      </c>
      <c r="O62" s="31">
        <v>947</v>
      </c>
      <c r="P62" s="31"/>
    </row>
    <row r="63" spans="1:16">
      <c r="A63" s="337" t="s">
        <v>158</v>
      </c>
      <c r="B63">
        <v>241766</v>
      </c>
      <c r="C63" s="54">
        <v>40273</v>
      </c>
      <c r="D63">
        <f t="shared" si="3"/>
        <v>201493</v>
      </c>
      <c r="E63">
        <v>119701</v>
      </c>
      <c r="F63" s="43">
        <f t="shared" si="1"/>
        <v>0.19987294843989617</v>
      </c>
      <c r="G63" s="47">
        <f t="shared" si="5"/>
        <v>5.7621704590238743E-2</v>
      </c>
      <c r="H63" s="48">
        <f t="shared" si="4"/>
        <v>5.6022712399253792E-2</v>
      </c>
      <c r="K63" s="10">
        <v>273</v>
      </c>
      <c r="L63" s="4">
        <v>51</v>
      </c>
      <c r="M63" s="11">
        <v>143</v>
      </c>
      <c r="N63" s="6" t="s">
        <v>267</v>
      </c>
      <c r="O63" s="31">
        <v>216</v>
      </c>
      <c r="P63" s="31"/>
    </row>
    <row r="64" spans="1:16">
      <c r="A64" s="337" t="s">
        <v>157</v>
      </c>
      <c r="B64">
        <v>252276</v>
      </c>
      <c r="C64" s="54">
        <v>33184</v>
      </c>
      <c r="D64">
        <f t="shared" ref="D64:D74" si="6">B64-C64</f>
        <v>219092</v>
      </c>
      <c r="E64">
        <v>123425</v>
      </c>
      <c r="F64" s="43">
        <f t="shared" ref="F64:F74" si="7">C64/D64</f>
        <v>0.15146148649882241</v>
      </c>
      <c r="G64" s="47">
        <f t="shared" si="5"/>
        <v>6.8860952985959845E-2</v>
      </c>
      <c r="H64" s="48">
        <f t="shared" si="4"/>
        <v>6.6593551539737922E-2</v>
      </c>
      <c r="K64" s="357">
        <f>O62-SUM(K61:K63)</f>
        <v>243</v>
      </c>
      <c r="L64" s="206">
        <f>O63-SUM(L61:L63)</f>
        <v>56</v>
      </c>
      <c r="M64" s="360">
        <f>O64-SUM(M61:M63)</f>
        <v>208</v>
      </c>
      <c r="N64" s="29" t="s">
        <v>552</v>
      </c>
      <c r="O64" s="30">
        <v>576</v>
      </c>
      <c r="P64" s="31"/>
    </row>
    <row r="65" spans="1:16">
      <c r="A65" s="337" t="s">
        <v>156</v>
      </c>
      <c r="B65">
        <v>268392</v>
      </c>
      <c r="C65" s="54">
        <v>41592</v>
      </c>
      <c r="D65">
        <f t="shared" si="6"/>
        <v>226800</v>
      </c>
      <c r="E65">
        <v>127723</v>
      </c>
      <c r="F65" s="43">
        <f t="shared" si="7"/>
        <v>0.18338624338624337</v>
      </c>
      <c r="G65" s="47">
        <f t="shared" si="5"/>
        <v>1.5564237854417406E-2</v>
      </c>
      <c r="H65" s="48">
        <f t="shared" si="4"/>
        <v>1.5444357402895504E-2</v>
      </c>
      <c r="K65" s="8">
        <v>222</v>
      </c>
      <c r="L65" s="26">
        <v>64</v>
      </c>
      <c r="M65" s="9">
        <v>144</v>
      </c>
      <c r="N65" s="6" t="s">
        <v>145</v>
      </c>
      <c r="O65">
        <f>SUM(O66:O68)</f>
        <v>2330</v>
      </c>
    </row>
    <row r="66" spans="1:16">
      <c r="A66" s="337" t="s">
        <v>155</v>
      </c>
      <c r="B66">
        <v>273607</v>
      </c>
      <c r="C66" s="54">
        <v>39181</v>
      </c>
      <c r="D66">
        <f t="shared" si="6"/>
        <v>234426</v>
      </c>
      <c r="E66">
        <v>127787</v>
      </c>
      <c r="F66" s="43">
        <f t="shared" si="7"/>
        <v>0.16713589789528466</v>
      </c>
      <c r="G66" s="47">
        <f t="shared" si="5"/>
        <v>3.3342151675485043E-2</v>
      </c>
      <c r="H66" s="48">
        <f t="shared" si="4"/>
        <v>3.2798356666079186E-2</v>
      </c>
      <c r="K66" s="10">
        <v>310</v>
      </c>
      <c r="L66" s="4">
        <v>42</v>
      </c>
      <c r="M66" s="11">
        <v>172</v>
      </c>
      <c r="N66" s="6" t="s">
        <v>237</v>
      </c>
      <c r="O66" s="50">
        <v>1254</v>
      </c>
      <c r="P66" s="50"/>
    </row>
    <row r="67" spans="1:16">
      <c r="A67" s="337" t="s">
        <v>154</v>
      </c>
      <c r="B67">
        <v>289580</v>
      </c>
      <c r="C67" s="54">
        <v>50792</v>
      </c>
      <c r="D67">
        <f t="shared" si="6"/>
        <v>238788</v>
      </c>
      <c r="E67">
        <v>124864</v>
      </c>
      <c r="F67" s="43">
        <f t="shared" si="7"/>
        <v>0.21270750623984455</v>
      </c>
      <c r="G67" s="47">
        <f t="shared" si="5"/>
        <v>3.1075904549836553E-2</v>
      </c>
      <c r="H67" s="48">
        <f t="shared" si="4"/>
        <v>3.0602824584620585E-2</v>
      </c>
      <c r="K67" s="10">
        <v>277</v>
      </c>
      <c r="L67" s="4">
        <v>27</v>
      </c>
      <c r="M67" s="11">
        <v>181</v>
      </c>
      <c r="N67" s="6" t="s">
        <v>267</v>
      </c>
      <c r="O67" s="31">
        <v>273</v>
      </c>
      <c r="P67" s="31"/>
    </row>
    <row r="68" spans="1:16">
      <c r="A68" s="337" t="s">
        <v>153</v>
      </c>
      <c r="B68">
        <v>321818</v>
      </c>
      <c r="C68" s="54">
        <v>57195</v>
      </c>
      <c r="D68">
        <f t="shared" si="6"/>
        <v>264623</v>
      </c>
      <c r="E68">
        <v>128318</v>
      </c>
      <c r="F68" s="43">
        <f t="shared" si="7"/>
        <v>0.21613767510760593</v>
      </c>
      <c r="G68" s="47">
        <f t="shared" si="5"/>
        <v>9.3727490493659582E-2</v>
      </c>
      <c r="H68" s="48">
        <f t="shared" ref="H68:H76" si="8">LN(1+G68)</f>
        <v>8.9591578357830881E-2</v>
      </c>
      <c r="K68" s="365">
        <f>O66-SUM(K65:K67)</f>
        <v>445</v>
      </c>
      <c r="L68" s="79">
        <f>O67-SUM(L65:L67)</f>
        <v>140</v>
      </c>
      <c r="M68" s="360">
        <f>O68-SUM(M65:M67)</f>
        <v>306</v>
      </c>
      <c r="N68" s="29" t="s">
        <v>552</v>
      </c>
      <c r="O68" s="30">
        <v>803</v>
      </c>
      <c r="P68" s="31"/>
    </row>
    <row r="69" spans="1:16">
      <c r="A69" s="337" t="s">
        <v>146</v>
      </c>
      <c r="B69">
        <v>335966</v>
      </c>
      <c r="C69" s="54">
        <v>67315</v>
      </c>
      <c r="D69">
        <f t="shared" si="6"/>
        <v>268651</v>
      </c>
      <c r="E69">
        <v>132513</v>
      </c>
      <c r="F69" s="43">
        <f t="shared" si="7"/>
        <v>0.25056672039188388</v>
      </c>
      <c r="G69" s="47">
        <f t="shared" si="5"/>
        <v>-6.3108648908072329E-4</v>
      </c>
      <c r="H69" s="48">
        <f t="shared" si="8"/>
        <v>-6.3128570797971986E-4</v>
      </c>
      <c r="K69" s="8">
        <v>357</v>
      </c>
      <c r="L69" s="26">
        <v>76</v>
      </c>
      <c r="M69" s="9">
        <v>208</v>
      </c>
      <c r="N69" s="6" t="s">
        <v>145</v>
      </c>
      <c r="O69">
        <f>SUM(O70:O72)</f>
        <v>2643</v>
      </c>
    </row>
    <row r="70" spans="1:16">
      <c r="A70" s="337" t="s">
        <v>147</v>
      </c>
      <c r="B70">
        <v>337537</v>
      </c>
      <c r="C70" s="54">
        <v>64601</v>
      </c>
      <c r="D70">
        <f t="shared" si="6"/>
        <v>272936</v>
      </c>
      <c r="E70">
        <v>132635</v>
      </c>
      <c r="F70" s="43">
        <f t="shared" si="7"/>
        <v>0.23668918720872292</v>
      </c>
      <c r="G70" s="47">
        <f t="shared" si="5"/>
        <v>1.5495940830296595E-2</v>
      </c>
      <c r="H70" s="48">
        <f t="shared" si="8"/>
        <v>1.5377104817410045E-2</v>
      </c>
      <c r="K70" s="10">
        <v>394</v>
      </c>
      <c r="L70" s="4">
        <v>189</v>
      </c>
      <c r="M70" s="11">
        <v>201</v>
      </c>
      <c r="N70" s="6" t="s">
        <v>237</v>
      </c>
      <c r="O70" s="31">
        <v>1330</v>
      </c>
      <c r="P70" s="31"/>
    </row>
    <row r="71" spans="1:16">
      <c r="A71" s="337" t="s">
        <v>148</v>
      </c>
      <c r="B71">
        <v>367353</v>
      </c>
      <c r="C71" s="54">
        <v>84782</v>
      </c>
      <c r="D71">
        <f t="shared" si="6"/>
        <v>282571</v>
      </c>
      <c r="E71" s="39">
        <v>129981</v>
      </c>
      <c r="F71" s="43">
        <f t="shared" si="7"/>
        <v>0.300037866589282</v>
      </c>
      <c r="G71" s="47">
        <f t="shared" si="5"/>
        <v>4.5025207374622678E-2</v>
      </c>
      <c r="H71" s="48">
        <f t="shared" si="8"/>
        <v>4.4041007015437304E-2</v>
      </c>
      <c r="K71" s="10">
        <v>241</v>
      </c>
      <c r="L71" s="4">
        <v>80</v>
      </c>
      <c r="M71" s="11">
        <v>226</v>
      </c>
      <c r="N71" s="6" t="s">
        <v>267</v>
      </c>
      <c r="O71" s="31">
        <v>437</v>
      </c>
      <c r="P71" s="31"/>
    </row>
    <row r="72" spans="1:16">
      <c r="A72" s="337" t="s">
        <v>149</v>
      </c>
      <c r="B72">
        <v>348415</v>
      </c>
      <c r="C72" s="54">
        <v>69474</v>
      </c>
      <c r="D72">
        <f t="shared" si="6"/>
        <v>278941</v>
      </c>
      <c r="E72">
        <v>133505</v>
      </c>
      <c r="F72" s="43">
        <f t="shared" si="7"/>
        <v>0.24906342201397427</v>
      </c>
      <c r="G72" s="47">
        <f t="shared" si="5"/>
        <v>-2.5317530815264111E-2</v>
      </c>
      <c r="H72" s="48">
        <f>LN(1+G72)</f>
        <v>-2.5643533658178008E-2</v>
      </c>
      <c r="K72" s="357">
        <f>O70-SUM(K69:K71)</f>
        <v>338</v>
      </c>
      <c r="L72" s="206">
        <f>O71-SUM(L69:L71)</f>
        <v>92</v>
      </c>
      <c r="M72" s="360">
        <f>O72-SUM(M69:M71)</f>
        <v>241</v>
      </c>
      <c r="N72" s="29" t="s">
        <v>552</v>
      </c>
      <c r="O72" s="30">
        <v>876</v>
      </c>
      <c r="P72" s="31"/>
    </row>
    <row r="73" spans="1:16">
      <c r="A73" s="337" t="s">
        <v>150</v>
      </c>
      <c r="B73">
        <v>362574</v>
      </c>
      <c r="C73" s="54">
        <v>75309</v>
      </c>
      <c r="D73">
        <f t="shared" si="6"/>
        <v>287265</v>
      </c>
      <c r="E73">
        <v>137731</v>
      </c>
      <c r="F73" s="43">
        <f t="shared" si="7"/>
        <v>0.26215863401388961</v>
      </c>
      <c r="G73" s="47">
        <f t="shared" si="5"/>
        <v>1.469127880089327E-2</v>
      </c>
      <c r="H73" s="48">
        <f t="shared" si="8"/>
        <v>1.4584407411222152E-2</v>
      </c>
      <c r="K73" s="8">
        <v>279</v>
      </c>
      <c r="L73" s="26">
        <v>92</v>
      </c>
      <c r="M73" s="9">
        <v>213</v>
      </c>
      <c r="N73" s="6" t="s">
        <v>145</v>
      </c>
    </row>
    <row r="74" spans="1:16">
      <c r="A74" s="337" t="s">
        <v>151</v>
      </c>
      <c r="B74">
        <v>379652</v>
      </c>
      <c r="C74" s="54">
        <v>79104</v>
      </c>
      <c r="D74">
        <f t="shared" si="6"/>
        <v>300548</v>
      </c>
      <c r="E74">
        <v>137363</v>
      </c>
      <c r="F74" s="43">
        <f t="shared" si="7"/>
        <v>0.26319922275310431</v>
      </c>
      <c r="G74" s="47">
        <f t="shared" si="5"/>
        <v>4.7520582040972537E-2</v>
      </c>
      <c r="H74" s="48">
        <f t="shared" si="8"/>
        <v>4.6426021347587478E-2</v>
      </c>
      <c r="K74" s="10">
        <v>331</v>
      </c>
      <c r="L74" s="4">
        <v>151</v>
      </c>
      <c r="M74" s="11">
        <v>228</v>
      </c>
      <c r="N74" s="6" t="s">
        <v>237</v>
      </c>
      <c r="O74" s="6"/>
      <c r="P74" s="6"/>
    </row>
    <row r="75" spans="1:16">
      <c r="A75" s="337" t="s">
        <v>152</v>
      </c>
      <c r="B75">
        <v>366548</v>
      </c>
      <c r="C75" s="54">
        <v>68467</v>
      </c>
      <c r="D75">
        <f>B75-C75</f>
        <v>298081</v>
      </c>
      <c r="E75">
        <v>133249</v>
      </c>
      <c r="F75" s="43">
        <f>C75/D75</f>
        <v>0.22969260033346642</v>
      </c>
      <c r="G75" s="47">
        <f t="shared" si="5"/>
        <v>5.4799898851431994E-3</v>
      </c>
      <c r="H75" s="48">
        <f t="shared" si="8"/>
        <v>5.4650293713288094E-3</v>
      </c>
      <c r="K75" s="10">
        <v>345</v>
      </c>
      <c r="L75" s="4">
        <v>67</v>
      </c>
      <c r="M75" s="11">
        <v>230</v>
      </c>
      <c r="N75" s="6" t="s">
        <v>267</v>
      </c>
      <c r="O75" s="6"/>
      <c r="P75" s="6"/>
    </row>
    <row r="76" spans="1:16">
      <c r="A76" s="6"/>
      <c r="H76" s="24">
        <f t="shared" si="8"/>
        <v>0</v>
      </c>
      <c r="K76" s="357" t="s">
        <v>98</v>
      </c>
      <c r="L76" s="206" t="s">
        <v>98</v>
      </c>
      <c r="M76" s="360" t="s">
        <v>98</v>
      </c>
      <c r="N76" s="29" t="s">
        <v>552</v>
      </c>
      <c r="O76" s="30"/>
      <c r="P76" s="6"/>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sheetPr>
  <dimension ref="A1:DQ81"/>
  <sheetViews>
    <sheetView zoomScale="90" zoomScaleNormal="90" zoomScalePageLayoutView="90" workbookViewId="0">
      <pane xSplit="1" ySplit="3" topLeftCell="DD4" activePane="bottomRight" state="frozen"/>
      <selection pane="topRight" activeCell="B1" sqref="B1"/>
      <selection pane="bottomLeft" activeCell="A4" sqref="A4"/>
      <selection pane="bottomRight" activeCell="DV3" sqref="DV3"/>
    </sheetView>
  </sheetViews>
  <sheetFormatPr defaultColWidth="9.140625" defaultRowHeight="15"/>
  <cols>
    <col min="1" max="1" width="8.140625" style="40" bestFit="1" customWidth="1"/>
    <col min="2" max="2" width="11.42578125" style="40" bestFit="1" customWidth="1"/>
    <col min="3" max="3" width="9.7109375" style="40" bestFit="1" customWidth="1"/>
    <col min="4" max="5" width="11.140625" style="40" customWidth="1"/>
    <col min="6" max="6" width="12.28515625" style="40" customWidth="1"/>
    <col min="7" max="7" width="10.42578125" style="40" customWidth="1"/>
    <col min="8" max="8" width="9.140625" style="40"/>
    <col min="9" max="9" width="9.140625" style="40" hidden="1" customWidth="1"/>
    <col min="10" max="10" width="11.85546875" style="40" customWidth="1"/>
    <col min="11" max="11" width="10.85546875" style="40" customWidth="1"/>
    <col min="12" max="14" width="10.85546875" style="50" customWidth="1"/>
    <col min="15" max="15" width="15.42578125" style="40" customWidth="1"/>
    <col min="16" max="16" width="20.7109375" style="40" customWidth="1"/>
    <col min="17" max="18" width="15.85546875" style="40" customWidth="1"/>
    <col min="19" max="19" width="20" style="40" bestFit="1" customWidth="1"/>
    <col min="20" max="20" width="12.42578125" style="40" customWidth="1"/>
    <col min="21" max="21" width="15" style="40" bestFit="1" customWidth="1"/>
    <col min="22" max="22" width="16.28515625" style="40" customWidth="1"/>
    <col min="23" max="23" width="16.42578125" style="40" bestFit="1" customWidth="1"/>
    <col min="24" max="24" width="11.42578125" style="50" customWidth="1"/>
    <col min="25" max="25" width="12.42578125" style="40" customWidth="1"/>
    <col min="26" max="26" width="13.7109375" style="40" customWidth="1"/>
    <col min="27" max="27" width="11.85546875" style="40" customWidth="1"/>
    <col min="28" max="28" width="11.28515625" style="40" customWidth="1"/>
    <col min="29" max="29" width="11.42578125" style="40" customWidth="1"/>
    <col min="30" max="30" width="12.140625" style="40" customWidth="1"/>
    <col min="31" max="31" width="12.42578125" style="40" customWidth="1"/>
    <col min="32" max="32" width="9.140625" style="40"/>
    <col min="33" max="33" width="10.42578125" style="40" customWidth="1"/>
    <col min="34" max="35" width="9.140625" style="40"/>
    <col min="36" max="36" width="13.28515625" style="40" customWidth="1"/>
    <col min="37" max="38" width="9.140625" style="40"/>
    <col min="39" max="40" width="17.140625" style="50" hidden="1" customWidth="1"/>
    <col min="41" max="41" width="18.140625" style="50" hidden="1" customWidth="1"/>
    <col min="42" max="42" width="17.140625" style="50" customWidth="1"/>
    <col min="43" max="43" width="14" style="50" customWidth="1"/>
    <col min="44" max="44" width="14.7109375" style="50" bestFit="1" customWidth="1"/>
    <col min="45" max="46" width="12.7109375" style="50" customWidth="1"/>
    <col min="47" max="49" width="14" style="50" customWidth="1"/>
    <col min="50" max="50" width="18.42578125" style="50" bestFit="1" customWidth="1"/>
    <col min="51" max="52" width="14" style="50" customWidth="1"/>
    <col min="53" max="53" width="16.28515625" style="50" customWidth="1"/>
    <col min="54" max="54" width="14" style="50" customWidth="1"/>
    <col min="55" max="55" width="6" style="50" bestFit="1" customWidth="1"/>
    <col min="56" max="56" width="15.42578125" style="50" bestFit="1" customWidth="1"/>
    <col min="57" max="57" width="16.85546875" style="50" bestFit="1" customWidth="1"/>
    <col min="58" max="58" width="11.7109375" style="50" bestFit="1" customWidth="1"/>
    <col min="59" max="59" width="12.140625" style="50" bestFit="1" customWidth="1"/>
    <col min="60" max="60" width="10" style="50" bestFit="1" customWidth="1"/>
    <col min="61" max="61" width="10" style="50" customWidth="1"/>
    <col min="62" max="62" width="13.28515625" style="50" bestFit="1" customWidth="1"/>
    <col min="63" max="63" width="10" style="50" bestFit="1" customWidth="1"/>
    <col min="64" max="64" width="19" style="40" hidden="1" customWidth="1"/>
    <col min="65" max="65" width="17.140625" style="40" hidden="1" customWidth="1"/>
    <col min="66" max="66" width="11.85546875" style="40" hidden="1" customWidth="1"/>
    <col min="67" max="68" width="11.28515625" style="40" customWidth="1"/>
    <col min="69" max="69" width="13.28515625" style="40" bestFit="1" customWidth="1"/>
    <col min="70" max="70" width="11.28515625" style="40" customWidth="1"/>
    <col min="71" max="71" width="12.42578125" style="40" customWidth="1"/>
    <col min="72" max="72" width="11.28515625" style="40" customWidth="1"/>
    <col min="73" max="75" width="12.85546875" style="40" customWidth="1"/>
    <col min="76" max="76" width="10.28515625" style="40" customWidth="1"/>
    <col min="77" max="77" width="12.140625" style="40" bestFit="1" customWidth="1"/>
    <col min="78" max="78" width="9.140625" style="40"/>
    <col min="79" max="79" width="12" style="40" customWidth="1"/>
    <col min="80" max="81" width="12" style="50" customWidth="1"/>
    <col min="82" max="82" width="10.28515625" style="40" customWidth="1"/>
    <col min="83" max="83" width="9.140625" style="40"/>
    <col min="84" max="84" width="12.140625" style="40" customWidth="1"/>
    <col min="85" max="86" width="10.42578125" style="40" customWidth="1"/>
    <col min="87" max="87" width="10.42578125" style="40" hidden="1" customWidth="1"/>
    <col min="88" max="88" width="10.42578125" style="40" customWidth="1"/>
    <col min="89" max="89" width="11.85546875" style="40" customWidth="1"/>
    <col min="90" max="91" width="10.42578125" style="40" customWidth="1"/>
    <col min="92" max="92" width="11" style="40" customWidth="1"/>
    <col min="93" max="93" width="11.140625" style="40" bestFit="1" customWidth="1"/>
    <col min="94" max="94" width="12.7109375" style="50" bestFit="1" customWidth="1"/>
    <col min="95" max="95" width="12.7109375" style="50" customWidth="1"/>
    <col min="96" max="96" width="12.7109375" style="50" bestFit="1" customWidth="1"/>
    <col min="97" max="97" width="13.28515625" style="40" bestFit="1" customWidth="1"/>
    <col min="98" max="98" width="16.28515625" style="40" customWidth="1"/>
    <col min="99" max="99" width="13.28515625" style="40" bestFit="1" customWidth="1"/>
    <col min="100" max="100" width="13.28515625" style="40" customWidth="1"/>
    <col min="101" max="101" width="11.28515625" style="40" bestFit="1" customWidth="1"/>
    <col min="102" max="102" width="10.85546875" style="40" bestFit="1" customWidth="1"/>
    <col min="103" max="103" width="11" style="40" customWidth="1"/>
    <col min="104" max="104" width="13.42578125" style="40" customWidth="1"/>
    <col min="105" max="105" width="11" style="40" customWidth="1"/>
    <col min="106" max="106" width="11" style="40" hidden="1" customWidth="1"/>
    <col min="107" max="108" width="11" style="40" customWidth="1"/>
    <col min="109" max="109" width="11.85546875" style="40" customWidth="1"/>
    <col min="110" max="110" width="11.7109375" style="40" customWidth="1"/>
    <col min="111" max="111" width="11.28515625" style="40" customWidth="1"/>
    <col min="112" max="112" width="10.7109375" style="40" customWidth="1"/>
    <col min="113" max="113" width="11" style="40" customWidth="1"/>
    <col min="114" max="114" width="15" style="40" bestFit="1" customWidth="1"/>
    <col min="115" max="115" width="10.85546875" style="40" customWidth="1"/>
    <col min="116" max="116" width="11.28515625" style="40" bestFit="1" customWidth="1"/>
    <col min="117" max="16384" width="9.140625" style="40"/>
  </cols>
  <sheetData>
    <row r="1" spans="1:121" ht="27" thickBot="1">
      <c r="A1" s="918" t="s">
        <v>239</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369"/>
      <c r="AL1" s="919" t="s">
        <v>833</v>
      </c>
      <c r="AM1" s="919"/>
      <c r="AN1" s="919"/>
      <c r="AO1" s="919"/>
      <c r="AP1" s="919"/>
      <c r="AQ1" s="919"/>
      <c r="AR1" s="919"/>
      <c r="AS1" s="919"/>
      <c r="AT1" s="919"/>
      <c r="AU1" s="919"/>
      <c r="AV1" s="919"/>
      <c r="AW1" s="919"/>
      <c r="AX1" s="919"/>
      <c r="AY1" s="919"/>
      <c r="AZ1" s="919"/>
      <c r="BA1" s="919"/>
      <c r="BB1" s="919"/>
      <c r="BC1" s="919"/>
      <c r="BD1" s="919"/>
      <c r="BE1" s="919"/>
      <c r="BF1" s="919"/>
      <c r="BG1" s="919"/>
      <c r="BH1" s="919"/>
      <c r="BI1" s="919"/>
      <c r="BJ1" s="919"/>
      <c r="BK1" s="919"/>
      <c r="BL1" s="919"/>
      <c r="BM1" s="919"/>
      <c r="BN1" s="919"/>
      <c r="BO1" s="370"/>
      <c r="BP1" s="370"/>
      <c r="BQ1" s="370"/>
      <c r="BR1" s="370"/>
      <c r="BS1" s="370"/>
      <c r="BT1" s="370"/>
      <c r="BU1" s="370"/>
      <c r="BV1" s="370"/>
      <c r="BW1" s="370"/>
      <c r="BX1" s="370"/>
      <c r="BY1" s="370"/>
      <c r="CA1" s="918" t="s">
        <v>266</v>
      </c>
      <c r="CB1" s="918"/>
      <c r="CC1" s="918"/>
      <c r="CD1" s="918"/>
      <c r="CE1" s="918"/>
      <c r="CF1" s="918"/>
      <c r="CG1" s="918"/>
      <c r="CH1" s="918"/>
      <c r="CI1" s="918"/>
      <c r="CJ1" s="918"/>
      <c r="CK1" s="918"/>
      <c r="CL1" s="918"/>
      <c r="CM1" s="918"/>
      <c r="CN1" s="918"/>
      <c r="CO1" s="918"/>
      <c r="CP1" s="918"/>
      <c r="CQ1" s="918"/>
      <c r="CR1" s="918"/>
      <c r="CS1" s="918"/>
      <c r="CT1" s="918"/>
      <c r="CU1" s="918"/>
      <c r="CV1" s="918"/>
      <c r="CW1" s="918"/>
      <c r="CX1" s="918"/>
      <c r="CY1" s="918"/>
      <c r="CZ1" s="918"/>
      <c r="DA1" s="918"/>
      <c r="DB1" s="918"/>
      <c r="DC1" s="918"/>
      <c r="DD1" s="918"/>
      <c r="DE1" s="918"/>
      <c r="DF1" s="918"/>
      <c r="DG1" s="918"/>
      <c r="DH1" s="918"/>
      <c r="DI1" s="918"/>
      <c r="DJ1" s="918"/>
      <c r="DK1" s="918"/>
      <c r="DL1" s="918"/>
      <c r="DM1" s="918"/>
      <c r="DN1" s="918"/>
      <c r="DO1" s="918"/>
      <c r="DP1" s="918"/>
      <c r="DQ1" s="918"/>
    </row>
    <row r="2" spans="1:121" ht="13.5" customHeight="1" thickBot="1">
      <c r="A2" s="924" t="s">
        <v>227</v>
      </c>
      <c r="B2" s="924"/>
      <c r="C2" s="924"/>
      <c r="D2" s="924"/>
      <c r="E2" s="924"/>
      <c r="F2" s="924"/>
      <c r="G2" s="924"/>
      <c r="H2" s="924"/>
      <c r="I2" s="924"/>
      <c r="J2" s="924"/>
      <c r="K2" s="924" t="s">
        <v>229</v>
      </c>
      <c r="L2" s="924"/>
      <c r="M2" s="924"/>
      <c r="N2" s="924"/>
      <c r="O2" s="924"/>
      <c r="P2" s="924"/>
      <c r="Q2" s="924"/>
      <c r="R2" s="924"/>
      <c r="S2" s="924"/>
      <c r="T2" s="924"/>
      <c r="U2" s="924"/>
      <c r="V2" s="924"/>
      <c r="W2" s="924"/>
      <c r="X2" s="399"/>
      <c r="Y2" s="924" t="s">
        <v>227</v>
      </c>
      <c r="Z2" s="924"/>
      <c r="AA2" s="924"/>
      <c r="AB2" s="924"/>
      <c r="AC2" s="924"/>
      <c r="AD2" s="924"/>
      <c r="AE2" s="924" t="s">
        <v>229</v>
      </c>
      <c r="AF2" s="924"/>
      <c r="AG2" s="924"/>
      <c r="AH2" s="924"/>
      <c r="AI2" s="924"/>
      <c r="AJ2" s="924"/>
      <c r="AL2" s="921" t="s">
        <v>263</v>
      </c>
      <c r="AM2" s="922"/>
      <c r="AN2" s="922"/>
      <c r="AO2" s="922"/>
      <c r="AP2" s="922"/>
      <c r="AQ2" s="922"/>
      <c r="AR2" s="922"/>
      <c r="AS2" s="922"/>
      <c r="AT2" s="922"/>
      <c r="AU2" s="922"/>
      <c r="AV2" s="922"/>
      <c r="AW2" s="922"/>
      <c r="AX2" s="922"/>
      <c r="AY2" s="922"/>
      <c r="AZ2" s="922"/>
      <c r="BA2" s="922"/>
      <c r="BB2" s="922"/>
      <c r="BC2" s="922"/>
      <c r="BD2" s="922"/>
      <c r="BE2" s="922"/>
      <c r="BF2" s="922"/>
      <c r="BG2" s="923"/>
      <c r="BH2" s="371"/>
      <c r="BI2" s="371"/>
      <c r="BJ2" s="371"/>
      <c r="BK2" s="372"/>
      <c r="BL2" s="921" t="s">
        <v>229</v>
      </c>
      <c r="BM2" s="922"/>
      <c r="BN2" s="922"/>
      <c r="BO2" s="922"/>
      <c r="BP2" s="922"/>
      <c r="BQ2" s="922"/>
      <c r="BR2" s="922"/>
      <c r="BS2" s="922"/>
      <c r="BT2" s="922"/>
      <c r="BU2" s="922"/>
      <c r="BV2" s="922"/>
      <c r="BW2" s="922"/>
      <c r="BX2" s="922"/>
      <c r="BY2" s="923"/>
      <c r="CA2" s="920" t="s">
        <v>265</v>
      </c>
      <c r="CB2" s="920"/>
      <c r="CC2" s="920"/>
      <c r="CD2" s="920"/>
      <c r="CE2" s="920"/>
      <c r="CF2" s="920"/>
      <c r="CG2" s="920"/>
      <c r="CH2" s="308"/>
      <c r="CI2" s="308"/>
      <c r="CJ2" s="308"/>
      <c r="CK2" s="308"/>
      <c r="CL2" s="308"/>
      <c r="CM2" s="308"/>
      <c r="CN2" s="373"/>
      <c r="CO2" s="920" t="s">
        <v>229</v>
      </c>
      <c r="CP2" s="920"/>
      <c r="CQ2" s="920"/>
      <c r="CR2" s="920"/>
      <c r="CS2" s="920"/>
      <c r="CT2" s="920"/>
      <c r="CU2" s="920"/>
      <c r="CV2" s="920"/>
      <c r="CW2" s="920"/>
      <c r="CX2" s="920"/>
      <c r="CY2" s="920"/>
      <c r="CZ2" s="920"/>
      <c r="DA2" s="920"/>
      <c r="DB2" s="920"/>
      <c r="DC2" s="920"/>
      <c r="DD2" s="920"/>
      <c r="DE2" s="308"/>
      <c r="DF2" s="373"/>
      <c r="DG2" s="920" t="s">
        <v>265</v>
      </c>
      <c r="DH2" s="920"/>
      <c r="DI2" s="920"/>
      <c r="DJ2" s="920"/>
      <c r="DK2" s="920"/>
      <c r="DL2" s="308"/>
      <c r="DM2" s="917" t="s">
        <v>229</v>
      </c>
      <c r="DN2" s="917"/>
      <c r="DO2" s="917"/>
      <c r="DP2" s="917"/>
      <c r="DQ2" s="917"/>
    </row>
    <row r="3" spans="1:121" s="374" customFormat="1" ht="75">
      <c r="A3" s="327" t="s">
        <v>86</v>
      </c>
      <c r="B3" s="327" t="s">
        <v>222</v>
      </c>
      <c r="C3" s="327" t="s">
        <v>223</v>
      </c>
      <c r="D3" s="310" t="s">
        <v>225</v>
      </c>
      <c r="E3" s="310" t="s">
        <v>232</v>
      </c>
      <c r="F3" s="327" t="s">
        <v>564</v>
      </c>
      <c r="G3" s="327" t="s">
        <v>234</v>
      </c>
      <c r="H3" s="310" t="s">
        <v>130</v>
      </c>
      <c r="I3" s="327" t="s">
        <v>565</v>
      </c>
      <c r="J3" s="327" t="s">
        <v>230</v>
      </c>
      <c r="K3" s="327" t="s">
        <v>86</v>
      </c>
      <c r="L3" s="327" t="s">
        <v>222</v>
      </c>
      <c r="M3" s="691" t="s">
        <v>809</v>
      </c>
      <c r="N3" s="327" t="s">
        <v>223</v>
      </c>
      <c r="O3" s="310" t="s">
        <v>225</v>
      </c>
      <c r="P3" s="310" t="s">
        <v>799</v>
      </c>
      <c r="Q3" s="310" t="s">
        <v>224</v>
      </c>
      <c r="R3" s="310"/>
      <c r="S3" s="395" t="s">
        <v>567</v>
      </c>
      <c r="T3" s="327" t="s">
        <v>497</v>
      </c>
      <c r="U3" s="327" t="s">
        <v>498</v>
      </c>
      <c r="V3" s="327" t="s">
        <v>585</v>
      </c>
      <c r="W3" s="327" t="s">
        <v>566</v>
      </c>
      <c r="X3" s="327" t="s">
        <v>238</v>
      </c>
      <c r="Y3" s="327" t="s">
        <v>86</v>
      </c>
      <c r="Z3" s="327" t="s">
        <v>237</v>
      </c>
      <c r="AA3" s="327" t="s">
        <v>231</v>
      </c>
      <c r="AB3" s="327" t="s">
        <v>235</v>
      </c>
      <c r="AC3" s="327" t="s">
        <v>236</v>
      </c>
      <c r="AD3" s="327" t="s">
        <v>453</v>
      </c>
      <c r="AE3" s="327" t="s">
        <v>86</v>
      </c>
      <c r="AF3" s="327" t="s">
        <v>237</v>
      </c>
      <c r="AG3" s="327" t="s">
        <v>385</v>
      </c>
      <c r="AH3" s="327" t="s">
        <v>235</v>
      </c>
      <c r="AI3" s="327" t="s">
        <v>236</v>
      </c>
      <c r="AJ3" s="327" t="s">
        <v>453</v>
      </c>
      <c r="AK3" s="236"/>
      <c r="AL3" s="327" t="s">
        <v>86</v>
      </c>
      <c r="AM3" s="327" t="s">
        <v>558</v>
      </c>
      <c r="AN3" s="327" t="s">
        <v>559</v>
      </c>
      <c r="AO3" s="327" t="s">
        <v>560</v>
      </c>
      <c r="AP3" s="327" t="s">
        <v>568</v>
      </c>
      <c r="AQ3" s="327" t="s">
        <v>84</v>
      </c>
      <c r="AR3" s="709" t="s">
        <v>570</v>
      </c>
      <c r="AS3" s="327" t="s">
        <v>561</v>
      </c>
      <c r="AT3" s="709" t="s">
        <v>561</v>
      </c>
      <c r="AU3" s="327" t="str">
        <f>APG!N3</f>
        <v>Date</v>
      </c>
      <c r="AV3" s="327" t="str">
        <f>APG!O3</f>
        <v>Total Assets</v>
      </c>
      <c r="AW3" s="327" t="str">
        <f>APG!P3</f>
        <v>Total Liabilities</v>
      </c>
      <c r="AX3" s="327" t="str">
        <f>APG!Q3</f>
        <v>Net assets</v>
      </c>
      <c r="AY3" s="327" t="s">
        <v>224</v>
      </c>
      <c r="AZ3" s="327" t="s">
        <v>130</v>
      </c>
      <c r="BA3" s="327" t="s">
        <v>230</v>
      </c>
      <c r="BB3" s="327" t="s">
        <v>574</v>
      </c>
      <c r="BC3" s="327" t="s">
        <v>226</v>
      </c>
      <c r="BD3" s="327" t="str">
        <f>APG!W3</f>
        <v>External management fee</v>
      </c>
      <c r="BE3" s="327" t="str">
        <f>APG!X3</f>
        <v>Transaction costs</v>
      </c>
      <c r="BF3" s="327" t="str">
        <f>APG!Y3</f>
        <v>Operational expenses</v>
      </c>
      <c r="BG3" s="327" t="s">
        <v>453</v>
      </c>
      <c r="BH3" s="327" t="s">
        <v>379</v>
      </c>
      <c r="BI3" s="327" t="s">
        <v>572</v>
      </c>
      <c r="BJ3" s="327" t="s">
        <v>573</v>
      </c>
      <c r="BK3" s="327" t="s">
        <v>378</v>
      </c>
      <c r="BL3" s="327" t="s">
        <v>562</v>
      </c>
      <c r="BM3" s="327" t="s">
        <v>559</v>
      </c>
      <c r="BN3" s="327" t="s">
        <v>563</v>
      </c>
      <c r="BO3" s="327" t="s">
        <v>222</v>
      </c>
      <c r="BP3" s="327" t="s">
        <v>223</v>
      </c>
      <c r="BQ3" s="327" t="s">
        <v>225</v>
      </c>
      <c r="BR3" s="327" t="s">
        <v>458</v>
      </c>
      <c r="BS3" s="709" t="s">
        <v>571</v>
      </c>
      <c r="BT3" s="327" t="str">
        <f>BC3</f>
        <v>Date</v>
      </c>
      <c r="BU3" s="327" t="str">
        <f>BD3</f>
        <v>External management fee</v>
      </c>
      <c r="BV3" s="327" t="str">
        <f>BE3</f>
        <v>Transaction costs</v>
      </c>
      <c r="BW3" s="327" t="str">
        <f>BF3</f>
        <v>Operational expenses</v>
      </c>
      <c r="BX3" s="327" t="s">
        <v>380</v>
      </c>
      <c r="BY3" s="327" t="s">
        <v>453</v>
      </c>
      <c r="BZ3" s="671"/>
      <c r="CA3" s="327" t="s">
        <v>226</v>
      </c>
      <c r="CB3" s="327" t="s">
        <v>222</v>
      </c>
      <c r="CC3" s="327" t="s">
        <v>223</v>
      </c>
      <c r="CD3" s="310" t="s">
        <v>264</v>
      </c>
      <c r="CE3" s="310" t="s">
        <v>224</v>
      </c>
      <c r="CF3" s="310" t="s">
        <v>130</v>
      </c>
      <c r="CG3" s="310" t="s">
        <v>230</v>
      </c>
      <c r="CH3" s="327" t="s">
        <v>574</v>
      </c>
      <c r="CI3" s="310" t="s">
        <v>465</v>
      </c>
      <c r="CJ3" s="327" t="s">
        <v>522</v>
      </c>
      <c r="CK3" s="310" t="s">
        <v>226</v>
      </c>
      <c r="CL3" s="327" t="s">
        <v>576</v>
      </c>
      <c r="CM3" s="327" t="s">
        <v>577</v>
      </c>
      <c r="CN3" s="327" t="s">
        <v>468</v>
      </c>
      <c r="CO3" s="327" t="str">
        <f t="shared" ref="CO3:CO34" si="0">CA3</f>
        <v>Date</v>
      </c>
      <c r="CP3" s="327" t="s">
        <v>222</v>
      </c>
      <c r="CQ3" s="691" t="s">
        <v>809</v>
      </c>
      <c r="CR3" s="327" t="s">
        <v>223</v>
      </c>
      <c r="CS3" s="310" t="s">
        <v>264</v>
      </c>
      <c r="CT3" s="310" t="s">
        <v>799</v>
      </c>
      <c r="CU3" s="310" t="s">
        <v>224</v>
      </c>
      <c r="CV3" s="310" t="s">
        <v>834</v>
      </c>
      <c r="CW3" s="310" t="s">
        <v>130</v>
      </c>
      <c r="CX3" s="395" t="s">
        <v>580</v>
      </c>
      <c r="CY3" s="310" t="s">
        <v>584</v>
      </c>
      <c r="CZ3" s="327" t="s">
        <v>470</v>
      </c>
      <c r="DA3" s="327" t="s">
        <v>578</v>
      </c>
      <c r="DB3" s="327" t="s">
        <v>579</v>
      </c>
      <c r="DC3" s="327" t="s">
        <v>581</v>
      </c>
      <c r="DD3" s="327" t="s">
        <v>469</v>
      </c>
      <c r="DE3" s="327" t="s">
        <v>582</v>
      </c>
      <c r="DF3" s="327" t="s">
        <v>583</v>
      </c>
      <c r="DG3" s="327" t="s">
        <v>237</v>
      </c>
      <c r="DH3" s="327" t="s">
        <v>267</v>
      </c>
      <c r="DI3" s="327" t="s">
        <v>231</v>
      </c>
      <c r="DJ3" s="310" t="s">
        <v>144</v>
      </c>
      <c r="DK3" s="327" t="s">
        <v>236</v>
      </c>
      <c r="DL3" s="327" t="str">
        <f t="shared" ref="DL3:DL34" si="1">CA3</f>
        <v>Date</v>
      </c>
      <c r="DM3" s="327" t="s">
        <v>237</v>
      </c>
      <c r="DN3" s="327" t="s">
        <v>267</v>
      </c>
      <c r="DO3" s="327" t="s">
        <v>231</v>
      </c>
      <c r="DP3" s="310" t="s">
        <v>144</v>
      </c>
      <c r="DQ3" s="327" t="s">
        <v>236</v>
      </c>
    </row>
    <row r="4" spans="1:121">
      <c r="A4" s="321" t="s">
        <v>74</v>
      </c>
      <c r="K4" s="321" t="s">
        <v>74</v>
      </c>
      <c r="O4" s="173"/>
      <c r="P4" s="173"/>
      <c r="Q4" s="77"/>
      <c r="R4" s="77"/>
      <c r="S4" s="396">
        <f>NBIM!P3</f>
        <v>1.9767430787411389E-2</v>
      </c>
      <c r="T4" s="384"/>
      <c r="U4" s="204"/>
      <c r="V4" s="204"/>
      <c r="W4" s="204"/>
      <c r="X4" s="321"/>
      <c r="Y4" s="321" t="s">
        <v>74</v>
      </c>
      <c r="AC4" s="76"/>
      <c r="AD4" s="173"/>
      <c r="AE4" s="321" t="s">
        <v>74</v>
      </c>
      <c r="AL4" s="321" t="s">
        <v>74</v>
      </c>
      <c r="AM4" s="88">
        <v>123890167036.5</v>
      </c>
      <c r="AN4" s="91"/>
      <c r="AO4" s="91"/>
      <c r="AP4" s="400">
        <f>APG!B4</f>
        <v>3.0797797121220299E-2</v>
      </c>
      <c r="AQ4" s="129">
        <f>AP4+1</f>
        <v>1.0307977971212203</v>
      </c>
      <c r="AR4" s="404"/>
      <c r="AS4" s="129"/>
      <c r="AT4" s="404"/>
      <c r="AU4" s="327" t="str">
        <f t="shared" ref="AU4:AU22" si="2">BC4</f>
        <v>1997 </v>
      </c>
      <c r="AV4" s="188">
        <f>APG!O8</f>
        <v>0</v>
      </c>
      <c r="AW4" s="188">
        <f>APG!P8</f>
        <v>0</v>
      </c>
      <c r="AX4" s="58">
        <f>APG!Q8</f>
        <v>0</v>
      </c>
      <c r="AY4" s="58">
        <f>APG!T8</f>
        <v>0</v>
      </c>
      <c r="AZ4" s="58">
        <v>0</v>
      </c>
      <c r="BA4" s="58">
        <v>0</v>
      </c>
      <c r="BB4" s="58"/>
      <c r="BC4" s="342" t="s">
        <v>114</v>
      </c>
      <c r="BD4" s="58">
        <f>APG!W8</f>
        <v>0</v>
      </c>
      <c r="BE4" s="58">
        <f>APG!X8</f>
        <v>0</v>
      </c>
      <c r="BF4" s="58">
        <f>APG!Y8</f>
        <v>0</v>
      </c>
      <c r="BG4" s="58">
        <f>APG!AA8</f>
        <v>0</v>
      </c>
      <c r="BH4" s="408"/>
      <c r="BI4" s="408"/>
      <c r="BJ4" s="408"/>
      <c r="BK4" s="321"/>
      <c r="BL4" s="40">
        <v>0</v>
      </c>
      <c r="BM4" s="40">
        <v>0</v>
      </c>
      <c r="BN4" s="40">
        <v>0</v>
      </c>
      <c r="BO4" s="40">
        <v>0</v>
      </c>
      <c r="BP4" s="40">
        <v>0</v>
      </c>
      <c r="BQ4" s="40">
        <f>BO4-BP4</f>
        <v>0</v>
      </c>
      <c r="BR4" s="40">
        <v>0</v>
      </c>
      <c r="BS4" s="412"/>
      <c r="BT4" s="327" t="str">
        <f t="shared" ref="BT4:BT22" si="3">BC4</f>
        <v>1997 </v>
      </c>
      <c r="BU4" s="40">
        <v>0</v>
      </c>
      <c r="BV4" s="40">
        <v>0</v>
      </c>
      <c r="BW4" s="40">
        <v>0</v>
      </c>
      <c r="BX4" s="40">
        <f>BU4+BV4+BW4</f>
        <v>0</v>
      </c>
      <c r="BY4" s="40">
        <v>0</v>
      </c>
      <c r="CA4" s="321" t="s">
        <v>388</v>
      </c>
      <c r="CB4" s="195"/>
      <c r="CC4" s="195"/>
      <c r="CD4" s="193"/>
      <c r="CE4" s="193"/>
      <c r="CF4" s="193"/>
      <c r="CG4" s="193"/>
      <c r="CH4" s="193"/>
      <c r="CI4" s="193"/>
      <c r="CJ4" s="193"/>
      <c r="CK4" s="415">
        <f>CPPIB.!Q4</f>
        <v>35885</v>
      </c>
      <c r="CL4" s="321"/>
      <c r="CM4" s="321"/>
      <c r="CN4" s="321"/>
      <c r="CO4" s="327" t="str">
        <f t="shared" si="0"/>
        <v>1Q1998/98</v>
      </c>
      <c r="CP4" s="375"/>
      <c r="CQ4" s="375"/>
      <c r="CR4" s="375"/>
      <c r="CS4" s="193"/>
      <c r="CT4" s="193"/>
      <c r="CU4" s="193"/>
      <c r="CV4" s="193"/>
      <c r="CW4" s="193"/>
      <c r="CX4" s="417"/>
      <c r="CY4" s="193"/>
      <c r="CZ4" s="321">
        <v>1998</v>
      </c>
      <c r="DA4" s="193"/>
      <c r="DB4" s="193"/>
      <c r="DC4" s="193"/>
      <c r="DD4" s="193"/>
      <c r="DE4" s="193"/>
      <c r="DF4" s="321"/>
      <c r="DG4" s="40">
        <v>0</v>
      </c>
      <c r="DH4" s="40">
        <v>0</v>
      </c>
      <c r="DI4" s="40">
        <v>0</v>
      </c>
      <c r="DL4" s="326" t="str">
        <f t="shared" si="1"/>
        <v>1Q1998/98</v>
      </c>
      <c r="DM4" s="40">
        <f>DG4</f>
        <v>0</v>
      </c>
      <c r="DN4" s="40">
        <f>DH4</f>
        <v>0</v>
      </c>
      <c r="DO4" s="40">
        <f>DI4</f>
        <v>0</v>
      </c>
      <c r="DP4" s="40">
        <f>DJ4</f>
        <v>0</v>
      </c>
      <c r="DQ4" s="40">
        <f>DK4</f>
        <v>0</v>
      </c>
    </row>
    <row r="5" spans="1:121">
      <c r="A5" s="321" t="s">
        <v>75</v>
      </c>
      <c r="K5" s="321" t="s">
        <v>75</v>
      </c>
      <c r="O5" s="173"/>
      <c r="P5" s="173"/>
      <c r="Q5" s="77"/>
      <c r="R5" s="77"/>
      <c r="S5" s="396">
        <f>NBIM!P4</f>
        <v>2.1329425489575282E-2</v>
      </c>
      <c r="T5" s="384"/>
      <c r="U5" s="204"/>
      <c r="V5" s="204"/>
      <c r="W5" s="204"/>
      <c r="X5" s="321"/>
      <c r="Y5" s="321" t="s">
        <v>75</v>
      </c>
      <c r="AC5" s="76"/>
      <c r="AD5" s="173"/>
      <c r="AE5" s="321" t="s">
        <v>75</v>
      </c>
      <c r="AL5" s="321" t="s">
        <v>75</v>
      </c>
      <c r="AM5" s="88">
        <v>123890167036.5</v>
      </c>
      <c r="AN5" s="92">
        <f>(AM5/AM4)-1</f>
        <v>0</v>
      </c>
      <c r="AO5" s="92">
        <f>LN(AN5+1)</f>
        <v>0</v>
      </c>
      <c r="AP5" s="400">
        <f>APG!B5</f>
        <v>3.0797797121220299E-2</v>
      </c>
      <c r="AQ5" s="129">
        <f t="shared" ref="AQ5:AQ68" si="4">AP5+1</f>
        <v>1.0307977971212203</v>
      </c>
      <c r="AR5" s="404"/>
      <c r="AS5" s="129"/>
      <c r="AT5" s="404"/>
      <c r="AU5" s="327" t="str">
        <f t="shared" si="2"/>
        <v>1998 </v>
      </c>
      <c r="AV5" s="188">
        <f>APG!O9</f>
        <v>0</v>
      </c>
      <c r="AW5" s="188">
        <f>APG!P9</f>
        <v>0</v>
      </c>
      <c r="AX5" s="58">
        <f>APG!Q9</f>
        <v>0</v>
      </c>
      <c r="AY5" s="58">
        <f>APG!T9</f>
        <v>0</v>
      </c>
      <c r="AZ5" s="58">
        <v>0</v>
      </c>
      <c r="BA5" s="58">
        <v>0</v>
      </c>
      <c r="BB5" s="58"/>
      <c r="BC5" s="342" t="s">
        <v>115</v>
      </c>
      <c r="BD5" s="58">
        <f>APG!W9</f>
        <v>0</v>
      </c>
      <c r="BE5" s="58">
        <f>APG!X9</f>
        <v>0</v>
      </c>
      <c r="BF5" s="58">
        <f>APG!Y9</f>
        <v>0</v>
      </c>
      <c r="BG5" s="58">
        <f>APG!AA9</f>
        <v>0</v>
      </c>
      <c r="BH5" s="411">
        <f>BK7</f>
        <v>0.851607</v>
      </c>
      <c r="BI5" s="411"/>
      <c r="BJ5" s="408"/>
      <c r="BK5" s="321"/>
      <c r="BL5" s="40">
        <v>0</v>
      </c>
      <c r="BM5" s="40">
        <v>0</v>
      </c>
      <c r="BN5" s="40">
        <v>0</v>
      </c>
      <c r="BO5" s="40">
        <f t="shared" ref="BO5:BO21" si="5">AV5/BH5</f>
        <v>0</v>
      </c>
      <c r="BP5" s="40">
        <f t="shared" ref="BP5:BP21" si="6">AW5/BH5</f>
        <v>0</v>
      </c>
      <c r="BQ5" s="40">
        <f t="shared" ref="BQ5:BQ21" si="7">BO5-BP5</f>
        <v>0</v>
      </c>
      <c r="BR5" s="40">
        <f>AY5/BH5</f>
        <v>0</v>
      </c>
      <c r="BS5" s="412"/>
      <c r="BT5" s="327" t="str">
        <f t="shared" si="3"/>
        <v>1998 </v>
      </c>
      <c r="BU5" s="40">
        <f t="shared" ref="BU5:BU21" si="8">BD5/$BH5</f>
        <v>0</v>
      </c>
      <c r="BV5" s="40">
        <f t="shared" ref="BV5:BV21" si="9">BE5/$BH5</f>
        <v>0</v>
      </c>
      <c r="BW5" s="40">
        <f t="shared" ref="BW5:BW21" si="10">BF5/$BH5</f>
        <v>0</v>
      </c>
      <c r="BX5" s="40">
        <f t="shared" ref="BX5:BX21" si="11">BU5+BV5+BW5</f>
        <v>0</v>
      </c>
      <c r="BY5" s="40">
        <v>0</v>
      </c>
      <c r="CA5" s="321" t="s">
        <v>387</v>
      </c>
      <c r="CB5" s="195"/>
      <c r="CC5" s="195"/>
      <c r="CD5" s="193"/>
      <c r="CE5" s="193"/>
      <c r="CF5" s="193"/>
      <c r="CG5" s="193"/>
      <c r="CH5" s="193"/>
      <c r="CI5" s="193"/>
      <c r="CJ5" s="193"/>
      <c r="CK5" s="415">
        <f>CPPIB.!Q5</f>
        <v>36250</v>
      </c>
      <c r="CL5" s="321"/>
      <c r="CM5" s="416">
        <f>CN8</f>
        <v>1.5128000000000001</v>
      </c>
      <c r="CN5" s="321"/>
      <c r="CO5" s="327" t="str">
        <f t="shared" si="0"/>
        <v>2Q1998/99</v>
      </c>
      <c r="CP5" s="375"/>
      <c r="CQ5" s="375"/>
      <c r="CR5" s="375"/>
      <c r="CS5" s="193"/>
      <c r="CT5" s="193"/>
      <c r="CU5" s="193"/>
      <c r="CV5" s="193"/>
      <c r="CW5" s="193"/>
      <c r="CX5" s="417"/>
      <c r="CY5" s="193"/>
      <c r="CZ5" s="321">
        <v>1999</v>
      </c>
      <c r="DA5" s="193"/>
      <c r="DB5" s="193"/>
      <c r="DC5" s="193"/>
      <c r="DD5" s="193"/>
      <c r="DE5" s="193"/>
      <c r="DF5" s="321"/>
      <c r="DG5" s="40">
        <v>0</v>
      </c>
      <c r="DH5" s="40">
        <v>0</v>
      </c>
      <c r="DI5" s="40">
        <v>0</v>
      </c>
      <c r="DL5" s="326" t="str">
        <f t="shared" si="1"/>
        <v>2Q1998/99</v>
      </c>
      <c r="DM5" s="40">
        <f t="shared" ref="DM5:DM12" si="12">DG5</f>
        <v>0</v>
      </c>
      <c r="DN5" s="40">
        <f t="shared" ref="DN5:DQ6" si="13">DH5</f>
        <v>0</v>
      </c>
      <c r="DO5" s="40">
        <f t="shared" si="13"/>
        <v>0</v>
      </c>
      <c r="DP5" s="40">
        <f t="shared" si="13"/>
        <v>0</v>
      </c>
      <c r="DQ5" s="40">
        <f t="shared" si="13"/>
        <v>0</v>
      </c>
    </row>
    <row r="6" spans="1:121">
      <c r="A6" s="321" t="s">
        <v>76</v>
      </c>
      <c r="K6" s="321" t="s">
        <v>76</v>
      </c>
      <c r="O6" s="173"/>
      <c r="P6" s="173"/>
      <c r="Q6" s="77"/>
      <c r="R6" s="77"/>
      <c r="S6" s="396">
        <f>NBIM!P5</f>
        <v>-2.2067027632722835E-3</v>
      </c>
      <c r="T6" s="384"/>
      <c r="U6" s="204"/>
      <c r="V6" s="204"/>
      <c r="W6" s="204"/>
      <c r="X6" s="321"/>
      <c r="Y6" s="321" t="s">
        <v>76</v>
      </c>
      <c r="AC6" s="76"/>
      <c r="AD6" s="173"/>
      <c r="AE6" s="321" t="s">
        <v>76</v>
      </c>
      <c r="AL6" s="321" t="s">
        <v>76</v>
      </c>
      <c r="AM6" s="88">
        <v>123890167036.5</v>
      </c>
      <c r="AN6" s="92">
        <f t="shared" ref="AN6:AN69" si="14">(AM6/AM5)-1</f>
        <v>0</v>
      </c>
      <c r="AO6" s="92">
        <f t="shared" ref="AO6:AO69" si="15">LN(AN6+1)</f>
        <v>0</v>
      </c>
      <c r="AP6" s="400">
        <f>APG!B6</f>
        <v>3.0797797121220299E-2</v>
      </c>
      <c r="AQ6" s="129">
        <f t="shared" si="4"/>
        <v>1.0307977971212203</v>
      </c>
      <c r="AR6" s="404"/>
      <c r="AS6" s="129"/>
      <c r="AT6" s="404">
        <f>AS11</f>
        <v>-5.8692267746834226E-2</v>
      </c>
      <c r="AU6" s="327" t="str">
        <f t="shared" si="2"/>
        <v>1999 </v>
      </c>
      <c r="AV6" s="188">
        <f>APG!O10</f>
        <v>0</v>
      </c>
      <c r="AW6" s="188">
        <f>APG!P10</f>
        <v>0</v>
      </c>
      <c r="AX6" s="58">
        <f>APG!Q10</f>
        <v>0</v>
      </c>
      <c r="AY6" s="58">
        <f>APG!T10</f>
        <v>0</v>
      </c>
      <c r="AZ6" s="58">
        <v>0</v>
      </c>
      <c r="BA6" s="58">
        <v>0</v>
      </c>
      <c r="BB6" s="58"/>
      <c r="BC6" s="342" t="s">
        <v>116</v>
      </c>
      <c r="BD6" s="58">
        <f>APG!W10</f>
        <v>0</v>
      </c>
      <c r="BE6" s="58">
        <f>APG!X10</f>
        <v>0</v>
      </c>
      <c r="BF6" s="58">
        <f>APG!Y10</f>
        <v>0</v>
      </c>
      <c r="BG6" s="58">
        <f>APG!AA10</f>
        <v>0</v>
      </c>
      <c r="BH6" s="411">
        <f>BK11</f>
        <v>0.99765599999999999</v>
      </c>
      <c r="BI6" s="411">
        <f>BH6/BH5</f>
        <v>1.1714981206119723</v>
      </c>
      <c r="BJ6" s="408"/>
      <c r="BK6" s="321"/>
      <c r="BL6" s="40">
        <v>0</v>
      </c>
      <c r="BM6" s="40">
        <v>0</v>
      </c>
      <c r="BN6" s="40">
        <v>0</v>
      </c>
      <c r="BO6" s="40">
        <f t="shared" si="5"/>
        <v>0</v>
      </c>
      <c r="BP6" s="40">
        <f t="shared" si="6"/>
        <v>0</v>
      </c>
      <c r="BQ6" s="40">
        <f t="shared" si="7"/>
        <v>0</v>
      </c>
      <c r="BR6" s="40">
        <f t="shared" ref="BR6:BR21" si="16">AY6/BH6</f>
        <v>0</v>
      </c>
      <c r="BS6" s="412"/>
      <c r="BT6" s="327" t="str">
        <f t="shared" si="3"/>
        <v>1999 </v>
      </c>
      <c r="BU6" s="40">
        <f t="shared" si="8"/>
        <v>0</v>
      </c>
      <c r="BV6" s="40">
        <f t="shared" si="9"/>
        <v>0</v>
      </c>
      <c r="BW6" s="40">
        <f t="shared" si="10"/>
        <v>0</v>
      </c>
      <c r="BX6" s="40">
        <f t="shared" si="11"/>
        <v>0</v>
      </c>
      <c r="BY6" s="40">
        <v>0</v>
      </c>
      <c r="CA6" s="321" t="s">
        <v>386</v>
      </c>
      <c r="CB6" s="195"/>
      <c r="CC6" s="195"/>
      <c r="CD6" s="193"/>
      <c r="CE6" s="193"/>
      <c r="CF6" s="193"/>
      <c r="CG6" s="193"/>
      <c r="CH6" s="193"/>
      <c r="CI6" s="193"/>
      <c r="CJ6" s="193"/>
      <c r="CK6" s="415">
        <f>CPPIB.!Q6</f>
        <v>36616</v>
      </c>
      <c r="CL6" s="321">
        <f>(CM6/CM5)</f>
        <v>0.95967741935483875</v>
      </c>
      <c r="CM6" s="416">
        <f>CN12</f>
        <v>1.4518000000000002</v>
      </c>
      <c r="CN6" s="321"/>
      <c r="CO6" s="327" t="str">
        <f t="shared" si="0"/>
        <v>3Q1998/99</v>
      </c>
      <c r="CP6" s="375"/>
      <c r="CQ6" s="375"/>
      <c r="CR6" s="375"/>
      <c r="CS6" s="193"/>
      <c r="CT6" s="193"/>
      <c r="CU6" s="193"/>
      <c r="CV6" s="193"/>
      <c r="CW6" s="193"/>
      <c r="CX6" s="417"/>
      <c r="CY6" s="193"/>
      <c r="CZ6" s="321">
        <v>2000</v>
      </c>
      <c r="DA6" s="193"/>
      <c r="DB6" s="193"/>
      <c r="DC6" s="193"/>
      <c r="DD6" s="107">
        <f>(CPPIB.!S6/CL6)-1</f>
        <v>0.4598655462184873</v>
      </c>
      <c r="DE6" s="107"/>
      <c r="DF6" s="321"/>
      <c r="DG6" s="40">
        <v>0</v>
      </c>
      <c r="DH6" s="40">
        <v>0</v>
      </c>
      <c r="DI6" s="40">
        <v>0</v>
      </c>
      <c r="DL6" s="326" t="str">
        <f t="shared" si="1"/>
        <v>3Q1998/99</v>
      </c>
      <c r="DM6" s="40">
        <f t="shared" si="12"/>
        <v>0</v>
      </c>
      <c r="DN6" s="40">
        <f t="shared" si="13"/>
        <v>0</v>
      </c>
      <c r="DO6" s="40">
        <f t="shared" si="13"/>
        <v>0</v>
      </c>
      <c r="DP6" s="40">
        <f t="shared" si="13"/>
        <v>0</v>
      </c>
      <c r="DQ6" s="40">
        <f t="shared" si="13"/>
        <v>0</v>
      </c>
    </row>
    <row r="7" spans="1:121">
      <c r="A7" s="321" t="s">
        <v>77</v>
      </c>
      <c r="K7" s="321" t="s">
        <v>77</v>
      </c>
      <c r="O7" s="376"/>
      <c r="P7" s="376"/>
      <c r="Q7" s="376"/>
      <c r="R7" s="376"/>
      <c r="S7" s="396">
        <f>NBIM!P6</f>
        <v>0.10642853266759045</v>
      </c>
      <c r="T7" s="384"/>
      <c r="U7" s="204"/>
      <c r="V7" s="204"/>
      <c r="W7" s="204"/>
      <c r="X7" s="321">
        <v>7.6190000000000007</v>
      </c>
      <c r="Y7" s="321" t="s">
        <v>77</v>
      </c>
      <c r="AC7" s="76"/>
      <c r="AD7" s="173"/>
      <c r="AE7" s="321" t="s">
        <v>77</v>
      </c>
      <c r="AI7" s="76"/>
      <c r="AJ7" s="376"/>
      <c r="AL7" s="321" t="s">
        <v>77</v>
      </c>
      <c r="AM7" s="91">
        <v>136238134063</v>
      </c>
      <c r="AN7" s="377">
        <f t="shared" si="14"/>
        <v>9.9668660732873837E-2</v>
      </c>
      <c r="AO7" s="92">
        <f>LN(AN7+1)</f>
        <v>9.5008916913647698E-2</v>
      </c>
      <c r="AP7" s="400">
        <f>APG!B7</f>
        <v>3.0797797121220299E-2</v>
      </c>
      <c r="AQ7" s="129">
        <f t="shared" si="4"/>
        <v>1.0307977971212203</v>
      </c>
      <c r="AR7" s="404"/>
      <c r="AS7" s="129"/>
      <c r="AT7" s="404">
        <f>AS15</f>
        <v>-2.8164554540235809E-2</v>
      </c>
      <c r="AU7" s="327" t="str">
        <f t="shared" si="2"/>
        <v>2000 </v>
      </c>
      <c r="AV7" s="188">
        <f>APG!O11</f>
        <v>0</v>
      </c>
      <c r="AW7" s="188">
        <f>APG!P11</f>
        <v>0</v>
      </c>
      <c r="AX7" s="58">
        <f>APG!Q11</f>
        <v>0</v>
      </c>
      <c r="AY7" s="58">
        <f>APG!T11</f>
        <v>0</v>
      </c>
      <c r="AZ7" s="58">
        <v>0</v>
      </c>
      <c r="BA7" s="58">
        <v>0</v>
      </c>
      <c r="BB7" s="58"/>
      <c r="BC7" s="342" t="s">
        <v>117</v>
      </c>
      <c r="BD7" s="58">
        <f>APG!W11</f>
        <v>0</v>
      </c>
      <c r="BE7" s="58">
        <f>APG!X11</f>
        <v>0</v>
      </c>
      <c r="BF7" s="58">
        <f>APG!Y11</f>
        <v>0</v>
      </c>
      <c r="BG7" s="58">
        <f>APG!AA11</f>
        <v>0</v>
      </c>
      <c r="BH7" s="310">
        <f>BK15</f>
        <v>1.065131</v>
      </c>
      <c r="BI7" s="411">
        <f t="shared" ref="BI7:BI23" si="17">BH7/BH6</f>
        <v>1.0676335330013553</v>
      </c>
      <c r="BJ7" s="310"/>
      <c r="BK7" s="410">
        <v>0.851607</v>
      </c>
      <c r="BL7" s="103">
        <f t="shared" ref="BL7:BL38" si="18">AM7/BK7</f>
        <v>159977705752.77094</v>
      </c>
      <c r="BM7" s="40">
        <v>0</v>
      </c>
      <c r="BN7" s="40">
        <v>0</v>
      </c>
      <c r="BO7" s="40">
        <f t="shared" si="5"/>
        <v>0</v>
      </c>
      <c r="BP7" s="40">
        <f t="shared" si="6"/>
        <v>0</v>
      </c>
      <c r="BQ7" s="40">
        <f t="shared" si="7"/>
        <v>0</v>
      </c>
      <c r="BR7" s="40">
        <f t="shared" si="16"/>
        <v>0</v>
      </c>
      <c r="BS7" s="412"/>
      <c r="BT7" s="327" t="str">
        <f t="shared" si="3"/>
        <v>2000 </v>
      </c>
      <c r="BU7" s="40">
        <f t="shared" si="8"/>
        <v>0</v>
      </c>
      <c r="BV7" s="40">
        <f t="shared" si="9"/>
        <v>0</v>
      </c>
      <c r="BW7" s="40">
        <f t="shared" si="10"/>
        <v>0</v>
      </c>
      <c r="BX7" s="40">
        <f t="shared" si="11"/>
        <v>0</v>
      </c>
      <c r="BY7" s="40">
        <v>0</v>
      </c>
      <c r="CA7" s="321" t="str">
        <f>CPPIB.!A3</f>
        <v>4Q1998/99</v>
      </c>
      <c r="CB7" s="195"/>
      <c r="CC7" s="195"/>
      <c r="CD7" s="193"/>
      <c r="CE7" s="193"/>
      <c r="CF7" s="193"/>
      <c r="CG7" s="193"/>
      <c r="CH7" s="193"/>
      <c r="CI7" s="193"/>
      <c r="CJ7" s="378">
        <f>CI19</f>
        <v>-0.16162884088106089</v>
      </c>
      <c r="CK7" s="415">
        <f>CPPIB.!Q7</f>
        <v>36981</v>
      </c>
      <c r="CL7" s="321">
        <f t="shared" ref="CL7:CL22" si="19">(CM7/CM6)</f>
        <v>1.0845846535335446</v>
      </c>
      <c r="CM7" s="416">
        <f>CN16</f>
        <v>1.5746000000000002</v>
      </c>
      <c r="CN7" s="410">
        <v>1.536</v>
      </c>
      <c r="CO7" s="327" t="str">
        <f t="shared" si="0"/>
        <v>4Q1998/99</v>
      </c>
      <c r="CP7" s="375"/>
      <c r="CQ7" s="375"/>
      <c r="CR7" s="375"/>
      <c r="CS7" s="193"/>
      <c r="CT7" s="193"/>
      <c r="CU7" s="193"/>
      <c r="CV7" s="193"/>
      <c r="CW7" s="193"/>
      <c r="CX7" s="417"/>
      <c r="CZ7" s="321">
        <v>2001</v>
      </c>
      <c r="DA7" s="107">
        <f>DB7</f>
        <v>-0.21113016069121571</v>
      </c>
      <c r="DB7" s="107">
        <f>((CX19+1)*(CX18+1)*(CX17+1)*(CX16+1))-1</f>
        <v>-0.21113016069121571</v>
      </c>
      <c r="DD7" s="107">
        <f>(CPPIB.!S7/CL7)-1</f>
        <v>-0.16465718277657815</v>
      </c>
      <c r="DE7" s="107"/>
      <c r="DF7" s="321">
        <v>1.536</v>
      </c>
      <c r="DG7" s="40">
        <v>0</v>
      </c>
      <c r="DH7" s="40">
        <v>0</v>
      </c>
      <c r="DI7" s="40">
        <f>CPPIB.!M3</f>
        <v>0.36558800000000002</v>
      </c>
      <c r="DJ7" s="40">
        <f>DI7+DH7+DG7</f>
        <v>0.36558800000000002</v>
      </c>
      <c r="DK7" s="40">
        <v>0</v>
      </c>
      <c r="DL7" s="326" t="str">
        <f t="shared" si="1"/>
        <v>4Q1998/99</v>
      </c>
      <c r="DM7" s="40">
        <f t="shared" si="12"/>
        <v>0</v>
      </c>
      <c r="DN7" s="40">
        <f>DH7</f>
        <v>0</v>
      </c>
      <c r="DO7" s="40">
        <f>DI7/DF7</f>
        <v>0.23801302083333334</v>
      </c>
      <c r="DP7" s="40">
        <f t="shared" ref="DP7:DP12" si="20">DO7</f>
        <v>0.23801302083333334</v>
      </c>
      <c r="DQ7" s="40">
        <v>0</v>
      </c>
    </row>
    <row r="8" spans="1:121">
      <c r="A8" s="321" t="s">
        <v>70</v>
      </c>
      <c r="K8" s="321" t="s">
        <v>70</v>
      </c>
      <c r="O8" s="376"/>
      <c r="P8" s="376"/>
      <c r="Q8" s="376"/>
      <c r="R8" s="376"/>
      <c r="S8" s="396">
        <f>NBIM!P7</f>
        <v>-1.2806109663260901E-2</v>
      </c>
      <c r="T8" s="384"/>
      <c r="U8" s="173"/>
      <c r="V8" s="107"/>
      <c r="W8" s="204"/>
      <c r="X8" s="321">
        <v>7.7287500000000007</v>
      </c>
      <c r="Y8" s="321" t="s">
        <v>70</v>
      </c>
      <c r="AC8" s="76"/>
      <c r="AD8" s="173"/>
      <c r="AE8" s="321" t="s">
        <v>70</v>
      </c>
      <c r="AI8" s="76"/>
      <c r="AJ8" s="376"/>
      <c r="AL8" s="321" t="s">
        <v>70</v>
      </c>
      <c r="AM8" s="91">
        <v>138967911292.95001</v>
      </c>
      <c r="AN8" s="92">
        <f t="shared" si="14"/>
        <v>2.0036807232604259E-2</v>
      </c>
      <c r="AO8" s="92">
        <f t="shared" si="15"/>
        <v>1.983871216727396E-2</v>
      </c>
      <c r="AP8" s="400">
        <f>APG!B8</f>
        <v>2.4113687777131201E-2</v>
      </c>
      <c r="AQ8" s="129">
        <f>AP8+1</f>
        <v>1.0241136877771313</v>
      </c>
      <c r="AR8" s="405">
        <f t="shared" ref="AR8:AR39" si="21">(AQ8/BJ8)-1</f>
        <v>-5.8435092498162478E-2</v>
      </c>
      <c r="AS8" s="55"/>
      <c r="AT8" s="405">
        <f>AS19</f>
        <v>-5.6545375726027025E-2</v>
      </c>
      <c r="AU8" s="327" t="str">
        <f t="shared" si="2"/>
        <v>2001 </v>
      </c>
      <c r="AV8" s="188">
        <f>APG!O12</f>
        <v>0</v>
      </c>
      <c r="AW8" s="188">
        <f>APG!P12</f>
        <v>0</v>
      </c>
      <c r="AX8" s="58">
        <f>APG!Q12</f>
        <v>0</v>
      </c>
      <c r="AY8" s="58">
        <f>APG!T12</f>
        <v>0</v>
      </c>
      <c r="AZ8" s="58">
        <v>0</v>
      </c>
      <c r="BA8" s="58">
        <v>0</v>
      </c>
      <c r="BB8" s="58"/>
      <c r="BC8" s="342" t="s">
        <v>118</v>
      </c>
      <c r="BD8" s="58">
        <f>APG!W12</f>
        <v>0</v>
      </c>
      <c r="BE8" s="58">
        <f>APG!X12</f>
        <v>0</v>
      </c>
      <c r="BF8" s="58">
        <f>APG!Y12</f>
        <v>0</v>
      </c>
      <c r="BG8" s="58">
        <f>APG!AA12</f>
        <v>0</v>
      </c>
      <c r="BH8" s="408">
        <f>BK19</f>
        <v>1.1230909999999998</v>
      </c>
      <c r="BI8" s="411">
        <f t="shared" si="17"/>
        <v>1.0544158418072518</v>
      </c>
      <c r="BJ8" s="409">
        <f>BK8/BK7</f>
        <v>1.0876718956044278</v>
      </c>
      <c r="BK8" s="410">
        <v>0.92626900000000001</v>
      </c>
      <c r="BL8" s="103">
        <f t="shared" si="18"/>
        <v>150029755171.49988</v>
      </c>
      <c r="BM8" s="107">
        <f>(BL8/BL7)-1</f>
        <v>-6.2183355702353893E-2</v>
      </c>
      <c r="BN8" s="107">
        <f>LN(BM8+1)</f>
        <v>-6.420082424609623E-2</v>
      </c>
      <c r="BO8" s="40">
        <f t="shared" si="5"/>
        <v>0</v>
      </c>
      <c r="BP8" s="40">
        <f t="shared" si="6"/>
        <v>0</v>
      </c>
      <c r="BQ8" s="40">
        <f t="shared" si="7"/>
        <v>0</v>
      </c>
      <c r="BR8" s="40">
        <f t="shared" si="16"/>
        <v>0</v>
      </c>
      <c r="BS8" s="412"/>
      <c r="BT8" s="327" t="str">
        <f t="shared" si="3"/>
        <v>2001 </v>
      </c>
      <c r="BU8" s="40">
        <f t="shared" si="8"/>
        <v>0</v>
      </c>
      <c r="BV8" s="40">
        <f t="shared" si="9"/>
        <v>0</v>
      </c>
      <c r="BW8" s="40">
        <f t="shared" si="10"/>
        <v>0</v>
      </c>
      <c r="BX8" s="40">
        <f t="shared" si="11"/>
        <v>0</v>
      </c>
      <c r="BY8" s="40">
        <v>0</v>
      </c>
      <c r="CA8" s="321" t="str">
        <f>CPPIB.!A4</f>
        <v>1Q1999/99</v>
      </c>
      <c r="CB8" s="195"/>
      <c r="CC8" s="195"/>
      <c r="CD8" s="193"/>
      <c r="CE8" s="193"/>
      <c r="CF8" s="193"/>
      <c r="CG8" s="193"/>
      <c r="CH8" s="193"/>
      <c r="CI8" s="193"/>
      <c r="CJ8" s="378">
        <f>CI23</f>
        <v>-0.19460784802240905</v>
      </c>
      <c r="CK8" s="415">
        <f>CPPIB.!Q8</f>
        <v>37346</v>
      </c>
      <c r="CL8" s="321">
        <f t="shared" si="19"/>
        <v>1.0132097040518226</v>
      </c>
      <c r="CM8" s="416">
        <f>CN20</f>
        <v>1.5954000000000002</v>
      </c>
      <c r="CN8" s="410">
        <v>1.5128000000000001</v>
      </c>
      <c r="CO8" s="327" t="str">
        <f t="shared" si="0"/>
        <v>1Q1999/99</v>
      </c>
      <c r="CP8" s="375"/>
      <c r="CQ8" s="375"/>
      <c r="CR8" s="375"/>
      <c r="CS8" s="193"/>
      <c r="CT8" s="193"/>
      <c r="CU8" s="193"/>
      <c r="CV8" s="193"/>
      <c r="CW8" s="193"/>
      <c r="CX8" s="417"/>
      <c r="CZ8" s="321">
        <v>2002</v>
      </c>
      <c r="DA8" s="107">
        <f>DB11</f>
        <v>-0.18622153272931408</v>
      </c>
      <c r="DB8" s="107"/>
      <c r="DC8" s="379">
        <f>CY20</f>
        <v>-3.0878892764055199E-2</v>
      </c>
      <c r="DD8" s="107">
        <f>(CPPIB.!S8/CL8)-1</f>
        <v>4.3219380719568656E-2</v>
      </c>
      <c r="DE8" s="421">
        <f>DF8/DF7</f>
        <v>0.98489583333333341</v>
      </c>
      <c r="DF8" s="321">
        <v>1.5128000000000001</v>
      </c>
      <c r="DG8" s="40">
        <v>0</v>
      </c>
      <c r="DH8" s="40">
        <v>0</v>
      </c>
      <c r="DI8" s="40">
        <f>CPPIB.!M4</f>
        <v>-0.36558800000000002</v>
      </c>
      <c r="DJ8" s="40">
        <f t="shared" ref="DJ8:DJ71" si="22">DI8+DH8+DG8</f>
        <v>-0.36558800000000002</v>
      </c>
      <c r="DK8" s="40" t="e">
        <f t="shared" ref="DK8:DK39" si="23">DJ8/CD8</f>
        <v>#DIV/0!</v>
      </c>
      <c r="DL8" s="326" t="str">
        <f t="shared" si="1"/>
        <v>1Q1999/99</v>
      </c>
      <c r="DM8" s="40">
        <f t="shared" si="12"/>
        <v>0</v>
      </c>
      <c r="DN8" s="40">
        <f t="shared" ref="DN8:DN40" si="24">DH8</f>
        <v>0</v>
      </c>
      <c r="DO8" s="40">
        <f t="shared" ref="DO8:DO71" si="25">DI8/DF8</f>
        <v>-0.24166314119513485</v>
      </c>
      <c r="DP8" s="40">
        <f t="shared" si="20"/>
        <v>-0.24166314119513485</v>
      </c>
      <c r="DQ8" s="40" t="e">
        <f>DP8/CS8</f>
        <v>#DIV/0!</v>
      </c>
    </row>
    <row r="9" spans="1:121">
      <c r="A9" s="321" t="s">
        <v>71</v>
      </c>
      <c r="K9" s="321" t="s">
        <v>71</v>
      </c>
      <c r="O9" s="376"/>
      <c r="P9" s="376"/>
      <c r="Q9" s="376"/>
      <c r="R9" s="376"/>
      <c r="S9" s="396">
        <f>NBIM!P8</f>
        <v>-2.6679188548619504E-3</v>
      </c>
      <c r="T9" s="384"/>
      <c r="U9" s="173"/>
      <c r="V9" s="107"/>
      <c r="W9" s="204"/>
      <c r="X9" s="321">
        <v>7.8725000000000005</v>
      </c>
      <c r="Y9" s="321" t="s">
        <v>71</v>
      </c>
      <c r="AC9" s="76"/>
      <c r="AD9" s="173"/>
      <c r="AE9" s="321" t="s">
        <v>71</v>
      </c>
      <c r="AI9" s="76"/>
      <c r="AJ9" s="376"/>
      <c r="AL9" s="321" t="s">
        <v>71</v>
      </c>
      <c r="AM9" s="91">
        <v>141220975857.12</v>
      </c>
      <c r="AN9" s="92">
        <f t="shared" si="14"/>
        <v>1.6212840383132976E-2</v>
      </c>
      <c r="AO9" s="92">
        <f t="shared" si="15"/>
        <v>1.6082815782700273E-2</v>
      </c>
      <c r="AP9" s="400">
        <f>APG!B9</f>
        <v>2.4113687777131201E-2</v>
      </c>
      <c r="AQ9" s="129">
        <f t="shared" si="4"/>
        <v>1.0241136877771313</v>
      </c>
      <c r="AR9" s="405">
        <f t="shared" si="21"/>
        <v>-2.1751370310895357E-2</v>
      </c>
      <c r="AS9" s="55"/>
      <c r="AT9" s="405">
        <f>AS23</f>
        <v>9.6880110748693071E-2</v>
      </c>
      <c r="AU9" s="327">
        <f t="shared" si="2"/>
        <v>2002</v>
      </c>
      <c r="AV9" s="188">
        <f>APG!O13</f>
        <v>0</v>
      </c>
      <c r="AW9" s="188">
        <f>APG!P13</f>
        <v>0</v>
      </c>
      <c r="AX9" s="188">
        <f>APG!Q13</f>
        <v>0</v>
      </c>
      <c r="AY9" s="58">
        <f>APG!T13</f>
        <v>0</v>
      </c>
      <c r="AZ9" s="58">
        <v>0</v>
      </c>
      <c r="BA9" s="58">
        <v>0</v>
      </c>
      <c r="BB9" s="58"/>
      <c r="BC9" s="342">
        <v>2002</v>
      </c>
      <c r="BD9" s="58">
        <f>APG!W13</f>
        <v>0</v>
      </c>
      <c r="BE9" s="58">
        <f>APG!X13</f>
        <v>0</v>
      </c>
      <c r="BF9" s="58">
        <f>APG!Y13</f>
        <v>0</v>
      </c>
      <c r="BG9" s="58">
        <f>APG!AA13</f>
        <v>0</v>
      </c>
      <c r="BH9" s="408">
        <f>BK23</f>
        <v>0.95292499999999991</v>
      </c>
      <c r="BI9" s="411">
        <f t="shared" si="17"/>
        <v>0.8484842279031708</v>
      </c>
      <c r="BJ9" s="409">
        <f t="shared" ref="BJ9:BJ72" si="26">BK9/BK8</f>
        <v>1.0468848682186276</v>
      </c>
      <c r="BK9" s="410">
        <v>0.96969699999999992</v>
      </c>
      <c r="BL9" s="103">
        <f t="shared" si="18"/>
        <v>145634126801.58853</v>
      </c>
      <c r="BM9" s="107">
        <f t="shared" ref="BM9:BM72" si="27">(BL9/BL8)-1</f>
        <v>-2.9298377277805154E-2</v>
      </c>
      <c r="BN9" s="107">
        <f t="shared" ref="BN9:BN72" si="28">LN(BM9+1)</f>
        <v>-2.9736146562258189E-2</v>
      </c>
      <c r="BO9" s="40">
        <f t="shared" si="5"/>
        <v>0</v>
      </c>
      <c r="BP9" s="40">
        <f t="shared" si="6"/>
        <v>0</v>
      </c>
      <c r="BQ9" s="40">
        <f t="shared" si="7"/>
        <v>0</v>
      </c>
      <c r="BR9" s="40">
        <f t="shared" si="16"/>
        <v>0</v>
      </c>
      <c r="BS9" s="412"/>
      <c r="BT9" s="327">
        <f t="shared" si="3"/>
        <v>2002</v>
      </c>
      <c r="BU9" s="40">
        <f t="shared" si="8"/>
        <v>0</v>
      </c>
      <c r="BV9" s="40">
        <f t="shared" si="9"/>
        <v>0</v>
      </c>
      <c r="BW9" s="40">
        <f t="shared" si="10"/>
        <v>0</v>
      </c>
      <c r="BX9" s="40">
        <f t="shared" si="11"/>
        <v>0</v>
      </c>
      <c r="BY9" s="40">
        <v>0</v>
      </c>
      <c r="CA9" s="321" t="str">
        <f>CPPIB.!A5</f>
        <v>2Q1999/00</v>
      </c>
      <c r="CB9" s="195"/>
      <c r="CC9" s="195"/>
      <c r="CD9" s="193"/>
      <c r="CE9" s="193"/>
      <c r="CF9" s="380"/>
      <c r="CG9" s="317"/>
      <c r="CH9" s="317"/>
      <c r="CI9" s="317"/>
      <c r="CJ9" s="180">
        <f>CI27</f>
        <v>0.18314692203956962</v>
      </c>
      <c r="CK9" s="415">
        <f>CPPIB.!Q9</f>
        <v>37711</v>
      </c>
      <c r="CL9" s="321">
        <f t="shared" si="19"/>
        <v>0.92199448414190799</v>
      </c>
      <c r="CM9" s="332">
        <f>CN24</f>
        <v>1.4709500000000002</v>
      </c>
      <c r="CN9" s="410">
        <v>1.4801000000000002</v>
      </c>
      <c r="CO9" s="327" t="str">
        <f t="shared" si="0"/>
        <v>2Q1999/00</v>
      </c>
      <c r="CP9" s="375"/>
      <c r="CQ9" s="375"/>
      <c r="CR9" s="375"/>
      <c r="CS9" s="193"/>
      <c r="CT9" s="193"/>
      <c r="CU9" s="193"/>
      <c r="CV9" s="193"/>
      <c r="CW9" s="381"/>
      <c r="CX9" s="418"/>
      <c r="CY9" s="205"/>
      <c r="CZ9" s="321">
        <v>2003</v>
      </c>
      <c r="DA9" s="107">
        <f>DB15</f>
        <v>0.44641942924210642</v>
      </c>
      <c r="DB9" s="107"/>
      <c r="DC9" s="205">
        <f>CY24</f>
        <v>-0.19731584480558206</v>
      </c>
      <c r="DD9" s="107">
        <f>(CPPIB.!S9/CL9)-1</f>
        <v>6.8336109317107985E-2</v>
      </c>
      <c r="DE9" s="421">
        <f t="shared" ref="DE9:DE72" si="29">DF9/DF8</f>
        <v>0.97838445267054475</v>
      </c>
      <c r="DF9" s="321">
        <v>1.4801000000000002</v>
      </c>
      <c r="DG9" s="40">
        <v>0</v>
      </c>
      <c r="DH9" s="40">
        <v>0</v>
      </c>
      <c r="DI9" s="40">
        <f>CPPIB.!M5</f>
        <v>0.83751699999999996</v>
      </c>
      <c r="DJ9" s="40">
        <f t="shared" si="22"/>
        <v>0.83751699999999996</v>
      </c>
      <c r="DK9" s="40" t="e">
        <f t="shared" si="23"/>
        <v>#DIV/0!</v>
      </c>
      <c r="DL9" s="326" t="str">
        <f t="shared" si="1"/>
        <v>2Q1999/00</v>
      </c>
      <c r="DM9" s="40">
        <f t="shared" si="12"/>
        <v>0</v>
      </c>
      <c r="DN9" s="40">
        <f t="shared" si="24"/>
        <v>0</v>
      </c>
      <c r="DO9" s="40">
        <f t="shared" si="25"/>
        <v>0.56585163164651031</v>
      </c>
      <c r="DP9" s="40">
        <f t="shared" si="20"/>
        <v>0.56585163164651031</v>
      </c>
      <c r="DQ9" s="40" t="e">
        <f t="shared" ref="DQ9:DQ71" si="30">DP9/CS9</f>
        <v>#DIV/0!</v>
      </c>
    </row>
    <row r="10" spans="1:121">
      <c r="A10" s="321" t="s">
        <v>72</v>
      </c>
      <c r="K10" s="321" t="s">
        <v>72</v>
      </c>
      <c r="O10" s="376"/>
      <c r="P10" s="376"/>
      <c r="Q10" s="376"/>
      <c r="R10" s="376"/>
      <c r="S10" s="396">
        <f>NBIM!P9</f>
        <v>3.3740647464486795E-2</v>
      </c>
      <c r="T10" s="384"/>
      <c r="U10" s="173"/>
      <c r="V10" s="107"/>
      <c r="W10" s="204"/>
      <c r="X10" s="321">
        <v>7.7525000000000004</v>
      </c>
      <c r="Y10" s="321" t="s">
        <v>72</v>
      </c>
      <c r="AC10" s="76"/>
      <c r="AD10" s="173"/>
      <c r="AE10" s="321" t="s">
        <v>72</v>
      </c>
      <c r="AI10" s="76"/>
      <c r="AJ10" s="376"/>
      <c r="AL10" s="321" t="s">
        <v>72</v>
      </c>
      <c r="AM10" s="91">
        <v>137284368553.32001</v>
      </c>
      <c r="AN10" s="92">
        <f t="shared" si="14"/>
        <v>-2.7875514100559995E-2</v>
      </c>
      <c r="AO10" s="92">
        <f t="shared" si="15"/>
        <v>-2.8271410809201144E-2</v>
      </c>
      <c r="AP10" s="400">
        <f>APG!B10</f>
        <v>2.4113687777131201E-2</v>
      </c>
      <c r="AQ10" s="129">
        <f t="shared" si="4"/>
        <v>1.0241136877771313</v>
      </c>
      <c r="AR10" s="405">
        <f t="shared" si="21"/>
        <v>5.7580763906302401E-2</v>
      </c>
      <c r="AS10" s="55"/>
      <c r="AT10" s="405">
        <f>AS27</f>
        <v>0.30402085757776676</v>
      </c>
      <c r="AU10" s="327" t="str">
        <f t="shared" si="2"/>
        <v>2003 </v>
      </c>
      <c r="AV10" s="188">
        <f>APG!O14</f>
        <v>42019</v>
      </c>
      <c r="AW10" s="188">
        <f>APG!P14</f>
        <v>0</v>
      </c>
      <c r="AX10" s="188">
        <f>APG!Q14</f>
        <v>42019</v>
      </c>
      <c r="AY10" s="58">
        <f>APG!T14</f>
        <v>0</v>
      </c>
      <c r="AZ10" s="58">
        <v>0</v>
      </c>
      <c r="BA10" s="58">
        <v>0</v>
      </c>
      <c r="BB10" s="58"/>
      <c r="BC10" s="342" t="s">
        <v>119</v>
      </c>
      <c r="BD10" s="58">
        <f>APG!W14</f>
        <v>0</v>
      </c>
      <c r="BE10" s="58">
        <f>APG!X14</f>
        <v>0</v>
      </c>
      <c r="BF10" s="58">
        <f>APG!Y14</f>
        <v>0</v>
      </c>
      <c r="BG10" s="58">
        <f>APG!AA14</f>
        <v>0</v>
      </c>
      <c r="BH10" s="408">
        <f>BK27</f>
        <v>0.79280099999999998</v>
      </c>
      <c r="BI10" s="411">
        <f t="shared" si="17"/>
        <v>0.83196578954272382</v>
      </c>
      <c r="BJ10" s="409">
        <f t="shared" si="26"/>
        <v>0.96835506348890432</v>
      </c>
      <c r="BK10" s="410">
        <v>0.93901099999999993</v>
      </c>
      <c r="BL10" s="103">
        <f t="shared" si="18"/>
        <v>146201022728.50906</v>
      </c>
      <c r="BM10" s="107">
        <f>(BL10/BL9)-1</f>
        <v>3.892603604461975E-3</v>
      </c>
      <c r="BN10" s="107">
        <f t="shared" si="28"/>
        <v>3.885047026544926E-3</v>
      </c>
      <c r="BO10" s="40">
        <f>AV10/BH10</f>
        <v>53000.689958766452</v>
      </c>
      <c r="BP10" s="40">
        <f t="shared" si="6"/>
        <v>0</v>
      </c>
      <c r="BQ10" s="40">
        <f t="shared" si="7"/>
        <v>53000.689958766452</v>
      </c>
      <c r="BR10" s="40">
        <f t="shared" si="16"/>
        <v>0</v>
      </c>
      <c r="BS10" s="412"/>
      <c r="BT10" s="327" t="str">
        <f t="shared" si="3"/>
        <v>2003 </v>
      </c>
      <c r="BU10" s="40">
        <f t="shared" si="8"/>
        <v>0</v>
      </c>
      <c r="BV10" s="40">
        <f t="shared" si="9"/>
        <v>0</v>
      </c>
      <c r="BW10" s="40">
        <f t="shared" si="10"/>
        <v>0</v>
      </c>
      <c r="BX10" s="40">
        <f t="shared" si="11"/>
        <v>0</v>
      </c>
      <c r="BY10" s="40">
        <v>0</v>
      </c>
      <c r="CA10" s="321" t="str">
        <f>CPPIB.!A6</f>
        <v>3Q1999/00</v>
      </c>
      <c r="CB10" s="195"/>
      <c r="CC10" s="195"/>
      <c r="CD10" s="193"/>
      <c r="CE10" s="193"/>
      <c r="CF10" s="380"/>
      <c r="CG10" s="317"/>
      <c r="CH10" s="317"/>
      <c r="CI10" s="317"/>
      <c r="CJ10" s="180">
        <f>CI31</f>
        <v>0.12892617886637825</v>
      </c>
      <c r="CK10" s="415">
        <f>CPPIB.!Q10</f>
        <v>38077</v>
      </c>
      <c r="CL10" s="321">
        <f t="shared" si="19"/>
        <v>0.89347020632924301</v>
      </c>
      <c r="CM10" s="332">
        <f>CN28</f>
        <v>1.3142500000000001</v>
      </c>
      <c r="CN10" s="410">
        <v>1.4695</v>
      </c>
      <c r="CO10" s="327" t="str">
        <f t="shared" si="0"/>
        <v>3Q1999/00</v>
      </c>
      <c r="CP10" s="375"/>
      <c r="CQ10" s="375"/>
      <c r="CR10" s="375"/>
      <c r="CS10" s="193"/>
      <c r="CT10" s="193"/>
      <c r="CU10" s="193"/>
      <c r="CV10" s="193"/>
      <c r="CW10" s="381"/>
      <c r="CX10" s="418"/>
      <c r="CY10" s="205"/>
      <c r="CZ10" s="321">
        <v>2004</v>
      </c>
      <c r="DA10" s="107">
        <f>DB19</f>
        <v>0.21758949600640776</v>
      </c>
      <c r="DB10" s="107"/>
      <c r="DC10" s="205">
        <f>CY28</f>
        <v>0.47709401119080197</v>
      </c>
      <c r="DD10" s="107">
        <f>(CPPIB.!S10/CL10)-1</f>
        <v>0.31621624500665768</v>
      </c>
      <c r="DE10" s="421">
        <f t="shared" si="29"/>
        <v>0.99283832173501785</v>
      </c>
      <c r="DF10" s="321">
        <v>1.4695</v>
      </c>
      <c r="DG10" s="40">
        <v>0</v>
      </c>
      <c r="DH10" s="40">
        <v>0</v>
      </c>
      <c r="DI10" s="40">
        <f>CPPIB.!M6</f>
        <v>0.479856</v>
      </c>
      <c r="DJ10" s="40">
        <f t="shared" si="22"/>
        <v>0.479856</v>
      </c>
      <c r="DK10" s="40" t="e">
        <f t="shared" si="23"/>
        <v>#DIV/0!</v>
      </c>
      <c r="DL10" s="326" t="str">
        <f t="shared" si="1"/>
        <v>3Q1999/00</v>
      </c>
      <c r="DM10" s="40">
        <f t="shared" si="12"/>
        <v>0</v>
      </c>
      <c r="DN10" s="40">
        <f t="shared" si="24"/>
        <v>0</v>
      </c>
      <c r="DO10" s="40">
        <f t="shared" si="25"/>
        <v>0.32654372235454238</v>
      </c>
      <c r="DP10" s="40">
        <f t="shared" si="20"/>
        <v>0.32654372235454238</v>
      </c>
      <c r="DQ10" s="40" t="e">
        <f t="shared" si="30"/>
        <v>#DIV/0!</v>
      </c>
    </row>
    <row r="11" spans="1:121">
      <c r="A11" s="321" t="s">
        <v>73</v>
      </c>
      <c r="K11" s="321" t="s">
        <v>73</v>
      </c>
      <c r="O11" s="376"/>
      <c r="P11" s="376"/>
      <c r="Q11" s="376"/>
      <c r="R11" s="376"/>
      <c r="S11" s="396">
        <f>NBIM!P10</f>
        <v>6.033078700732486E-2</v>
      </c>
      <c r="T11" s="384"/>
      <c r="U11" s="173"/>
      <c r="V11" s="107"/>
      <c r="W11" s="204"/>
      <c r="X11" s="321">
        <v>8.0371500000000005</v>
      </c>
      <c r="Y11" s="321" t="s">
        <v>73</v>
      </c>
      <c r="AC11" s="76"/>
      <c r="AD11" s="173"/>
      <c r="AE11" s="321" t="s">
        <v>73</v>
      </c>
      <c r="AI11" s="76"/>
      <c r="AJ11" s="376"/>
      <c r="AL11" s="321" t="s">
        <v>73</v>
      </c>
      <c r="AM11" s="91">
        <v>147477072347.98999</v>
      </c>
      <c r="AN11" s="92">
        <f t="shared" si="14"/>
        <v>7.4245188305697152E-2</v>
      </c>
      <c r="AO11" s="92">
        <f t="shared" si="15"/>
        <v>7.1618264543268612E-2</v>
      </c>
      <c r="AP11" s="400">
        <f>APG!B11</f>
        <v>2.4113687777131201E-2</v>
      </c>
      <c r="AQ11" s="129">
        <f t="shared" si="4"/>
        <v>1.0241136877771313</v>
      </c>
      <c r="AR11" s="405">
        <f t="shared" si="21"/>
        <v>-3.6086568844078792E-2</v>
      </c>
      <c r="AS11" s="55">
        <f>AR8+AR9+AR10+AR11</f>
        <v>-5.8692267746834226E-2</v>
      </c>
      <c r="AT11" s="405">
        <f>AS31</f>
        <v>0.19210386998337114</v>
      </c>
      <c r="AU11" s="327">
        <f t="shared" si="2"/>
        <v>2004</v>
      </c>
      <c r="AV11" s="188">
        <f>APG!O15</f>
        <v>170359.99999999997</v>
      </c>
      <c r="AW11" s="188">
        <f>APG!P15</f>
        <v>2309</v>
      </c>
      <c r="AX11" s="188">
        <f>APG!Q15</f>
        <v>168050.99999999997</v>
      </c>
      <c r="AY11" s="58">
        <f>APG!T15</f>
        <v>0</v>
      </c>
      <c r="AZ11" s="129">
        <f>APG!U15</f>
        <v>2.9994050310573783</v>
      </c>
      <c r="BA11" s="58">
        <v>0</v>
      </c>
      <c r="BB11" s="58"/>
      <c r="BC11" s="342">
        <v>2004</v>
      </c>
      <c r="BD11" s="58">
        <f>APG!W15</f>
        <v>0</v>
      </c>
      <c r="BE11" s="58">
        <f>APG!X15</f>
        <v>0</v>
      </c>
      <c r="BF11" s="58">
        <f>APG!Y15</f>
        <v>0</v>
      </c>
      <c r="BG11" s="58">
        <f>APG!AA15</f>
        <v>0</v>
      </c>
      <c r="BH11" s="408">
        <f>BK31</f>
        <v>0.73570000000000002</v>
      </c>
      <c r="BI11" s="411">
        <f t="shared" si="17"/>
        <v>0.92797562061601846</v>
      </c>
      <c r="BJ11" s="409">
        <f>BK11/BK10</f>
        <v>1.0624540074610416</v>
      </c>
      <c r="BK11" s="410">
        <v>0.99765599999999999</v>
      </c>
      <c r="BL11" s="103">
        <f t="shared" si="18"/>
        <v>147823570797.94037</v>
      </c>
      <c r="BM11" s="107">
        <f t="shared" si="27"/>
        <v>1.1098062374326423E-2</v>
      </c>
      <c r="BN11" s="107">
        <f>LN(BM11+1)</f>
        <v>1.1036930759237536E-2</v>
      </c>
      <c r="BO11" s="40">
        <f>AV11/BH11</f>
        <v>231561.77789859992</v>
      </c>
      <c r="BP11" s="40">
        <f>AW11/BH11</f>
        <v>3138.5075438358026</v>
      </c>
      <c r="BQ11" s="40">
        <f>BO11-BP11</f>
        <v>228423.27035476413</v>
      </c>
      <c r="BR11" s="40">
        <f t="shared" si="16"/>
        <v>0</v>
      </c>
      <c r="BS11" s="413"/>
      <c r="BT11" s="327">
        <f t="shared" si="3"/>
        <v>2004</v>
      </c>
      <c r="BU11" s="40">
        <f t="shared" si="8"/>
        <v>0</v>
      </c>
      <c r="BV11" s="40">
        <f t="shared" si="9"/>
        <v>0</v>
      </c>
      <c r="BW11" s="40">
        <f t="shared" si="10"/>
        <v>0</v>
      </c>
      <c r="BX11" s="40">
        <f t="shared" si="11"/>
        <v>0</v>
      </c>
      <c r="BY11" s="40">
        <v>0</v>
      </c>
      <c r="CA11" s="321" t="str">
        <f>CPPIB.!A7</f>
        <v>4Q1999/00</v>
      </c>
      <c r="CB11" s="195"/>
      <c r="CC11" s="195"/>
      <c r="CD11" s="193"/>
      <c r="CE11" s="193"/>
      <c r="CF11" s="380"/>
      <c r="CG11" s="317"/>
      <c r="CH11" s="317"/>
      <c r="CI11" s="317"/>
      <c r="CJ11" s="180">
        <f>CI35</f>
        <v>0.15559293925485629</v>
      </c>
      <c r="CK11" s="415">
        <f>CPPIB.!Q11</f>
        <v>38442</v>
      </c>
      <c r="CL11" s="321">
        <f t="shared" si="19"/>
        <v>0.92056305877877109</v>
      </c>
      <c r="CM11" s="332">
        <f>CN32</f>
        <v>1.2098500000000001</v>
      </c>
      <c r="CN11" s="410">
        <v>1.4513</v>
      </c>
      <c r="CO11" s="327" t="str">
        <f t="shared" si="0"/>
        <v>4Q1999/00</v>
      </c>
      <c r="CP11" s="375"/>
      <c r="CQ11" s="375"/>
      <c r="CR11" s="375"/>
      <c r="CS11" s="193"/>
      <c r="CT11" s="193"/>
      <c r="CU11" s="193"/>
      <c r="CV11" s="193"/>
      <c r="CW11" s="381"/>
      <c r="CX11" s="418"/>
      <c r="CZ11" s="321">
        <v>2005</v>
      </c>
      <c r="DA11" s="107">
        <f>DB23</f>
        <v>0.18527045342482196</v>
      </c>
      <c r="DB11" s="107">
        <f>((CX23+1)*(CX22+1)*(CX21+1)*(CX20+1))-1</f>
        <v>-0.18622153272931408</v>
      </c>
      <c r="DC11" s="379">
        <f>CY32</f>
        <v>0.20736379057923693</v>
      </c>
      <c r="DD11" s="107">
        <f>(CPPIB.!S11/CL11)-1</f>
        <v>0.17862648262181269</v>
      </c>
      <c r="DE11" s="421">
        <f t="shared" si="29"/>
        <v>0.9876148349778836</v>
      </c>
      <c r="DF11" s="321">
        <v>1.4513</v>
      </c>
      <c r="DG11" s="40">
        <v>0</v>
      </c>
      <c r="DH11" s="40">
        <v>0</v>
      </c>
      <c r="DI11" s="40">
        <f>CPPIB.!M7</f>
        <v>0.83044700000000005</v>
      </c>
      <c r="DJ11" s="40">
        <f t="shared" si="22"/>
        <v>0.83044700000000005</v>
      </c>
      <c r="DK11" s="40" t="e">
        <f t="shared" si="23"/>
        <v>#DIV/0!</v>
      </c>
      <c r="DL11" s="326" t="str">
        <f t="shared" si="1"/>
        <v>4Q1999/00</v>
      </c>
      <c r="DM11" s="40">
        <f t="shared" si="12"/>
        <v>0</v>
      </c>
      <c r="DN11" s="40">
        <f t="shared" si="24"/>
        <v>0</v>
      </c>
      <c r="DO11" s="40">
        <f t="shared" si="25"/>
        <v>0.57220905395162958</v>
      </c>
      <c r="DP11" s="40">
        <f t="shared" si="20"/>
        <v>0.57220905395162958</v>
      </c>
      <c r="DQ11" s="40" t="e">
        <f t="shared" si="30"/>
        <v>#DIV/0!</v>
      </c>
    </row>
    <row r="12" spans="1:121">
      <c r="A12" s="321" t="s">
        <v>59</v>
      </c>
      <c r="K12" s="321" t="s">
        <v>59</v>
      </c>
      <c r="O12" s="376"/>
      <c r="P12" s="376"/>
      <c r="Q12" s="376"/>
      <c r="R12" s="376"/>
      <c r="S12" s="396">
        <f>NBIM!P11</f>
        <v>3.3425059086740205E-3</v>
      </c>
      <c r="T12" s="384"/>
      <c r="U12" s="173"/>
      <c r="V12" s="107"/>
      <c r="W12" s="204"/>
      <c r="X12" s="321">
        <v>8.4392000000000014</v>
      </c>
      <c r="Y12" s="321" t="s">
        <v>59</v>
      </c>
      <c r="AC12" s="76"/>
      <c r="AD12" s="173"/>
      <c r="AE12" s="321" t="s">
        <v>59</v>
      </c>
      <c r="AI12" s="76"/>
      <c r="AJ12" s="376"/>
      <c r="AL12" s="321" t="s">
        <v>59</v>
      </c>
      <c r="AM12" s="91">
        <v>151393779855.84</v>
      </c>
      <c r="AN12" s="92">
        <f t="shared" si="14"/>
        <v>2.6558077438695316E-2</v>
      </c>
      <c r="AO12" s="92">
        <f t="shared" si="15"/>
        <v>2.6211533994923472E-2</v>
      </c>
      <c r="AP12" s="400">
        <f>APG!B12</f>
        <v>7.8485240453337705E-3</v>
      </c>
      <c r="AQ12" s="129">
        <f t="shared" si="4"/>
        <v>1.0078485240453339</v>
      </c>
      <c r="AR12" s="405">
        <f t="shared" si="21"/>
        <v>-3.7848226616450154E-2</v>
      </c>
      <c r="AS12" s="55"/>
      <c r="AT12" s="405">
        <f>AS35</f>
        <v>-1.9730742936255208E-2</v>
      </c>
      <c r="AU12" s="327" t="str">
        <f t="shared" si="2"/>
        <v>2005 </v>
      </c>
      <c r="AV12" s="188">
        <f>APG!O16</f>
        <v>236158.00000000003</v>
      </c>
      <c r="AW12" s="188">
        <f>APG!P16</f>
        <v>45543.000000000007</v>
      </c>
      <c r="AX12" s="188">
        <f>APG!Q16</f>
        <v>190615.00000000003</v>
      </c>
      <c r="AY12" s="188">
        <f>APG!T16</f>
        <v>1380.9999999999993</v>
      </c>
      <c r="AZ12" s="129">
        <f>APG!U16</f>
        <v>0.12605102022600323</v>
      </c>
      <c r="BA12" s="55">
        <f>APG!V16</f>
        <v>0.11871683972651152</v>
      </c>
      <c r="BB12" s="129">
        <f>BA12+1</f>
        <v>1.1187168397265115</v>
      </c>
      <c r="BC12" s="342" t="s">
        <v>120</v>
      </c>
      <c r="BD12" s="58">
        <f>APG!W16</f>
        <v>0</v>
      </c>
      <c r="BE12" s="58">
        <f>APG!X16</f>
        <v>0</v>
      </c>
      <c r="BF12" s="58">
        <f>APG!Y16</f>
        <v>0</v>
      </c>
      <c r="BG12" s="58">
        <f>APG!AA16</f>
        <v>0</v>
      </c>
      <c r="BH12" s="408">
        <f>BK35</f>
        <v>0.84778100000000001</v>
      </c>
      <c r="BI12" s="411">
        <f t="shared" si="17"/>
        <v>1.1523460649721353</v>
      </c>
      <c r="BJ12" s="409">
        <f t="shared" si="26"/>
        <v>1.0474943267017891</v>
      </c>
      <c r="BK12" s="410">
        <v>1.0450390000000001</v>
      </c>
      <c r="BL12" s="103">
        <f t="shared" si="18"/>
        <v>144869023888.90747</v>
      </c>
      <c r="BM12" s="107">
        <f t="shared" si="27"/>
        <v>-1.9986981055081232E-2</v>
      </c>
      <c r="BN12" s="107">
        <f t="shared" si="28"/>
        <v>-2.0189422768087256E-2</v>
      </c>
      <c r="BO12" s="40">
        <f t="shared" si="5"/>
        <v>278560.14701910049</v>
      </c>
      <c r="BP12" s="40">
        <f t="shared" si="6"/>
        <v>53720.24143027504</v>
      </c>
      <c r="BQ12" s="40">
        <f t="shared" si="7"/>
        <v>224839.90558882547</v>
      </c>
      <c r="BR12" s="40">
        <f>AY12/BH12</f>
        <v>1628.958422045315</v>
      </c>
      <c r="BS12" s="396">
        <f t="shared" ref="BS12:BS21" si="31">(BB12/BI12)-1</f>
        <v>-2.9183269043780768E-2</v>
      </c>
      <c r="BT12" s="327" t="str">
        <f t="shared" si="3"/>
        <v>2005 </v>
      </c>
      <c r="BU12" s="40">
        <f t="shared" si="8"/>
        <v>0</v>
      </c>
      <c r="BV12" s="40">
        <f t="shared" si="9"/>
        <v>0</v>
      </c>
      <c r="BW12" s="40">
        <f t="shared" si="10"/>
        <v>0</v>
      </c>
      <c r="BX12" s="40">
        <f t="shared" si="11"/>
        <v>0</v>
      </c>
      <c r="BY12" s="40">
        <v>0</v>
      </c>
      <c r="CA12" s="321" t="str">
        <f>CPPIB.!A8</f>
        <v>1Q2000/00</v>
      </c>
      <c r="CB12" s="195"/>
      <c r="CC12" s="195"/>
      <c r="CD12" s="193"/>
      <c r="CE12" s="193"/>
      <c r="CF12" s="380"/>
      <c r="CG12" s="317"/>
      <c r="CH12" s="317"/>
      <c r="CI12" s="317"/>
      <c r="CJ12" s="180">
        <f>CI39</f>
        <v>0.14821922854969927</v>
      </c>
      <c r="CK12" s="415">
        <f>CPPIB.!Q12</f>
        <v>38807</v>
      </c>
      <c r="CL12" s="321">
        <f>(CM12/CM11)</f>
        <v>0.96425176674794399</v>
      </c>
      <c r="CM12" s="332">
        <f>CN36</f>
        <v>1.1666000000000001</v>
      </c>
      <c r="CN12" s="410">
        <v>1.4518000000000002</v>
      </c>
      <c r="CO12" s="327" t="str">
        <f t="shared" si="0"/>
        <v>1Q2000/00</v>
      </c>
      <c r="CP12" s="375"/>
      <c r="CQ12" s="375"/>
      <c r="CR12" s="375"/>
      <c r="CS12" s="193"/>
      <c r="CT12" s="193"/>
      <c r="CU12" s="193"/>
      <c r="CV12" s="193"/>
      <c r="CW12" s="381"/>
      <c r="CX12" s="418"/>
      <c r="CY12" s="205"/>
      <c r="CZ12" s="321">
        <v>2006</v>
      </c>
      <c r="DA12" s="107">
        <f>DB27</f>
        <v>0.15261002993067896</v>
      </c>
      <c r="DB12" s="107"/>
      <c r="DC12" s="205">
        <f>CY36</f>
        <v>0.22118748558233836</v>
      </c>
      <c r="DD12" s="107">
        <f>(CPPIB.!S12/CL12)-1</f>
        <v>0.19781994685410598</v>
      </c>
      <c r="DE12" s="421">
        <f t="shared" si="29"/>
        <v>1.0003445187073658</v>
      </c>
      <c r="DF12" s="321">
        <v>1.4518000000000002</v>
      </c>
      <c r="DG12" s="40">
        <v>0.34248099999999998</v>
      </c>
      <c r="DH12" s="40">
        <v>0</v>
      </c>
      <c r="DI12" s="40">
        <f>CPPIB.!M8</f>
        <v>1.0201480000000003</v>
      </c>
      <c r="DJ12" s="40">
        <f t="shared" si="22"/>
        <v>1.3626290000000003</v>
      </c>
      <c r="DK12" s="40" t="e">
        <f t="shared" si="23"/>
        <v>#DIV/0!</v>
      </c>
      <c r="DL12" s="326" t="str">
        <f t="shared" si="1"/>
        <v>1Q2000/00</v>
      </c>
      <c r="DM12" s="40">
        <f t="shared" si="12"/>
        <v>0.34248099999999998</v>
      </c>
      <c r="DN12" s="40">
        <f t="shared" si="24"/>
        <v>0</v>
      </c>
      <c r="DO12" s="40">
        <f t="shared" si="25"/>
        <v>0.70267805482848888</v>
      </c>
      <c r="DP12" s="40">
        <f t="shared" si="20"/>
        <v>0.70267805482848888</v>
      </c>
      <c r="DQ12" s="40" t="e">
        <f t="shared" si="30"/>
        <v>#DIV/0!</v>
      </c>
    </row>
    <row r="13" spans="1:121">
      <c r="A13" s="321" t="s">
        <v>60</v>
      </c>
      <c r="K13" s="321" t="s">
        <v>60</v>
      </c>
      <c r="O13" s="376"/>
      <c r="P13" s="376"/>
      <c r="Q13" s="376"/>
      <c r="R13" s="376"/>
      <c r="S13" s="396">
        <f>NBIM!P12</f>
        <v>-1.1156068624270543E-2</v>
      </c>
      <c r="T13" s="384"/>
      <c r="U13" s="173"/>
      <c r="V13" s="107"/>
      <c r="W13" s="204"/>
      <c r="X13" s="321">
        <v>8.5477000000000007</v>
      </c>
      <c r="Y13" s="321" t="s">
        <v>60</v>
      </c>
      <c r="AC13" s="76"/>
      <c r="AD13" s="173"/>
      <c r="AE13" s="321" t="s">
        <v>60</v>
      </c>
      <c r="AI13" s="76"/>
      <c r="AJ13" s="376"/>
      <c r="AL13" s="321" t="s">
        <v>60</v>
      </c>
      <c r="AM13" s="91">
        <v>150645862570.75</v>
      </c>
      <c r="AN13" s="92">
        <f t="shared" si="14"/>
        <v>-4.9402114525588514E-3</v>
      </c>
      <c r="AO13" s="92">
        <f t="shared" si="15"/>
        <v>-4.9524546364123042E-3</v>
      </c>
      <c r="AP13" s="400">
        <f>APG!B13</f>
        <v>7.8485240453337705E-3</v>
      </c>
      <c r="AQ13" s="129">
        <f>AP13+1</f>
        <v>1.0078485240453339</v>
      </c>
      <c r="AR13" s="405">
        <f t="shared" si="21"/>
        <v>9.5845582518836459E-3</v>
      </c>
      <c r="AS13" s="55"/>
      <c r="AT13" s="405">
        <f>AS39</f>
        <v>0.20868661304458969</v>
      </c>
      <c r="AU13" s="327" t="str">
        <f t="shared" si="2"/>
        <v>2006 </v>
      </c>
      <c r="AV13" s="188">
        <f>APG!O17</f>
        <v>271178.00000000006</v>
      </c>
      <c r="AW13" s="188">
        <f>APG!P17</f>
        <v>60076</v>
      </c>
      <c r="AX13" s="188">
        <f>APG!Q17</f>
        <v>211102.00000000006</v>
      </c>
      <c r="AY13" s="188">
        <f>APG!T17</f>
        <v>876.00000000000011</v>
      </c>
      <c r="AZ13" s="129">
        <f>APG!U17</f>
        <v>0.11012774440626405</v>
      </c>
      <c r="BA13" s="55">
        <f>APG!V17</f>
        <v>0.1044750937531547</v>
      </c>
      <c r="BB13" s="129">
        <f t="shared" ref="BB13:BB22" si="32">BA13+1</f>
        <v>1.1044750937531547</v>
      </c>
      <c r="BC13" s="342" t="s">
        <v>121</v>
      </c>
      <c r="BD13" s="58">
        <f>APG!W17</f>
        <v>465</v>
      </c>
      <c r="BE13" s="58">
        <f>APG!X17</f>
        <v>0</v>
      </c>
      <c r="BF13" s="58">
        <f>APG!Y17</f>
        <v>127</v>
      </c>
      <c r="BG13" s="58">
        <f>APG!AA17</f>
        <v>0</v>
      </c>
      <c r="BH13" s="408">
        <f>BK39</f>
        <v>0.758351</v>
      </c>
      <c r="BI13" s="411">
        <f t="shared" si="17"/>
        <v>0.89451285178601547</v>
      </c>
      <c r="BJ13" s="409">
        <f t="shared" si="26"/>
        <v>0.99828044694982676</v>
      </c>
      <c r="BK13" s="410">
        <v>1.043242</v>
      </c>
      <c r="BL13" s="103">
        <f t="shared" si="18"/>
        <v>144401646569.7796</v>
      </c>
      <c r="BM13" s="107">
        <f t="shared" si="27"/>
        <v>-3.2262060348130506E-3</v>
      </c>
      <c r="BN13" s="107">
        <f t="shared" si="28"/>
        <v>-3.231421457876481E-3</v>
      </c>
      <c r="BO13" s="40">
        <f t="shared" si="5"/>
        <v>357589.03199178225</v>
      </c>
      <c r="BP13" s="40">
        <f t="shared" si="6"/>
        <v>79219.253353658132</v>
      </c>
      <c r="BQ13" s="40">
        <f t="shared" si="7"/>
        <v>278369.77863812412</v>
      </c>
      <c r="BR13" s="40">
        <f t="shared" si="16"/>
        <v>1155.1379242593471</v>
      </c>
      <c r="BS13" s="396">
        <f t="shared" si="31"/>
        <v>0.23472244311294266</v>
      </c>
      <c r="BT13" s="327" t="str">
        <f t="shared" si="3"/>
        <v>2006 </v>
      </c>
      <c r="BU13" s="313">
        <f t="shared" si="8"/>
        <v>613.17252828835194</v>
      </c>
      <c r="BV13" s="40">
        <f t="shared" si="9"/>
        <v>0</v>
      </c>
      <c r="BW13" s="40">
        <f t="shared" si="10"/>
        <v>167.46862600563591</v>
      </c>
      <c r="BX13" s="313">
        <f>BU13+BV13+BW13</f>
        <v>780.64115429398782</v>
      </c>
      <c r="BY13" s="40">
        <f t="shared" ref="BY13:BY21" si="33">BG13/BH13</f>
        <v>0</v>
      </c>
      <c r="CA13" s="321" t="str">
        <f>CPPIB.!A9</f>
        <v>2Q2000/01</v>
      </c>
      <c r="CB13" s="196"/>
      <c r="CC13" s="196"/>
      <c r="CD13" s="42"/>
      <c r="CE13" s="42"/>
      <c r="CF13" s="194"/>
      <c r="CG13" s="144"/>
      <c r="CH13" s="144"/>
      <c r="CI13" s="87"/>
      <c r="CJ13" s="180">
        <f>CI43</f>
        <v>2.8774431841944281E-2</v>
      </c>
      <c r="CK13" s="415">
        <f>CPPIB.!Q13</f>
        <v>39172</v>
      </c>
      <c r="CL13" s="321">
        <f t="shared" si="19"/>
        <v>0.98889936567803871</v>
      </c>
      <c r="CM13" s="332">
        <f>CN40</f>
        <v>1.1536500000000001</v>
      </c>
      <c r="CN13" s="410">
        <v>1.4817</v>
      </c>
      <c r="CO13" s="327" t="str">
        <f t="shared" si="0"/>
        <v>2Q2000/01</v>
      </c>
      <c r="CP13" s="198"/>
      <c r="CQ13" s="198"/>
      <c r="CR13" s="198"/>
      <c r="CS13" s="42"/>
      <c r="CT13" s="42"/>
      <c r="CU13" s="42"/>
      <c r="CV13" s="42"/>
      <c r="CW13" s="197"/>
      <c r="CX13" s="419"/>
      <c r="CY13" s="205"/>
      <c r="CZ13" s="321">
        <v>2007</v>
      </c>
      <c r="DA13" s="107">
        <f>DB31</f>
        <v>0.21301464748413879</v>
      </c>
      <c r="DB13" s="107"/>
      <c r="DC13" s="205">
        <f>CY40</f>
        <v>0.13539264649738736</v>
      </c>
      <c r="DD13" s="107">
        <f>(CPPIB.!S13/CL13)-1</f>
        <v>0.14167329779395832</v>
      </c>
      <c r="DE13" s="421">
        <f t="shared" si="29"/>
        <v>1.0205951232952195</v>
      </c>
      <c r="DF13" s="321">
        <v>1.4817</v>
      </c>
      <c r="DG13" s="40">
        <f>CPPIB.!K9</f>
        <v>0.24099999999999999</v>
      </c>
      <c r="DH13" s="40">
        <v>0</v>
      </c>
      <c r="DI13" s="40">
        <f>CPPIB.!M9</f>
        <v>1.035925</v>
      </c>
      <c r="DJ13" s="40">
        <f t="shared" si="22"/>
        <v>1.2769249999999999</v>
      </c>
      <c r="DK13" s="40" t="e">
        <f t="shared" si="23"/>
        <v>#DIV/0!</v>
      </c>
      <c r="DL13" s="326" t="str">
        <f t="shared" si="1"/>
        <v>2Q2000/01</v>
      </c>
      <c r="DM13" s="40">
        <f>DG13/DF13</f>
        <v>0.16265100897617601</v>
      </c>
      <c r="DN13" s="40">
        <f t="shared" si="24"/>
        <v>0</v>
      </c>
      <c r="DO13" s="40">
        <f t="shared" si="25"/>
        <v>0.6991462509279881</v>
      </c>
      <c r="DP13" s="40">
        <f>DO13+DM13</f>
        <v>0.86179725990416411</v>
      </c>
      <c r="DQ13" s="40" t="e">
        <f t="shared" si="30"/>
        <v>#DIV/0!</v>
      </c>
    </row>
    <row r="14" spans="1:121">
      <c r="A14" s="321" t="s">
        <v>61</v>
      </c>
      <c r="K14" s="321" t="s">
        <v>61</v>
      </c>
      <c r="O14" s="376"/>
      <c r="P14" s="376"/>
      <c r="Q14" s="376"/>
      <c r="R14" s="376"/>
      <c r="S14" s="396">
        <f>NBIM!P13</f>
        <v>-3.5758065980356024E-2</v>
      </c>
      <c r="T14" s="384"/>
      <c r="U14" s="173"/>
      <c r="V14" s="107"/>
      <c r="W14" s="204"/>
      <c r="X14" s="321">
        <v>9.0783500000000004</v>
      </c>
      <c r="Y14" s="321" t="s">
        <v>61</v>
      </c>
      <c r="AC14" s="76"/>
      <c r="AD14" s="173"/>
      <c r="AE14" s="321" t="s">
        <v>61</v>
      </c>
      <c r="AI14" s="76"/>
      <c r="AJ14" s="376"/>
      <c r="AL14" s="321" t="s">
        <v>61</v>
      </c>
      <c r="AM14" s="91">
        <v>152284227549.48001</v>
      </c>
      <c r="AN14" s="92">
        <f t="shared" si="14"/>
        <v>1.0875605547816303E-2</v>
      </c>
      <c r="AO14" s="92">
        <f t="shared" si="15"/>
        <v>1.0816891466998595E-2</v>
      </c>
      <c r="AP14" s="400">
        <f>APG!B14</f>
        <v>7.8485240453337705E-3</v>
      </c>
      <c r="AQ14" s="129">
        <f t="shared" si="4"/>
        <v>1.0078485240453339</v>
      </c>
      <c r="AR14" s="405">
        <f t="shared" si="21"/>
        <v>-7.2164300148073179E-2</v>
      </c>
      <c r="AS14" s="55"/>
      <c r="AT14" s="405">
        <f>AS43</f>
        <v>0.14358951561793143</v>
      </c>
      <c r="AU14" s="327" t="str">
        <f t="shared" si="2"/>
        <v>2007 </v>
      </c>
      <c r="AV14" s="190">
        <f>APG!O18</f>
        <v>283427.99999999994</v>
      </c>
      <c r="AW14" s="190">
        <f>APG!P18</f>
        <v>64614.999999999993</v>
      </c>
      <c r="AX14" s="190">
        <f>APG!Q18</f>
        <v>218812.99999999994</v>
      </c>
      <c r="AY14" s="190">
        <f>APG!T18</f>
        <v>478.99999999999994</v>
      </c>
      <c r="AZ14" s="189">
        <f>APG!U18</f>
        <v>3.8407973396745954E-2</v>
      </c>
      <c r="BA14" s="403">
        <f>APG!V18</f>
        <v>3.7688745478988657E-2</v>
      </c>
      <c r="BB14" s="189">
        <f t="shared" si="32"/>
        <v>1.0376887454789887</v>
      </c>
      <c r="BC14" s="342" t="s">
        <v>122</v>
      </c>
      <c r="BD14" s="64">
        <f>APG!W18</f>
        <v>330.99999999999994</v>
      </c>
      <c r="BE14" s="64">
        <f>APG!X18</f>
        <v>0</v>
      </c>
      <c r="BF14" s="64">
        <f>APG!Y18</f>
        <v>152</v>
      </c>
      <c r="BG14" s="64">
        <f>APG!AA18</f>
        <v>0</v>
      </c>
      <c r="BH14" s="408">
        <f>BK43</f>
        <v>0.683971</v>
      </c>
      <c r="BI14" s="411">
        <f t="shared" si="17"/>
        <v>0.90191876848583308</v>
      </c>
      <c r="BJ14" s="409">
        <f t="shared" si="26"/>
        <v>1.0862359835972859</v>
      </c>
      <c r="BK14" s="410">
        <v>1.1332069999999999</v>
      </c>
      <c r="BL14" s="103">
        <f t="shared" si="18"/>
        <v>134383415871.48688</v>
      </c>
      <c r="BM14" s="107">
        <f t="shared" si="27"/>
        <v>-6.937753783473366E-2</v>
      </c>
      <c r="BN14" s="107">
        <f t="shared" si="28"/>
        <v>-7.1901602569458281E-2</v>
      </c>
      <c r="BO14" s="74">
        <f t="shared" si="5"/>
        <v>414385.99004928564</v>
      </c>
      <c r="BP14" s="74">
        <f t="shared" si="6"/>
        <v>94470.379592117199</v>
      </c>
      <c r="BQ14" s="74">
        <f t="shared" si="7"/>
        <v>319915.61045716843</v>
      </c>
      <c r="BR14" s="74">
        <f t="shared" si="16"/>
        <v>700.32208967924066</v>
      </c>
      <c r="BS14" s="397">
        <f t="shared" si="31"/>
        <v>0.15053459550585702</v>
      </c>
      <c r="BT14" s="327" t="str">
        <f t="shared" si="3"/>
        <v>2007 </v>
      </c>
      <c r="BU14" s="414">
        <f t="shared" si="8"/>
        <v>483.93864652156299</v>
      </c>
      <c r="BV14" s="74">
        <f t="shared" si="9"/>
        <v>0</v>
      </c>
      <c r="BW14" s="74">
        <f t="shared" si="10"/>
        <v>222.23164432410147</v>
      </c>
      <c r="BX14" s="74">
        <f t="shared" si="11"/>
        <v>706.17029084566445</v>
      </c>
      <c r="BY14" s="74">
        <f t="shared" si="33"/>
        <v>0</v>
      </c>
      <c r="CA14" s="321" t="str">
        <f>CPPIB.!A10</f>
        <v>3Q2000/01</v>
      </c>
      <c r="CB14" s="50">
        <f>CPPIB.!B10</f>
        <v>5976.9709999999995</v>
      </c>
      <c r="CC14" s="50">
        <f>CPPIB.!C10</f>
        <v>116.755</v>
      </c>
      <c r="CD14" s="40">
        <f>CPPIB.!D10</f>
        <v>5860.2159999999994</v>
      </c>
      <c r="CE14" s="40">
        <f>CPPIB.!E10</f>
        <v>5011.0029999999997</v>
      </c>
      <c r="CF14" s="234"/>
      <c r="CG14" s="107"/>
      <c r="CH14" s="107"/>
      <c r="CI14" s="107"/>
      <c r="CJ14" s="180">
        <f>CI47</f>
        <v>-0.15083759328147228</v>
      </c>
      <c r="CK14" s="415">
        <f>CPPIB.!Q14</f>
        <v>39538</v>
      </c>
      <c r="CL14" s="321">
        <f t="shared" si="19"/>
        <v>0.88939453040350203</v>
      </c>
      <c r="CM14" s="332">
        <f>CN44</f>
        <v>1.0260500000000001</v>
      </c>
      <c r="CN14" s="410">
        <v>1.5046000000000002</v>
      </c>
      <c r="CO14" s="327" t="str">
        <f t="shared" si="0"/>
        <v>3Q2000/01</v>
      </c>
      <c r="CP14" s="187">
        <f t="shared" ref="CP14:CP38" si="34">CB14/CN14</f>
        <v>3972.4651070051832</v>
      </c>
      <c r="CQ14" s="187"/>
      <c r="CR14" s="187">
        <f t="shared" ref="CR14:CR38" si="35">CC14/CN14</f>
        <v>77.598697328193524</v>
      </c>
      <c r="CS14" s="40">
        <f t="shared" ref="CS14:CS38" si="36">CD14/CN14</f>
        <v>3894.8664096769899</v>
      </c>
      <c r="CU14" s="40">
        <f t="shared" ref="CU14:CU38" si="37">CE14/CN14</f>
        <v>3330.4552705037877</v>
      </c>
      <c r="CW14" s="381"/>
      <c r="CX14" s="418"/>
      <c r="CY14" s="205"/>
      <c r="CZ14" s="321">
        <v>2008</v>
      </c>
      <c r="DA14" s="107">
        <f>DB35</f>
        <v>-0.32111718322328797</v>
      </c>
      <c r="DB14" s="107"/>
      <c r="DC14" s="205">
        <f>CY44</f>
        <v>0.12051785809166837</v>
      </c>
      <c r="DD14" s="107">
        <f>(CPPIB.!S14/CL14)-1</f>
        <v>0.12098733005214157</v>
      </c>
      <c r="DE14" s="421">
        <f t="shared" si="29"/>
        <v>1.0154552203549978</v>
      </c>
      <c r="DF14" s="321">
        <v>1.5046000000000002</v>
      </c>
      <c r="DG14" s="40">
        <f>CPPIB.!K10</f>
        <v>0.48899999999999999</v>
      </c>
      <c r="DH14" s="40">
        <v>0</v>
      </c>
      <c r="DI14" s="40">
        <f>CPPIB.!M10</f>
        <v>0.85768200000000006</v>
      </c>
      <c r="DJ14" s="40">
        <f t="shared" si="22"/>
        <v>1.3466819999999999</v>
      </c>
      <c r="DK14" s="40">
        <f t="shared" si="23"/>
        <v>2.2980074454593484E-4</v>
      </c>
      <c r="DL14" s="326" t="str">
        <f t="shared" si="1"/>
        <v>3Q2000/01</v>
      </c>
      <c r="DM14" s="40">
        <f t="shared" ref="DM14:DM77" si="38">DG14/DF14</f>
        <v>0.32500332314236335</v>
      </c>
      <c r="DN14" s="40">
        <f t="shared" si="24"/>
        <v>0</v>
      </c>
      <c r="DO14" s="40">
        <f t="shared" si="25"/>
        <v>0.57003987770836095</v>
      </c>
      <c r="DP14" s="40">
        <f t="shared" ref="DP14:DP40" si="39">DO14+DM14</f>
        <v>0.89504320085072431</v>
      </c>
      <c r="DQ14" s="40">
        <f t="shared" si="30"/>
        <v>2.2980074454593484E-4</v>
      </c>
    </row>
    <row r="15" spans="1:121">
      <c r="A15" s="321" t="s">
        <v>62</v>
      </c>
      <c r="K15" s="321" t="s">
        <v>62</v>
      </c>
      <c r="O15" s="376"/>
      <c r="P15" s="376"/>
      <c r="Q15" s="376"/>
      <c r="R15" s="376"/>
      <c r="S15" s="396">
        <f>NBIM!P14</f>
        <v>1.4857588145565481E-2</v>
      </c>
      <c r="T15" s="384"/>
      <c r="U15" s="173"/>
      <c r="V15" s="107"/>
      <c r="W15" s="204"/>
      <c r="X15" s="321">
        <v>8.8185000000000002</v>
      </c>
      <c r="Y15" s="321" t="s">
        <v>62</v>
      </c>
      <c r="Z15" s="74"/>
      <c r="AA15" s="74"/>
      <c r="AB15" s="74"/>
      <c r="AC15" s="76"/>
      <c r="AD15" s="108"/>
      <c r="AE15" s="321" t="s">
        <v>62</v>
      </c>
      <c r="AF15" s="74"/>
      <c r="AG15" s="74"/>
      <c r="AH15" s="74"/>
      <c r="AI15" s="76"/>
      <c r="AJ15" s="390"/>
      <c r="AL15" s="321" t="s">
        <v>62</v>
      </c>
      <c r="AM15" s="91">
        <v>150170608728.87</v>
      </c>
      <c r="AN15" s="92">
        <f t="shared" si="14"/>
        <v>-1.3879433573797173E-2</v>
      </c>
      <c r="AO15" s="92">
        <f t="shared" si="15"/>
        <v>-1.3976653532165441E-2</v>
      </c>
      <c r="AP15" s="402">
        <f>APG!B15</f>
        <v>7.8485240453337705E-3</v>
      </c>
      <c r="AQ15" s="189">
        <f t="shared" si="4"/>
        <v>1.0078485240453339</v>
      </c>
      <c r="AR15" s="406">
        <f t="shared" si="21"/>
        <v>7.2263413972403878E-2</v>
      </c>
      <c r="AS15" s="55">
        <f>AR12+AR13+AR14+AR15</f>
        <v>-2.8164554540235809E-2</v>
      </c>
      <c r="AT15" s="405">
        <f>AS47</f>
        <v>-0.25453543596623374</v>
      </c>
      <c r="AU15" s="327" t="str">
        <f t="shared" si="2"/>
        <v>2008 </v>
      </c>
      <c r="AV15" s="188">
        <f>APG!O19</f>
        <v>249294</v>
      </c>
      <c r="AW15" s="188">
        <f>APG!P19</f>
        <v>72559</v>
      </c>
      <c r="AX15" s="188">
        <f>APG!Q19</f>
        <v>176735</v>
      </c>
      <c r="AY15" s="188">
        <f>APG!T19</f>
        <v>786.00000000000102</v>
      </c>
      <c r="AZ15" s="129">
        <f>APG!U19</f>
        <v>-0.19370421318660203</v>
      </c>
      <c r="BA15" s="422">
        <f>APG!V19</f>
        <v>-0.21530462263856207</v>
      </c>
      <c r="BB15" s="129">
        <f>BA15+1</f>
        <v>0.78469537736143791</v>
      </c>
      <c r="BC15" s="342" t="s">
        <v>123</v>
      </c>
      <c r="BD15" s="58">
        <f>APG!W19</f>
        <v>312</v>
      </c>
      <c r="BE15" s="58">
        <f>APG!X19</f>
        <v>0</v>
      </c>
      <c r="BF15" s="58">
        <f>APG!Y19</f>
        <v>208</v>
      </c>
      <c r="BG15" s="58">
        <f>APG!AA19</f>
        <v>0</v>
      </c>
      <c r="BH15" s="411">
        <f>BK47</f>
        <v>0.71939900000000001</v>
      </c>
      <c r="BI15" s="411">
        <f>BH15/BH14</f>
        <v>1.051797517731015</v>
      </c>
      <c r="BJ15" s="409">
        <f t="shared" si="26"/>
        <v>0.93992624471963215</v>
      </c>
      <c r="BK15" s="410">
        <v>1.065131</v>
      </c>
      <c r="BL15" s="103">
        <f t="shared" si="18"/>
        <v>140987924235.4884</v>
      </c>
      <c r="BM15" s="107">
        <f t="shared" si="27"/>
        <v>4.9146751637252128E-2</v>
      </c>
      <c r="BN15" s="107">
        <f t="shared" si="28"/>
        <v>4.7977216328530553E-2</v>
      </c>
      <c r="BO15" s="40">
        <f t="shared" si="5"/>
        <v>346530.92372939078</v>
      </c>
      <c r="BP15" s="40">
        <f t="shared" si="6"/>
        <v>100860.57945590695</v>
      </c>
      <c r="BQ15" s="40">
        <f t="shared" si="7"/>
        <v>245670.34427348385</v>
      </c>
      <c r="BR15" s="40">
        <f t="shared" si="16"/>
        <v>1092.5786663590038</v>
      </c>
      <c r="BS15" s="396">
        <f>(BB15/BI15)-1</f>
        <v>-0.25394825131911503</v>
      </c>
      <c r="BT15" s="327" t="str">
        <f t="shared" si="3"/>
        <v>2008 </v>
      </c>
      <c r="BU15" s="313">
        <f t="shared" si="8"/>
        <v>433.69534847838264</v>
      </c>
      <c r="BV15" s="40">
        <f t="shared" si="9"/>
        <v>0</v>
      </c>
      <c r="BW15" s="40">
        <f t="shared" si="10"/>
        <v>289.13023231892174</v>
      </c>
      <c r="BX15" s="40">
        <f t="shared" si="11"/>
        <v>722.82558079730438</v>
      </c>
      <c r="BY15" s="40">
        <f t="shared" si="33"/>
        <v>0</v>
      </c>
      <c r="CA15" s="321" t="str">
        <f>CPPIB.!A11</f>
        <v>4Q2000/01</v>
      </c>
      <c r="CB15" s="50">
        <f>CPPIB.!B11</f>
        <v>6442.5919999999996</v>
      </c>
      <c r="CC15" s="50">
        <f>CPPIB.!C11</f>
        <v>2.262</v>
      </c>
      <c r="CD15" s="40">
        <f>CPPIB.!D11</f>
        <v>6440.33</v>
      </c>
      <c r="CE15" s="40">
        <f>CPPIB.!E11</f>
        <v>6043.7979999999998</v>
      </c>
      <c r="CF15" s="234">
        <f>((CD15-(CE15-CE14))/CD14)-1</f>
        <v>-7.7246470095982733E-2</v>
      </c>
      <c r="CG15" s="107">
        <f>LN(CF15+1)</f>
        <v>-8.0393111661825251E-2</v>
      </c>
      <c r="CH15" s="393">
        <f>CG15+1</f>
        <v>0.91960688833817472</v>
      </c>
      <c r="CI15" s="107"/>
      <c r="CJ15" s="180">
        <f>CI51</f>
        <v>6.9170780824612477E-2</v>
      </c>
      <c r="CK15" s="415">
        <f>CPPIB.!Q15</f>
        <v>39903</v>
      </c>
      <c r="CL15" s="321">
        <f t="shared" si="19"/>
        <v>1.2262072998391891</v>
      </c>
      <c r="CM15" s="332">
        <f>CN48</f>
        <v>1.2581500000000001</v>
      </c>
      <c r="CN15" s="410">
        <v>1.5020000000000002</v>
      </c>
      <c r="CO15" s="327" t="str">
        <f t="shared" si="0"/>
        <v>4Q2000/01</v>
      </c>
      <c r="CP15" s="187">
        <f t="shared" si="34"/>
        <v>4289.3422103861512</v>
      </c>
      <c r="CQ15" s="187"/>
      <c r="CR15" s="187">
        <f t="shared" si="35"/>
        <v>1.5059920106524631</v>
      </c>
      <c r="CS15" s="40">
        <f t="shared" si="36"/>
        <v>4287.8362183754989</v>
      </c>
      <c r="CU15" s="40">
        <f t="shared" si="37"/>
        <v>4023.8335552596532</v>
      </c>
      <c r="CW15" s="76">
        <f>(CH15/DE15)-1</f>
        <v>-7.8801248872425012E-2</v>
      </c>
      <c r="CX15" s="420">
        <f>CW15</f>
        <v>-7.8801248872425012E-2</v>
      </c>
      <c r="CY15" s="205"/>
      <c r="CZ15" s="321">
        <v>2009</v>
      </c>
      <c r="DA15" s="107">
        <f>DB39</f>
        <v>0.25901781745407937</v>
      </c>
      <c r="DB15" s="107">
        <f>((CX27+1)*(CX26+1)*(CX25+1)*(CX24+1))-1</f>
        <v>0.44641942924210642</v>
      </c>
      <c r="DC15" s="205">
        <f>CY48</f>
        <v>-0.34297629536631491</v>
      </c>
      <c r="DD15" s="107">
        <f>(CPPIB.!S15/CL15)-1</f>
        <v>-0.33616444780034171</v>
      </c>
      <c r="DE15" s="421">
        <f t="shared" si="29"/>
        <v>0.99827196597102219</v>
      </c>
      <c r="DF15" s="321">
        <v>1.5020000000000002</v>
      </c>
      <c r="DG15" s="40">
        <f>CPPIB.!K11</f>
        <v>0.46899999999999997</v>
      </c>
      <c r="DH15" s="40">
        <v>0</v>
      </c>
      <c r="DI15" s="40">
        <f>CPPIB.!M11</f>
        <v>1.4530000000000001</v>
      </c>
      <c r="DJ15" s="40">
        <f t="shared" si="22"/>
        <v>1.9220000000000002</v>
      </c>
      <c r="DK15" s="40">
        <f t="shared" si="23"/>
        <v>2.9843191265043877E-4</v>
      </c>
      <c r="DL15" s="326" t="str">
        <f t="shared" si="1"/>
        <v>4Q2000/01</v>
      </c>
      <c r="DM15" s="40">
        <f t="shared" si="38"/>
        <v>0.31225033288948062</v>
      </c>
      <c r="DN15" s="40">
        <f t="shared" si="24"/>
        <v>0</v>
      </c>
      <c r="DO15" s="40">
        <f t="shared" si="25"/>
        <v>0.96737683089214366</v>
      </c>
      <c r="DP15" s="40">
        <f t="shared" si="39"/>
        <v>1.2796271637816243</v>
      </c>
      <c r="DQ15" s="40">
        <f t="shared" si="30"/>
        <v>2.9843191265043872E-4</v>
      </c>
    </row>
    <row r="16" spans="1:121">
      <c r="A16" s="321" t="s">
        <v>63</v>
      </c>
      <c r="K16" s="321" t="s">
        <v>63</v>
      </c>
      <c r="O16" s="376"/>
      <c r="P16" s="376"/>
      <c r="Q16" s="376"/>
      <c r="R16" s="376"/>
      <c r="S16" s="396">
        <f>NBIM!P15</f>
        <v>-7.2598594490699164E-2</v>
      </c>
      <c r="T16" s="384"/>
      <c r="U16" s="173"/>
      <c r="V16" s="107"/>
      <c r="W16" s="204"/>
      <c r="X16" s="321">
        <v>9.1091000000000015</v>
      </c>
      <c r="Y16" s="321" t="s">
        <v>63</v>
      </c>
      <c r="Z16" s="40">
        <f>NBIM!AL15</f>
        <v>39.305</v>
      </c>
      <c r="AA16" s="40">
        <f>NBIM!AM15</f>
        <v>43.702000000000005</v>
      </c>
      <c r="AB16" s="40">
        <f>AA16+Z16</f>
        <v>83.007000000000005</v>
      </c>
      <c r="AC16" s="76"/>
      <c r="AD16" s="173">
        <f>NBIM!AQ15</f>
        <v>12.877000000000001</v>
      </c>
      <c r="AE16" s="321" t="s">
        <v>63</v>
      </c>
      <c r="AF16" s="40">
        <f>Z16/X16</f>
        <v>4.314915853377391</v>
      </c>
      <c r="AG16" s="40">
        <f t="shared" ref="AG16:AG47" si="40">AA16/X16</f>
        <v>4.7976199624551272</v>
      </c>
      <c r="AH16" s="40">
        <f t="shared" ref="AH16:AH71" si="41">AF16+AG16</f>
        <v>9.1125358158325191</v>
      </c>
      <c r="AI16" s="76"/>
      <c r="AJ16" s="382">
        <f>AD16/X16</f>
        <v>1.4136413037511937</v>
      </c>
      <c r="AL16" s="321" t="s">
        <v>63</v>
      </c>
      <c r="AM16" s="91">
        <v>147380877340.85001</v>
      </c>
      <c r="AN16" s="92">
        <f t="shared" si="14"/>
        <v>-1.8577079840282118E-2</v>
      </c>
      <c r="AO16" s="92">
        <f t="shared" si="15"/>
        <v>-1.8751801044617107E-2</v>
      </c>
      <c r="AP16" s="401">
        <f>APG!B16</f>
        <v>-1.5053294593090299E-2</v>
      </c>
      <c r="AQ16" s="129">
        <f>AP16+1</f>
        <v>0.98494670540690965</v>
      </c>
      <c r="AR16" s="405">
        <f>(AQ16/BJ16)-1</f>
        <v>-7.2598243954973274E-2</v>
      </c>
      <c r="AS16" s="55"/>
      <c r="AT16" s="405">
        <f>AS51</f>
        <v>0.24112412195647193</v>
      </c>
      <c r="AU16" s="327" t="str">
        <f t="shared" si="2"/>
        <v>2009 </v>
      </c>
      <c r="AV16" s="188">
        <f>APG!O20</f>
        <v>257269</v>
      </c>
      <c r="AW16" s="188">
        <f>APG!P20</f>
        <v>44850</v>
      </c>
      <c r="AX16" s="188">
        <f>APG!Q20</f>
        <v>212419</v>
      </c>
      <c r="AY16" s="188">
        <f>APG!T20</f>
        <v>519.00000000000045</v>
      </c>
      <c r="AZ16" s="129">
        <f>APG!U20</f>
        <v>0.20341754604351148</v>
      </c>
      <c r="BA16" s="422">
        <f>APG!V20</f>
        <v>0.18516546408963752</v>
      </c>
      <c r="BB16" s="129">
        <f>BA16+1</f>
        <v>1.1851654640896374</v>
      </c>
      <c r="BC16" s="342" t="s">
        <v>124</v>
      </c>
      <c r="BD16" s="58">
        <f>APG!W20</f>
        <v>757</v>
      </c>
      <c r="BE16" s="58">
        <f>APG!X20</f>
        <v>0</v>
      </c>
      <c r="BF16" s="58">
        <f>APG!Y20</f>
        <v>230</v>
      </c>
      <c r="BG16" s="58">
        <f>APG!AA20</f>
        <v>580</v>
      </c>
      <c r="BH16" s="408">
        <f>BK51</f>
        <v>0.69698599999999999</v>
      </c>
      <c r="BI16" s="411">
        <f>BH16/BH15</f>
        <v>0.96884482741844236</v>
      </c>
      <c r="BJ16" s="409">
        <f t="shared" si="26"/>
        <v>1.0620496445977066</v>
      </c>
      <c r="BK16" s="410">
        <v>1.1312219999999999</v>
      </c>
      <c r="BL16" s="103">
        <f t="shared" si="18"/>
        <v>130284663258.71492</v>
      </c>
      <c r="BM16" s="107">
        <f t="shared" si="27"/>
        <v>-7.5916154059379681E-2</v>
      </c>
      <c r="BN16" s="107">
        <f t="shared" si="28"/>
        <v>-7.8952469097313099E-2</v>
      </c>
      <c r="BO16" s="40">
        <f t="shared" si="5"/>
        <v>369116.45284123352</v>
      </c>
      <c r="BP16" s="40">
        <f t="shared" si="6"/>
        <v>64348.494804773698</v>
      </c>
      <c r="BQ16" s="40">
        <f t="shared" si="7"/>
        <v>304767.95803645981</v>
      </c>
      <c r="BR16" s="40">
        <f t="shared" si="16"/>
        <v>744.63475593484009</v>
      </c>
      <c r="BS16" s="396">
        <f t="shared" si="31"/>
        <v>0.22327686596376539</v>
      </c>
      <c r="BT16" s="327" t="str">
        <f t="shared" si="3"/>
        <v>2009 </v>
      </c>
      <c r="BU16" s="313">
        <f t="shared" si="8"/>
        <v>1086.1050293693131</v>
      </c>
      <c r="BV16" s="40">
        <f t="shared" si="9"/>
        <v>0</v>
      </c>
      <c r="BW16" s="40">
        <f t="shared" si="10"/>
        <v>329.99228105012151</v>
      </c>
      <c r="BX16" s="40">
        <f t="shared" si="11"/>
        <v>1416.0973104194345</v>
      </c>
      <c r="BY16" s="40">
        <f t="shared" si="33"/>
        <v>832.15444786552382</v>
      </c>
      <c r="CA16" s="321" t="str">
        <f>CPPIB.!A12</f>
        <v>1Q2001/01</v>
      </c>
      <c r="CB16" s="50">
        <f>CPPIB.!B12</f>
        <v>7156.3429999999998</v>
      </c>
      <c r="CC16" s="50">
        <f>CPPIB.!C12</f>
        <v>2.1739999999999999</v>
      </c>
      <c r="CD16" s="40">
        <f>CPPIB.!D12</f>
        <v>7154.1689999999999</v>
      </c>
      <c r="CE16" s="40">
        <f>CPPIB.!E12</f>
        <v>7545.4210000000003</v>
      </c>
      <c r="CF16" s="234">
        <f>((CD16-(CE16-CE15))/CD15)-1</f>
        <v>-0.12232044010167187</v>
      </c>
      <c r="CG16" s="107">
        <f>LN(CF16+1)</f>
        <v>-0.13047371791053514</v>
      </c>
      <c r="CH16" s="393">
        <f>CG16+1</f>
        <v>0.86952628208946492</v>
      </c>
      <c r="CI16" s="107"/>
      <c r="CJ16" s="180">
        <f>CI55</f>
        <v>8.5647569353971109E-2</v>
      </c>
      <c r="CK16" s="415">
        <f>CPPIB.!Q16</f>
        <v>40268</v>
      </c>
      <c r="CL16" s="321">
        <f t="shared" si="19"/>
        <v>0.80638238683781738</v>
      </c>
      <c r="CM16" s="332">
        <f>CN52</f>
        <v>1.0145500000000001</v>
      </c>
      <c r="CN16" s="410">
        <v>1.5746000000000002</v>
      </c>
      <c r="CO16" s="327" t="str">
        <f t="shared" si="0"/>
        <v>1Q2001/01</v>
      </c>
      <c r="CP16" s="187">
        <f t="shared" si="34"/>
        <v>4544.8640924679275</v>
      </c>
      <c r="CQ16" s="187"/>
      <c r="CR16" s="187">
        <f t="shared" si="35"/>
        <v>1.3806681061856978</v>
      </c>
      <c r="CS16" s="40">
        <f t="shared" si="36"/>
        <v>4543.4834243617415</v>
      </c>
      <c r="CU16" s="40">
        <f t="shared" si="37"/>
        <v>4791.9604979042288</v>
      </c>
      <c r="CW16" s="76">
        <f>(CH16/DE16)-1</f>
        <v>-0.17056492080631502</v>
      </c>
      <c r="CX16" s="420">
        <f>CW16</f>
        <v>-0.17056492080631502</v>
      </c>
      <c r="CY16" s="205"/>
      <c r="CZ16" s="321">
        <v>2010</v>
      </c>
      <c r="DA16" s="107">
        <f>DB43</f>
        <v>0.14541199550368389</v>
      </c>
      <c r="DB16" s="107"/>
      <c r="DC16" s="205">
        <f>CY52</f>
        <v>0.419725441515578</v>
      </c>
      <c r="DD16" s="107">
        <f>(CPPIB.!S16/CL16)-1</f>
        <v>0.42488231235523144</v>
      </c>
      <c r="DE16" s="421">
        <f t="shared" si="29"/>
        <v>1.0483355525965379</v>
      </c>
      <c r="DF16" s="321">
        <v>1.5746000000000002</v>
      </c>
      <c r="DG16" s="40">
        <f>CPPIB.!K12</f>
        <v>0.33600000000000008</v>
      </c>
      <c r="DH16" s="40">
        <v>0</v>
      </c>
      <c r="DI16" s="40">
        <f>CPPIB.!M12</f>
        <v>1.8533930000000001</v>
      </c>
      <c r="DJ16" s="40">
        <f t="shared" si="22"/>
        <v>2.1893929999999999</v>
      </c>
      <c r="DK16" s="40">
        <f t="shared" si="23"/>
        <v>3.0603037194117165E-4</v>
      </c>
      <c r="DL16" s="326" t="str">
        <f t="shared" si="1"/>
        <v>1Q2001/01</v>
      </c>
      <c r="DM16" s="40">
        <f t="shared" si="38"/>
        <v>0.21338752699098185</v>
      </c>
      <c r="DN16" s="40">
        <f t="shared" si="24"/>
        <v>0</v>
      </c>
      <c r="DO16" s="40">
        <f t="shared" si="25"/>
        <v>1.1770563952749904</v>
      </c>
      <c r="DP16" s="40">
        <f t="shared" si="39"/>
        <v>1.3904439222659724</v>
      </c>
      <c r="DQ16" s="40">
        <f t="shared" si="30"/>
        <v>3.0603037194117171E-4</v>
      </c>
    </row>
    <row r="17" spans="1:121">
      <c r="A17" s="321" t="s">
        <v>64</v>
      </c>
      <c r="K17" s="321" t="s">
        <v>64</v>
      </c>
      <c r="O17" s="376"/>
      <c r="P17" s="376"/>
      <c r="Q17" s="376"/>
      <c r="R17" s="376"/>
      <c r="S17" s="396">
        <f>NBIM!P16</f>
        <v>-4.7676841306213413E-3</v>
      </c>
      <c r="T17" s="384"/>
      <c r="U17" s="173"/>
      <c r="V17" s="107"/>
      <c r="W17" s="204"/>
      <c r="X17" s="321">
        <v>9.3358500000000006</v>
      </c>
      <c r="Y17" s="321" t="s">
        <v>64</v>
      </c>
      <c r="Z17" s="40">
        <f>NBIM!AL16</f>
        <v>41.918000000000013</v>
      </c>
      <c r="AA17" s="40">
        <f>NBIM!AM16</f>
        <v>41.374999999999993</v>
      </c>
      <c r="AB17" s="40">
        <f t="shared" ref="AB17:AB35" si="42">AA17+Z17</f>
        <v>83.293000000000006</v>
      </c>
      <c r="AC17" s="76"/>
      <c r="AD17" s="173">
        <f>NBIM!AQ16</f>
        <v>18.292000000000002</v>
      </c>
      <c r="AE17" s="321" t="s">
        <v>64</v>
      </c>
      <c r="AF17" s="40">
        <f t="shared" ref="AF17:AF38" si="43">Z17/X17</f>
        <v>4.4900035883181513</v>
      </c>
      <c r="AG17" s="40">
        <f t="shared" si="40"/>
        <v>4.4318407000969371</v>
      </c>
      <c r="AH17" s="40">
        <f t="shared" si="41"/>
        <v>8.9218442884150875</v>
      </c>
      <c r="AI17" s="76"/>
      <c r="AJ17" s="382">
        <f t="shared" ref="AJ17:AJ71" si="44">AD17/X17</f>
        <v>1.9593288238350017</v>
      </c>
      <c r="AL17" s="321" t="s">
        <v>64</v>
      </c>
      <c r="AM17" s="91">
        <v>150620781671.10999</v>
      </c>
      <c r="AN17" s="92">
        <f t="shared" si="14"/>
        <v>2.198320697173628E-2</v>
      </c>
      <c r="AO17" s="92">
        <f t="shared" si="15"/>
        <v>2.174506011200893E-2</v>
      </c>
      <c r="AP17" s="401">
        <f>APG!B17</f>
        <v>2.4728834678657701E-2</v>
      </c>
      <c r="AQ17" s="129">
        <f t="shared" si="4"/>
        <v>1.0247288346786576</v>
      </c>
      <c r="AR17" s="405">
        <f t="shared" si="21"/>
        <v>-1.8682681851353911E-2</v>
      </c>
      <c r="AS17" s="55"/>
      <c r="AT17" s="405">
        <f>AS55</f>
        <v>7.9453311970441032E-2</v>
      </c>
      <c r="AU17" s="327" t="str">
        <f t="shared" si="2"/>
        <v>2010 </v>
      </c>
      <c r="AV17" s="188">
        <f>APG!O21</f>
        <v>260591.99999999997</v>
      </c>
      <c r="AW17" s="188">
        <f>APG!P21</f>
        <v>22995</v>
      </c>
      <c r="AX17" s="188">
        <f>APG!Q21</f>
        <v>237596.99999999997</v>
      </c>
      <c r="AY17" s="188">
        <f>APG!T21</f>
        <v>1062.9999999999995</v>
      </c>
      <c r="AZ17" s="129">
        <f>APG!U21</f>
        <v>0.11596891050235603</v>
      </c>
      <c r="BA17" s="422">
        <f>APG!V21</f>
        <v>0.10972300559827941</v>
      </c>
      <c r="BB17" s="129">
        <f t="shared" si="32"/>
        <v>1.1097230055982794</v>
      </c>
      <c r="BC17" s="342" t="s">
        <v>125</v>
      </c>
      <c r="BD17" s="58">
        <f>APG!W21</f>
        <v>1276</v>
      </c>
      <c r="BE17" s="58">
        <f>APG!X21</f>
        <v>0</v>
      </c>
      <c r="BF17" s="58">
        <f>APG!Y21</f>
        <v>351</v>
      </c>
      <c r="BG17" s="58">
        <f>APG!AA21</f>
        <v>570</v>
      </c>
      <c r="BH17" s="408">
        <f>BK55</f>
        <v>0.74540600000000001</v>
      </c>
      <c r="BI17" s="411">
        <f t="shared" si="17"/>
        <v>1.0694705489062908</v>
      </c>
      <c r="BJ17" s="409">
        <f t="shared" si="26"/>
        <v>1.0442380010289758</v>
      </c>
      <c r="BK17" s="410">
        <v>1.181265</v>
      </c>
      <c r="BL17" s="103">
        <f t="shared" si="18"/>
        <v>127508037291.47142</v>
      </c>
      <c r="BM17" s="107">
        <f t="shared" si="27"/>
        <v>-2.1311994042842675E-2</v>
      </c>
      <c r="BN17" s="107">
        <f t="shared" si="28"/>
        <v>-2.1542373701417924E-2</v>
      </c>
      <c r="BO17" s="40">
        <f t="shared" si="5"/>
        <v>349597.4006112105</v>
      </c>
      <c r="BP17" s="40">
        <f t="shared" si="6"/>
        <v>30848.960163991167</v>
      </c>
      <c r="BQ17" s="40">
        <f t="shared" si="7"/>
        <v>318748.44044721936</v>
      </c>
      <c r="BR17" s="40">
        <f t="shared" si="16"/>
        <v>1426.0684781179646</v>
      </c>
      <c r="BS17" s="396">
        <f t="shared" si="31"/>
        <v>3.7637742089441817E-2</v>
      </c>
      <c r="BT17" s="327" t="str">
        <f t="shared" si="3"/>
        <v>2010 </v>
      </c>
      <c r="BU17" s="313">
        <f t="shared" si="8"/>
        <v>1711.8187940531736</v>
      </c>
      <c r="BV17" s="40">
        <f t="shared" si="9"/>
        <v>0</v>
      </c>
      <c r="BW17" s="40">
        <f t="shared" si="10"/>
        <v>470.88432344252664</v>
      </c>
      <c r="BX17" s="40">
        <f t="shared" si="11"/>
        <v>2182.7031174957001</v>
      </c>
      <c r="BY17" s="40">
        <f t="shared" si="33"/>
        <v>764.68394405196625</v>
      </c>
      <c r="CA17" s="321" t="str">
        <f>CPPIB.!A13</f>
        <v>2Q2001/02</v>
      </c>
      <c r="CB17" s="50">
        <f>CPPIB.!B13</f>
        <v>10969.75</v>
      </c>
      <c r="CC17" s="50">
        <f>CPPIB.!C13</f>
        <v>2.6360000000000001</v>
      </c>
      <c r="CD17" s="40">
        <f>CPPIB.!D13</f>
        <v>10967.114</v>
      </c>
      <c r="CE17" s="40">
        <f>CPPIB.!E13</f>
        <v>11302.78</v>
      </c>
      <c r="CF17" s="234">
        <f t="shared" ref="CF17:CF70" si="45">((CD17-(CE17-CE16))/CD16)-1</f>
        <v>7.7697353808665603E-3</v>
      </c>
      <c r="CG17" s="107">
        <f t="shared" ref="CG17:CG73" si="46">LN(CF17+1)</f>
        <v>7.7397064312870623E-3</v>
      </c>
      <c r="CH17" s="393">
        <f t="shared" ref="CH17:CH79" si="47">CG17+1</f>
        <v>1.007739706431287</v>
      </c>
      <c r="CI17" s="107"/>
      <c r="CJ17" s="180">
        <f>CI59</f>
        <v>5.2669501028252963E-2</v>
      </c>
      <c r="CK17" s="415">
        <f>CPPIB.!Q17</f>
        <v>40633</v>
      </c>
      <c r="CL17" s="321">
        <f t="shared" si="19"/>
        <v>0.95879946774432023</v>
      </c>
      <c r="CM17" s="332">
        <f>CN56</f>
        <v>0.97275000000000011</v>
      </c>
      <c r="CN17" s="410">
        <v>1.5176000000000001</v>
      </c>
      <c r="CO17" s="327" t="str">
        <f t="shared" si="0"/>
        <v>2Q2001/02</v>
      </c>
      <c r="CP17" s="187">
        <f t="shared" si="34"/>
        <v>7228.3539799683713</v>
      </c>
      <c r="CQ17" s="187"/>
      <c r="CR17" s="187">
        <f t="shared" si="35"/>
        <v>1.7369530838165526</v>
      </c>
      <c r="CS17" s="40">
        <f t="shared" si="36"/>
        <v>7226.6170268845544</v>
      </c>
      <c r="CU17" s="40">
        <f t="shared" si="37"/>
        <v>7447.7991565629945</v>
      </c>
      <c r="CW17" s="76">
        <f t="shared" ref="CW17:CW79" si="48">(CH17/DE17)-1</f>
        <v>4.5589708583753774E-2</v>
      </c>
      <c r="CX17" s="420">
        <f t="shared" ref="CX17:CX79" si="49">CW17</f>
        <v>4.5589708583753774E-2</v>
      </c>
      <c r="CY17" s="205"/>
      <c r="CZ17" s="321">
        <v>2011</v>
      </c>
      <c r="DA17" s="107">
        <f>DB47</f>
        <v>2.7237956981805533E-2</v>
      </c>
      <c r="DB17" s="107"/>
      <c r="DC17" s="205">
        <f>CY56</f>
        <v>0.16036542450847802</v>
      </c>
      <c r="DD17" s="107">
        <f>(CPPIB.!S17/CL17)-1</f>
        <v>0.16708450269853503</v>
      </c>
      <c r="DE17" s="421">
        <f t="shared" si="29"/>
        <v>0.96380033024260114</v>
      </c>
      <c r="DF17" s="321">
        <v>1.5176000000000001</v>
      </c>
      <c r="DG17" s="40">
        <f>CPPIB.!K13</f>
        <v>0.69799999999999995</v>
      </c>
      <c r="DH17" s="40">
        <v>0</v>
      </c>
      <c r="DI17" s="40">
        <f>CPPIB.!M13</f>
        <v>1.8329999999999997</v>
      </c>
      <c r="DJ17" s="40">
        <f t="shared" si="22"/>
        <v>2.5309999999999997</v>
      </c>
      <c r="DK17" s="40">
        <f t="shared" si="23"/>
        <v>2.307808599418224E-4</v>
      </c>
      <c r="DL17" s="326" t="str">
        <f t="shared" si="1"/>
        <v>2Q2001/02</v>
      </c>
      <c r="DM17" s="40">
        <f t="shared" si="38"/>
        <v>0.45993674222456504</v>
      </c>
      <c r="DN17" s="40">
        <f t="shared" si="24"/>
        <v>0</v>
      </c>
      <c r="DO17" s="40">
        <f t="shared" si="25"/>
        <v>1.2078281497100682</v>
      </c>
      <c r="DP17" s="40">
        <f t="shared" si="39"/>
        <v>1.6677648919346333</v>
      </c>
      <c r="DQ17" s="40">
        <f t="shared" si="30"/>
        <v>2.3078085994182238E-4</v>
      </c>
    </row>
    <row r="18" spans="1:121">
      <c r="A18" s="321" t="s">
        <v>65</v>
      </c>
      <c r="K18" s="321" t="s">
        <v>65</v>
      </c>
      <c r="O18" s="376"/>
      <c r="P18" s="376"/>
      <c r="Q18" s="376"/>
      <c r="R18" s="376"/>
      <c r="S18" s="396">
        <f>NBIM!P17</f>
        <v>-1.4371566095631727E-2</v>
      </c>
      <c r="T18" s="384"/>
      <c r="U18" s="173"/>
      <c r="V18" s="107"/>
      <c r="W18" s="204"/>
      <c r="X18" s="321">
        <v>8.8695500000000003</v>
      </c>
      <c r="Y18" s="321" t="s">
        <v>65</v>
      </c>
      <c r="Z18" s="40">
        <f>NBIM!AL17</f>
        <v>19.909999999999997</v>
      </c>
      <c r="AA18" s="40">
        <f>NBIM!AM17</f>
        <v>61.278999999999996</v>
      </c>
      <c r="AB18" s="40">
        <f t="shared" si="42"/>
        <v>81.188999999999993</v>
      </c>
      <c r="AC18" s="76"/>
      <c r="AD18" s="173">
        <f>NBIM!AQ17</f>
        <v>-3.3240000000000016</v>
      </c>
      <c r="AE18" s="321" t="s">
        <v>65</v>
      </c>
      <c r="AF18" s="40">
        <f t="shared" si="43"/>
        <v>2.2447587532625666</v>
      </c>
      <c r="AG18" s="40">
        <f t="shared" si="40"/>
        <v>6.9089187162821109</v>
      </c>
      <c r="AH18" s="40">
        <f t="shared" si="41"/>
        <v>9.153677469544677</v>
      </c>
      <c r="AI18" s="76"/>
      <c r="AJ18" s="382">
        <f t="shared" si="44"/>
        <v>-0.37476534886211832</v>
      </c>
      <c r="AL18" s="321" t="s">
        <v>65</v>
      </c>
      <c r="AM18" s="91">
        <v>140666102364.45001</v>
      </c>
      <c r="AN18" s="92">
        <f t="shared" si="14"/>
        <v>-6.6091008134565699E-2</v>
      </c>
      <c r="AO18" s="92">
        <f t="shared" si="15"/>
        <v>-6.837628461703088E-2</v>
      </c>
      <c r="AP18" s="401">
        <f>APG!B18</f>
        <v>-6.3306387857984994E-2</v>
      </c>
      <c r="AQ18" s="129">
        <f t="shared" si="4"/>
        <v>0.93669361214201496</v>
      </c>
      <c r="AR18" s="405">
        <f t="shared" si="21"/>
        <v>7.6748178116028409E-3</v>
      </c>
      <c r="AS18" s="55"/>
      <c r="AT18" s="405">
        <f>AS59</f>
        <v>7.8858906190838463E-3</v>
      </c>
      <c r="AU18" s="327" t="str">
        <f t="shared" si="2"/>
        <v>2011 </v>
      </c>
      <c r="AV18" s="188">
        <f>APG!O22</f>
        <v>267918</v>
      </c>
      <c r="AW18" s="188">
        <f>APG!P22</f>
        <v>21373</v>
      </c>
      <c r="AX18" s="188">
        <f>APG!Q22</f>
        <v>246545</v>
      </c>
      <c r="AY18" s="188">
        <f>APG!T22</f>
        <v>1568.9999999999986</v>
      </c>
      <c r="AZ18" s="129">
        <f>APG!U22</f>
        <v>3.5530751650904913E-2</v>
      </c>
      <c r="BA18" s="422">
        <f>APG!V22</f>
        <v>3.4914098805980807E-2</v>
      </c>
      <c r="BB18" s="129">
        <f t="shared" si="32"/>
        <v>1.0349140988059808</v>
      </c>
      <c r="BC18" s="342" t="s">
        <v>126</v>
      </c>
      <c r="BD18" s="58">
        <f>APG!W22</f>
        <v>1183</v>
      </c>
      <c r="BE18" s="58">
        <f>APG!X22</f>
        <v>245</v>
      </c>
      <c r="BF18" s="58">
        <f>APG!Y22</f>
        <v>444</v>
      </c>
      <c r="BG18" s="58">
        <f>APG!AA22</f>
        <v>454</v>
      </c>
      <c r="BH18" s="408">
        <f>BK59</f>
        <v>0.77032699999999998</v>
      </c>
      <c r="BI18" s="411">
        <f t="shared" si="17"/>
        <v>1.0334327869644193</v>
      </c>
      <c r="BJ18" s="409">
        <f t="shared" si="26"/>
        <v>0.92955941300216283</v>
      </c>
      <c r="BK18" s="410">
        <v>1.0980559999999999</v>
      </c>
      <c r="BL18" s="103">
        <f t="shared" si="18"/>
        <v>128104670767.65668</v>
      </c>
      <c r="BM18" s="107">
        <f t="shared" si="27"/>
        <v>4.6791832801991173E-3</v>
      </c>
      <c r="BN18" s="107">
        <f t="shared" si="28"/>
        <v>4.6682699325750598E-3</v>
      </c>
      <c r="BO18" s="40">
        <f t="shared" si="5"/>
        <v>347797.75342159887</v>
      </c>
      <c r="BP18" s="40">
        <f t="shared" si="6"/>
        <v>27745.360087339533</v>
      </c>
      <c r="BQ18" s="40">
        <f t="shared" si="7"/>
        <v>320052.39333425934</v>
      </c>
      <c r="BR18" s="40">
        <f t="shared" si="16"/>
        <v>2036.7973600821451</v>
      </c>
      <c r="BS18" s="396">
        <f t="shared" si="31"/>
        <v>1.4333896313787342E-3</v>
      </c>
      <c r="BT18" s="327" t="str">
        <f t="shared" si="3"/>
        <v>2011 </v>
      </c>
      <c r="BU18" s="313">
        <f t="shared" si="8"/>
        <v>1535.7114576017718</v>
      </c>
      <c r="BV18" s="40">
        <f t="shared" si="9"/>
        <v>318.04675157433144</v>
      </c>
      <c r="BW18" s="40">
        <f t="shared" si="10"/>
        <v>576.37860285307409</v>
      </c>
      <c r="BX18" s="40">
        <f t="shared" si="11"/>
        <v>2430.1368120291772</v>
      </c>
      <c r="BY18" s="40">
        <f t="shared" si="33"/>
        <v>589.36010291733248</v>
      </c>
      <c r="CA18" s="321" t="str">
        <f>CPPIB.!A14</f>
        <v>3Q2001/02</v>
      </c>
      <c r="CB18" s="50">
        <f>CPPIB.!B14</f>
        <v>12020.373</v>
      </c>
      <c r="CC18" s="50">
        <f>CPPIB.!C14</f>
        <v>8.4079999999999995</v>
      </c>
      <c r="CD18" s="40">
        <f>CPPIB.!D14</f>
        <v>12011.965</v>
      </c>
      <c r="CE18" s="40">
        <f>CPPIB.!E14</f>
        <v>13774.22</v>
      </c>
      <c r="CF18" s="234">
        <f t="shared" si="45"/>
        <v>-0.13007879739373529</v>
      </c>
      <c r="CG18" s="107">
        <f t="shared" si="46"/>
        <v>-0.13935264315231038</v>
      </c>
      <c r="CH18" s="393">
        <f t="shared" si="47"/>
        <v>0.86064735684768956</v>
      </c>
      <c r="CI18" s="107"/>
      <c r="CJ18" s="180">
        <f>CI63</f>
        <v>9.5585329991571433E-2</v>
      </c>
      <c r="CK18" s="415">
        <f>CPPIB.!Q18</f>
        <v>40999</v>
      </c>
      <c r="CL18" s="321">
        <f t="shared" si="19"/>
        <v>1.0274479568234387</v>
      </c>
      <c r="CM18" s="332">
        <f>CN60</f>
        <v>0.99945000000000006</v>
      </c>
      <c r="CN18" s="410">
        <v>1.5797000000000001</v>
      </c>
      <c r="CO18" s="327" t="str">
        <f t="shared" si="0"/>
        <v>3Q2001/02</v>
      </c>
      <c r="CP18" s="187">
        <f t="shared" si="34"/>
        <v>7609.2758118630109</v>
      </c>
      <c r="CQ18" s="187"/>
      <c r="CR18" s="187">
        <f>CC18/CN18</f>
        <v>5.3225295942267516</v>
      </c>
      <c r="CS18" s="40">
        <f t="shared" si="36"/>
        <v>7603.9532822687852</v>
      </c>
      <c r="CU18" s="40">
        <f t="shared" si="37"/>
        <v>8719.5163638665563</v>
      </c>
      <c r="CW18" s="76">
        <f t="shared" si="48"/>
        <v>-0.17318577657020084</v>
      </c>
      <c r="CX18" s="420">
        <f t="shared" si="49"/>
        <v>-0.17318577657020084</v>
      </c>
      <c r="CY18" s="205"/>
      <c r="CZ18" s="321">
        <v>2012</v>
      </c>
      <c r="DA18" s="107">
        <f>DB51</f>
        <v>0.12039747139089818</v>
      </c>
      <c r="DB18" s="107"/>
      <c r="DC18" s="205">
        <f>CY60</f>
        <v>3.3673185027404795E-2</v>
      </c>
      <c r="DD18" s="107">
        <f>(CPPIB.!S18/CL18)-1</f>
        <v>3.7522137175446613E-2</v>
      </c>
      <c r="DE18" s="421">
        <f t="shared" si="29"/>
        <v>1.0409198734844491</v>
      </c>
      <c r="DF18" s="321">
        <v>1.5797000000000001</v>
      </c>
      <c r="DG18" s="40">
        <f>CPPIB.!K14</f>
        <v>0.70199999999999996</v>
      </c>
      <c r="DH18" s="40">
        <v>0</v>
      </c>
      <c r="DI18" s="40">
        <f>CPPIB.!M14</f>
        <v>1.8499999999999999</v>
      </c>
      <c r="DJ18" s="40">
        <f t="shared" si="22"/>
        <v>2.5519999999999996</v>
      </c>
      <c r="DK18" s="40">
        <f t="shared" si="23"/>
        <v>2.1245483149509673E-4</v>
      </c>
      <c r="DL18" s="326" t="str">
        <f t="shared" si="1"/>
        <v>3Q2001/02</v>
      </c>
      <c r="DM18" s="40">
        <f t="shared" si="38"/>
        <v>0.44438817496993094</v>
      </c>
      <c r="DN18" s="40">
        <f t="shared" si="24"/>
        <v>0</v>
      </c>
      <c r="DO18" s="40">
        <f t="shared" si="25"/>
        <v>1.1711084383110715</v>
      </c>
      <c r="DP18" s="40">
        <f t="shared" si="39"/>
        <v>1.6154966132810025</v>
      </c>
      <c r="DQ18" s="40">
        <f t="shared" si="30"/>
        <v>2.1245483149509673E-4</v>
      </c>
    </row>
    <row r="19" spans="1:121">
      <c r="A19" s="321" t="s">
        <v>66</v>
      </c>
      <c r="K19" s="321" t="s">
        <v>66</v>
      </c>
      <c r="O19" s="376"/>
      <c r="P19" s="376"/>
      <c r="Q19" s="376"/>
      <c r="R19" s="376"/>
      <c r="S19" s="396">
        <f>NBIM!P18</f>
        <v>2.3057028013401482E-2</v>
      </c>
      <c r="T19" s="384"/>
      <c r="U19" s="173"/>
      <c r="V19" s="107"/>
      <c r="W19" s="204"/>
      <c r="X19" s="321">
        <v>8.9693000000000005</v>
      </c>
      <c r="Y19" s="321" t="s">
        <v>66</v>
      </c>
      <c r="Z19" s="40">
        <f>NBIM!AL18</f>
        <v>41.046999999999997</v>
      </c>
      <c r="AA19" s="40">
        <f>NBIM!AM18</f>
        <v>66.228000000000009</v>
      </c>
      <c r="AB19" s="40">
        <f t="shared" si="42"/>
        <v>107.27500000000001</v>
      </c>
      <c r="AC19" s="76"/>
      <c r="AD19" s="173">
        <f>NBIM!AQ18</f>
        <v>10.352999999999998</v>
      </c>
      <c r="AE19" s="321" t="s">
        <v>66</v>
      </c>
      <c r="AF19" s="40">
        <f t="shared" si="43"/>
        <v>4.5763883469167039</v>
      </c>
      <c r="AG19" s="40">
        <f t="shared" si="40"/>
        <v>7.3838538124491322</v>
      </c>
      <c r="AH19" s="40">
        <f t="shared" si="41"/>
        <v>11.960242159365837</v>
      </c>
      <c r="AI19" s="76"/>
      <c r="AJ19" s="382">
        <f t="shared" si="44"/>
        <v>1.1542706788712607</v>
      </c>
      <c r="AL19" s="321" t="s">
        <v>66</v>
      </c>
      <c r="AM19" s="91">
        <v>147303437129.04999</v>
      </c>
      <c r="AN19" s="92">
        <f t="shared" si="14"/>
        <v>4.7185033586865099E-2</v>
      </c>
      <c r="AO19" s="92">
        <f t="shared" si="15"/>
        <v>4.6105643673059714E-2</v>
      </c>
      <c r="AP19" s="401">
        <f>APG!B19</f>
        <v>5.04770839232093E-2</v>
      </c>
      <c r="AQ19" s="129">
        <f t="shared" si="4"/>
        <v>1.0504770839232094</v>
      </c>
      <c r="AR19" s="405">
        <f t="shared" si="21"/>
        <v>2.7060732268697318E-2</v>
      </c>
      <c r="AS19" s="55">
        <f>AR16+AR17+AR18+AR19</f>
        <v>-5.6545375726027025E-2</v>
      </c>
      <c r="AT19" s="405">
        <f>AS63</f>
        <v>0.15166410161585953</v>
      </c>
      <c r="AU19" s="327" t="str">
        <f t="shared" si="2"/>
        <v>2012 </v>
      </c>
      <c r="AV19" s="188">
        <f>APG!O23</f>
        <v>314916</v>
      </c>
      <c r="AW19" s="188">
        <f>APG!P23</f>
        <v>33342</v>
      </c>
      <c r="AX19" s="188">
        <f>APG!Q23</f>
        <v>281574</v>
      </c>
      <c r="AY19" s="188">
        <f>APG!T23</f>
        <v>1444.9999999999998</v>
      </c>
      <c r="AZ19" s="129">
        <f>APG!U23</f>
        <v>0.14258249001196543</v>
      </c>
      <c r="BA19" s="422">
        <f>APG!V23</f>
        <v>0.13329104250321594</v>
      </c>
      <c r="BB19" s="129">
        <f t="shared" si="32"/>
        <v>1.1332910425032159</v>
      </c>
      <c r="BC19" s="342" t="s">
        <v>127</v>
      </c>
      <c r="BD19" s="58">
        <f>APG!W23</f>
        <v>1431</v>
      </c>
      <c r="BE19" s="58">
        <f>APG!X23</f>
        <v>155</v>
      </c>
      <c r="BF19" s="58">
        <f>APG!Y23</f>
        <v>476.00000000000011</v>
      </c>
      <c r="BG19" s="58">
        <f>APG!AA23</f>
        <v>674</v>
      </c>
      <c r="BH19" s="408">
        <f>BK63</f>
        <v>0.75849499999999992</v>
      </c>
      <c r="BI19" s="411">
        <f t="shared" si="17"/>
        <v>0.98464028912396939</v>
      </c>
      <c r="BJ19" s="409">
        <f t="shared" si="26"/>
        <v>1.0227993836379929</v>
      </c>
      <c r="BK19" s="410">
        <v>1.1230909999999998</v>
      </c>
      <c r="BL19" s="103">
        <f t="shared" si="18"/>
        <v>131158950725.31969</v>
      </c>
      <c r="BM19" s="107">
        <f t="shared" si="27"/>
        <v>2.3842065549682934E-2</v>
      </c>
      <c r="BN19" s="107">
        <f t="shared" si="28"/>
        <v>2.3562281860567382E-2</v>
      </c>
      <c r="BO19" s="40">
        <f t="shared" si="5"/>
        <v>415185.33411558421</v>
      </c>
      <c r="BP19" s="40">
        <f t="shared" si="6"/>
        <v>43958.101239955446</v>
      </c>
      <c r="BQ19" s="40">
        <f t="shared" si="7"/>
        <v>371227.23287562875</v>
      </c>
      <c r="BR19" s="40">
        <f t="shared" si="16"/>
        <v>1905.0883657769662</v>
      </c>
      <c r="BS19" s="396">
        <f t="shared" si="31"/>
        <v>0.15096960282978111</v>
      </c>
      <c r="BT19" s="327" t="str">
        <f t="shared" si="3"/>
        <v>2012 </v>
      </c>
      <c r="BU19" s="313">
        <f t="shared" si="8"/>
        <v>1886.6307622331065</v>
      </c>
      <c r="BV19" s="40">
        <f t="shared" si="9"/>
        <v>204.35203923559155</v>
      </c>
      <c r="BW19" s="40">
        <f t="shared" si="10"/>
        <v>627.5585204912361</v>
      </c>
      <c r="BX19" s="40">
        <f t="shared" si="11"/>
        <v>2718.5413219599341</v>
      </c>
      <c r="BY19" s="40">
        <f t="shared" si="33"/>
        <v>888.60177061154002</v>
      </c>
      <c r="CA19" s="321" t="str">
        <f>CPPIB.!A15</f>
        <v>4Q2001/02</v>
      </c>
      <c r="CB19" s="50">
        <f>CPPIB.!B15</f>
        <v>13809.371999999999</v>
      </c>
      <c r="CC19" s="50">
        <f>CPPIB.!C15</f>
        <v>14.753</v>
      </c>
      <c r="CD19" s="40">
        <f>CPPIB.!D15</f>
        <v>13794.618999999999</v>
      </c>
      <c r="CE19" s="40">
        <f>CPPIB.!E15</f>
        <v>14137.593000000001</v>
      </c>
      <c r="CF19" s="234">
        <f t="shared" si="45"/>
        <v>0.11815560568150141</v>
      </c>
      <c r="CG19" s="107">
        <f t="shared" si="46"/>
        <v>0.11168054723177755</v>
      </c>
      <c r="CH19" s="393">
        <f t="shared" si="47"/>
        <v>1.1116805472317774</v>
      </c>
      <c r="CI19" s="107">
        <f>((CG19+1)*(CG18+1)*(CG17+1)*(CG16+1))-1</f>
        <v>-0.16162884088106089</v>
      </c>
      <c r="CJ19" s="180">
        <f>CI67</f>
        <v>0.13200764818831034</v>
      </c>
      <c r="CK19" s="415">
        <f>CPPIB.!Q19</f>
        <v>41364</v>
      </c>
      <c r="CL19" s="321">
        <f t="shared" si="19"/>
        <v>1.0165090799939969</v>
      </c>
      <c r="CM19" s="332">
        <f>CN64</f>
        <v>1.0159500000000001</v>
      </c>
      <c r="CN19" s="410">
        <v>1.5962500000000002</v>
      </c>
      <c r="CO19" s="327" t="str">
        <f t="shared" si="0"/>
        <v>4Q2001/02</v>
      </c>
      <c r="CP19" s="187">
        <f t="shared" si="34"/>
        <v>8651.1335943617833</v>
      </c>
      <c r="CQ19" s="187">
        <f>CP19+CP18+CP17+CP16</f>
        <v>28033.627478661092</v>
      </c>
      <c r="CR19" s="187">
        <f t="shared" si="35"/>
        <v>9.2422866092404057</v>
      </c>
      <c r="CS19" s="40">
        <f t="shared" si="36"/>
        <v>8641.8913077525431</v>
      </c>
      <c r="CT19" s="40">
        <f>CS19+CS18+CS17+CS16</f>
        <v>28015.945041267623</v>
      </c>
      <c r="CU19" s="40">
        <f t="shared" si="37"/>
        <v>8856.7536413469061</v>
      </c>
      <c r="CV19" s="40">
        <f>CU19+CU18+CU17+CU16</f>
        <v>29816.02965968068</v>
      </c>
      <c r="CW19" s="76">
        <f t="shared" si="48"/>
        <v>0.10015458760346996</v>
      </c>
      <c r="CX19" s="420">
        <f t="shared" si="49"/>
        <v>0.10015458760346996</v>
      </c>
      <c r="CY19" s="205"/>
      <c r="CZ19" s="321">
        <v>2013</v>
      </c>
      <c r="DA19" s="107">
        <f>DB55</f>
        <v>6.083766145985936E-2</v>
      </c>
      <c r="DB19" s="107">
        <f>((CX31+1)*(CX30+1)*(CX29+1)*(CX28+1))-1</f>
        <v>0.21758949600640776</v>
      </c>
      <c r="DC19" s="205">
        <f>CY64</f>
        <v>7.915123502016308E-2</v>
      </c>
      <c r="DD19" s="107">
        <f>(CPPIB.!S19/CL19)-1</f>
        <v>8.3118706629263128E-2</v>
      </c>
      <c r="DE19" s="421">
        <f t="shared" si="29"/>
        <v>1.010476672785972</v>
      </c>
      <c r="DF19" s="321">
        <v>1.5962500000000002</v>
      </c>
      <c r="DG19" s="40">
        <f>CPPIB.!K15</f>
        <v>0.73599999999999999</v>
      </c>
      <c r="DH19" s="40">
        <v>0</v>
      </c>
      <c r="DI19" s="40">
        <f>CPPIB.!M15</f>
        <v>2.1669999999999998</v>
      </c>
      <c r="DJ19" s="40">
        <f t="shared" si="22"/>
        <v>2.9029999999999996</v>
      </c>
      <c r="DK19" s="40">
        <f t="shared" si="23"/>
        <v>2.1044437689797738E-4</v>
      </c>
      <c r="DL19" s="326" t="str">
        <f t="shared" si="1"/>
        <v>4Q2001/02</v>
      </c>
      <c r="DM19" s="40">
        <f t="shared" si="38"/>
        <v>0.46108065779169921</v>
      </c>
      <c r="DN19" s="40">
        <f t="shared" si="24"/>
        <v>0</v>
      </c>
      <c r="DO19" s="40">
        <f t="shared" si="25"/>
        <v>1.3575567736883318</v>
      </c>
      <c r="DP19" s="40">
        <f t="shared" si="39"/>
        <v>1.8186374314800311</v>
      </c>
      <c r="DQ19" s="40">
        <f t="shared" si="30"/>
        <v>2.1044437689797741E-4</v>
      </c>
    </row>
    <row r="20" spans="1:121">
      <c r="A20" s="321" t="s">
        <v>67</v>
      </c>
      <c r="K20" s="321" t="s">
        <v>67</v>
      </c>
      <c r="O20" s="376"/>
      <c r="P20" s="376"/>
      <c r="Q20" s="376"/>
      <c r="R20" s="376"/>
      <c r="S20" s="396">
        <f>NBIM!P19</f>
        <v>-5.245273836852693E-3</v>
      </c>
      <c r="T20" s="384"/>
      <c r="U20" s="173"/>
      <c r="V20" s="107"/>
      <c r="W20" s="204"/>
      <c r="X20" s="321">
        <v>8.8317000000000014</v>
      </c>
      <c r="Y20" s="321" t="s">
        <v>67</v>
      </c>
      <c r="Z20" s="40">
        <f>NBIM!AL19</f>
        <v>57.783999999999999</v>
      </c>
      <c r="AA20" s="40">
        <f>NBIM!AM19</f>
        <v>70.938000000000017</v>
      </c>
      <c r="AB20" s="40">
        <f t="shared" si="42"/>
        <v>128.72200000000001</v>
      </c>
      <c r="AC20" s="76"/>
      <c r="AD20" s="173">
        <f>NBIM!AQ19</f>
        <v>17.356999999999999</v>
      </c>
      <c r="AE20" s="321" t="s">
        <v>67</v>
      </c>
      <c r="AF20" s="40">
        <f t="shared" si="43"/>
        <v>6.5427947054360986</v>
      </c>
      <c r="AG20" s="40">
        <f t="shared" si="40"/>
        <v>8.0322021807805974</v>
      </c>
      <c r="AH20" s="40">
        <f t="shared" si="41"/>
        <v>14.574996886216695</v>
      </c>
      <c r="AI20" s="76"/>
      <c r="AJ20" s="382">
        <f t="shared" si="44"/>
        <v>1.9653067925767402</v>
      </c>
      <c r="AL20" s="321" t="s">
        <v>67</v>
      </c>
      <c r="AM20" s="91">
        <v>149159217863.42001</v>
      </c>
      <c r="AN20" s="92">
        <f t="shared" si="14"/>
        <v>1.2598353239674953E-2</v>
      </c>
      <c r="AO20" s="92">
        <f t="shared" si="15"/>
        <v>1.2519654283017897E-2</v>
      </c>
      <c r="AP20" s="401">
        <f>APG!B20</f>
        <v>1.6693118652624302E-2</v>
      </c>
      <c r="AQ20" s="129">
        <f t="shared" si="4"/>
        <v>1.0166931186526242</v>
      </c>
      <c r="AR20" s="405">
        <f t="shared" si="21"/>
        <v>-3.8578549556389508E-3</v>
      </c>
      <c r="AS20" s="55"/>
      <c r="AT20" s="405">
        <f>AS67</f>
        <v>0.10716551706609978</v>
      </c>
      <c r="AU20" s="327" t="str">
        <f t="shared" si="2"/>
        <v>2013 </v>
      </c>
      <c r="AV20" s="188">
        <f>APG!O24</f>
        <v>325232</v>
      </c>
      <c r="AW20" s="188">
        <f>APG!P24</f>
        <v>24354</v>
      </c>
      <c r="AX20" s="188">
        <f>APG!Q24</f>
        <v>300878</v>
      </c>
      <c r="AY20" s="188">
        <f>APG!T24</f>
        <v>1900.9999999999989</v>
      </c>
      <c r="AZ20" s="129">
        <f>APG!U24</f>
        <v>6.6937998536796828E-2</v>
      </c>
      <c r="BA20" s="422">
        <f>APG!V24</f>
        <v>6.4792862418332278E-2</v>
      </c>
      <c r="BB20" s="129">
        <f t="shared" si="32"/>
        <v>1.0647928624183323</v>
      </c>
      <c r="BC20" s="342" t="s">
        <v>128</v>
      </c>
      <c r="BD20" s="58">
        <f>APG!W24</f>
        <v>1680.0000000000002</v>
      </c>
      <c r="BE20" s="58">
        <f>APG!X24</f>
        <v>198</v>
      </c>
      <c r="BF20" s="58">
        <f>APG!Y24</f>
        <v>503</v>
      </c>
      <c r="BG20" s="58">
        <f>APG!AA24</f>
        <v>919</v>
      </c>
      <c r="BH20" s="408">
        <f>BK67</f>
        <v>0.72571599999999992</v>
      </c>
      <c r="BI20" s="411">
        <f t="shared" si="17"/>
        <v>0.95678415810255835</v>
      </c>
      <c r="BJ20" s="409">
        <f t="shared" si="26"/>
        <v>1.0206305633292405</v>
      </c>
      <c r="BK20" s="410">
        <v>1.146261</v>
      </c>
      <c r="BL20" s="103">
        <f t="shared" si="18"/>
        <v>130126749373.32773</v>
      </c>
      <c r="BM20" s="107">
        <f t="shared" si="27"/>
        <v>-7.8698506375950439E-3</v>
      </c>
      <c r="BN20" s="107">
        <f t="shared" si="28"/>
        <v>-7.9009813490570659E-3</v>
      </c>
      <c r="BO20" s="40">
        <f t="shared" si="5"/>
        <v>448153.27207888488</v>
      </c>
      <c r="BP20" s="40">
        <f t="shared" si="6"/>
        <v>33558.582145081549</v>
      </c>
      <c r="BQ20" s="40">
        <f t="shared" si="7"/>
        <v>414594.68993380334</v>
      </c>
      <c r="BR20" s="40">
        <f t="shared" si="16"/>
        <v>2619.4820012236178</v>
      </c>
      <c r="BS20" s="396">
        <f t="shared" si="31"/>
        <v>0.11288722059316991</v>
      </c>
      <c r="BT20" s="327" t="str">
        <f t="shared" si="3"/>
        <v>2013 </v>
      </c>
      <c r="BU20" s="313">
        <f t="shared" si="8"/>
        <v>2314.9551615232413</v>
      </c>
      <c r="BV20" s="40">
        <f t="shared" si="9"/>
        <v>272.83400117952482</v>
      </c>
      <c r="BW20" s="40">
        <f t="shared" si="10"/>
        <v>693.10859895606552</v>
      </c>
      <c r="BX20" s="40">
        <f t="shared" si="11"/>
        <v>3280.8977616588318</v>
      </c>
      <c r="BY20" s="40">
        <f t="shared" si="33"/>
        <v>1266.3355913332489</v>
      </c>
      <c r="CA20" s="321" t="str">
        <f>CPPIB.!A16</f>
        <v>1Q2002/02</v>
      </c>
      <c r="CB20" s="50">
        <f>CPPIB.!B16</f>
        <v>14293.078</v>
      </c>
      <c r="CC20" s="50">
        <f>CPPIB.!C16</f>
        <v>8.1120000000000001</v>
      </c>
      <c r="CD20" s="40">
        <f>CPPIB.!D16</f>
        <v>14284.966</v>
      </c>
      <c r="CE20" s="40">
        <f>CPPIB.!E16</f>
        <v>14371.592000000001</v>
      </c>
      <c r="CF20" s="234">
        <f t="shared" si="45"/>
        <v>1.8583188125746775E-2</v>
      </c>
      <c r="CG20" s="107">
        <f t="shared" si="46"/>
        <v>1.8412630448738521E-2</v>
      </c>
      <c r="CH20" s="393">
        <f t="shared" si="47"/>
        <v>1.0184126304487384</v>
      </c>
      <c r="CI20" s="107"/>
      <c r="CJ20" s="180">
        <f>CI71</f>
        <v>0.15282119087354151</v>
      </c>
      <c r="CK20" s="415">
        <f>CPPIB.!Q20</f>
        <v>41729</v>
      </c>
      <c r="CL20" s="321">
        <f t="shared" si="19"/>
        <v>1.0864215758649538</v>
      </c>
      <c r="CM20" s="332">
        <f>CN68</f>
        <v>1.10375</v>
      </c>
      <c r="CN20" s="410">
        <v>1.5954000000000002</v>
      </c>
      <c r="CO20" s="327" t="str">
        <f t="shared" si="0"/>
        <v>1Q2002/02</v>
      </c>
      <c r="CP20" s="187">
        <f t="shared" si="34"/>
        <v>8958.9306756926144</v>
      </c>
      <c r="CQ20" s="187"/>
      <c r="CR20" s="187">
        <f t="shared" si="35"/>
        <v>5.0846182775479498</v>
      </c>
      <c r="CS20" s="40">
        <f t="shared" si="36"/>
        <v>8953.8460574150686</v>
      </c>
      <c r="CU20" s="40">
        <f t="shared" si="37"/>
        <v>9008.1434123103918</v>
      </c>
      <c r="CW20" s="76">
        <f t="shared" si="48"/>
        <v>1.8955222109689585E-2</v>
      </c>
      <c r="CX20" s="420">
        <f t="shared" si="49"/>
        <v>1.8955222109689585E-2</v>
      </c>
      <c r="CY20" s="205">
        <f>((CX17+1)*(1+CX18)*(1+CX19)*(1+CX20))-1</f>
        <v>-3.0878892764055199E-2</v>
      </c>
      <c r="CZ20" s="321">
        <v>2014</v>
      </c>
      <c r="DA20" s="107">
        <f>DB59</f>
        <v>5.751997867743408E-2</v>
      </c>
      <c r="DB20" s="107"/>
      <c r="DC20" s="205">
        <f>CY68</f>
        <v>6.5285243331471454E-2</v>
      </c>
      <c r="DD20" s="107">
        <f>(CPPIB.!S20/CL20)-1</f>
        <v>7.2327746319366115E-2</v>
      </c>
      <c r="DE20" s="421">
        <f t="shared" si="29"/>
        <v>0.99946750195771339</v>
      </c>
      <c r="DF20" s="321">
        <v>1.5954000000000002</v>
      </c>
      <c r="DG20" s="40">
        <f>CPPIB.!K16</f>
        <v>0.81499999999999995</v>
      </c>
      <c r="DH20" s="40">
        <v>0</v>
      </c>
      <c r="DI20" s="40">
        <f>CPPIB.!M16</f>
        <v>2.6070000000000011</v>
      </c>
      <c r="DJ20" s="40">
        <f t="shared" si="22"/>
        <v>3.422000000000001</v>
      </c>
      <c r="DK20" s="40">
        <f t="shared" si="23"/>
        <v>2.3955254776245185E-4</v>
      </c>
      <c r="DL20" s="326" t="str">
        <f t="shared" si="1"/>
        <v>1Q2002/02</v>
      </c>
      <c r="DM20" s="40">
        <f t="shared" si="38"/>
        <v>0.51084367556725574</v>
      </c>
      <c r="DN20" s="40">
        <f t="shared" si="24"/>
        <v>0</v>
      </c>
      <c r="DO20" s="40">
        <f t="shared" si="25"/>
        <v>1.6340729597593084</v>
      </c>
      <c r="DP20" s="40">
        <f t="shared" si="39"/>
        <v>2.1449166353265641</v>
      </c>
      <c r="DQ20" s="40">
        <f t="shared" si="30"/>
        <v>2.3955254776245182E-4</v>
      </c>
    </row>
    <row r="21" spans="1:121">
      <c r="A21" s="321" t="s">
        <v>68</v>
      </c>
      <c r="K21" s="321" t="s">
        <v>68</v>
      </c>
      <c r="O21" s="376"/>
      <c r="P21" s="376"/>
      <c r="Q21" s="376"/>
      <c r="R21" s="376"/>
      <c r="S21" s="396">
        <f>NBIM!P20</f>
        <v>4.5141183052912703E-2</v>
      </c>
      <c r="T21" s="384"/>
      <c r="U21" s="173"/>
      <c r="V21" s="107"/>
      <c r="W21" s="204"/>
      <c r="X21" s="321">
        <v>7.5043000000000006</v>
      </c>
      <c r="Y21" s="321" t="s">
        <v>68</v>
      </c>
      <c r="Z21" s="40">
        <f>NBIM!AL20</f>
        <v>51.395999999999994</v>
      </c>
      <c r="AA21" s="40">
        <f>NBIM!AM20</f>
        <v>80.822000000000003</v>
      </c>
      <c r="AB21" s="40">
        <f t="shared" si="42"/>
        <v>132.21799999999999</v>
      </c>
      <c r="AC21" s="76"/>
      <c r="AD21" s="173">
        <f>NBIM!AQ20</f>
        <v>15.375</v>
      </c>
      <c r="AE21" s="321" t="s">
        <v>68</v>
      </c>
      <c r="AF21" s="40">
        <f t="shared" si="43"/>
        <v>6.8488733126340886</v>
      </c>
      <c r="AG21" s="40">
        <f t="shared" si="40"/>
        <v>10.770091814026625</v>
      </c>
      <c r="AH21" s="40">
        <f t="shared" si="41"/>
        <v>17.618965126660711</v>
      </c>
      <c r="AI21" s="76"/>
      <c r="AJ21" s="382">
        <f t="shared" si="44"/>
        <v>2.0488253401383205</v>
      </c>
      <c r="AL21" s="321" t="s">
        <v>68</v>
      </c>
      <c r="AM21" s="91">
        <v>140290545463.19</v>
      </c>
      <c r="AN21" s="92">
        <f t="shared" si="14"/>
        <v>-5.9457756129767003E-2</v>
      </c>
      <c r="AO21" s="92">
        <f t="shared" si="15"/>
        <v>-6.129871485398105E-2</v>
      </c>
      <c r="AP21" s="401">
        <f>APG!B21</f>
        <v>-5.8467129632802102E-2</v>
      </c>
      <c r="AQ21" s="129">
        <f t="shared" si="4"/>
        <v>0.9415328703671979</v>
      </c>
      <c r="AR21" s="405">
        <f t="shared" si="21"/>
        <v>6.5861583204426255E-2</v>
      </c>
      <c r="AS21" s="55"/>
      <c r="AT21" s="405">
        <f>AS71</f>
        <v>8.3570545908545624E-3</v>
      </c>
      <c r="AU21" s="327" t="str">
        <f t="shared" si="2"/>
        <v>2014 </v>
      </c>
      <c r="AV21" s="188">
        <f>APG!O25</f>
        <v>391932</v>
      </c>
      <c r="AW21" s="188">
        <f>APG!P25</f>
        <v>47144</v>
      </c>
      <c r="AX21" s="188">
        <f>APG!Q25</f>
        <v>344788</v>
      </c>
      <c r="AY21" s="188">
        <f>APG!T25</f>
        <v>553.99999999999932</v>
      </c>
      <c r="AZ21" s="129">
        <f>APG!U25</f>
        <v>0.1504164478625889</v>
      </c>
      <c r="BA21" s="422">
        <f>APG!V25</f>
        <v>0.14012400539859532</v>
      </c>
      <c r="BB21" s="129">
        <f t="shared" si="32"/>
        <v>1.1401240053985953</v>
      </c>
      <c r="BC21" s="342" t="s">
        <v>129</v>
      </c>
      <c r="BD21" s="58">
        <f>APG!W25</f>
        <v>1843</v>
      </c>
      <c r="BE21" s="58">
        <f>APG!X25</f>
        <v>171</v>
      </c>
      <c r="BF21" s="58">
        <f>APG!Y25</f>
        <v>522</v>
      </c>
      <c r="BG21" s="58">
        <f>APG!AA25</f>
        <v>1050</v>
      </c>
      <c r="BH21" s="408">
        <f>BK71</f>
        <v>0.82641199999999992</v>
      </c>
      <c r="BI21" s="411">
        <f t="shared" si="17"/>
        <v>1.1387540029433001</v>
      </c>
      <c r="BJ21" s="409">
        <f t="shared" si="26"/>
        <v>0.88335379115227686</v>
      </c>
      <c r="BK21" s="410">
        <v>1.012554</v>
      </c>
      <c r="BL21" s="103">
        <f t="shared" si="18"/>
        <v>138551174024.4866</v>
      </c>
      <c r="BM21" s="107">
        <f t="shared" si="27"/>
        <v>6.4740145217871969E-2</v>
      </c>
      <c r="BN21" s="107">
        <f t="shared" si="28"/>
        <v>6.2730774289151317E-2</v>
      </c>
      <c r="BO21" s="40">
        <f t="shared" si="5"/>
        <v>474257.39219662838</v>
      </c>
      <c r="BP21" s="40">
        <f t="shared" si="6"/>
        <v>57046.606293229052</v>
      </c>
      <c r="BQ21" s="40">
        <f t="shared" si="7"/>
        <v>417210.78590339934</v>
      </c>
      <c r="BR21" s="40">
        <f t="shared" si="16"/>
        <v>670.36780685662768</v>
      </c>
      <c r="BS21" s="396">
        <f t="shared" si="31"/>
        <v>1.2030714726396496E-3</v>
      </c>
      <c r="BT21" s="327" t="str">
        <f t="shared" si="3"/>
        <v>2014 </v>
      </c>
      <c r="BU21" s="313">
        <f t="shared" si="8"/>
        <v>2230.1225054815277</v>
      </c>
      <c r="BV21" s="40">
        <f t="shared" si="9"/>
        <v>206.91858298282216</v>
      </c>
      <c r="BW21" s="40">
        <f t="shared" si="10"/>
        <v>631.64620068440445</v>
      </c>
      <c r="BX21" s="40">
        <f t="shared" si="11"/>
        <v>3068.6872891487542</v>
      </c>
      <c r="BY21" s="40">
        <f t="shared" si="33"/>
        <v>1270.5527025261008</v>
      </c>
      <c r="CA21" s="321" t="str">
        <f>CPPIB.!A17</f>
        <v>2Q2002/03</v>
      </c>
      <c r="CB21" s="50">
        <f>CPPIB.!B17</f>
        <v>17225.677</v>
      </c>
      <c r="CC21" s="50">
        <f>CPPIB.!C17</f>
        <v>130.291</v>
      </c>
      <c r="CD21" s="40">
        <f>CPPIB.!D17</f>
        <v>17095.385999999999</v>
      </c>
      <c r="CE21" s="40">
        <f>CPPIB.!E17</f>
        <v>18729.308000000001</v>
      </c>
      <c r="CF21" s="234">
        <f t="shared" si="45"/>
        <v>-0.10831639361269763</v>
      </c>
      <c r="CG21" s="107">
        <f t="shared" si="46"/>
        <v>-0.11464391068306069</v>
      </c>
      <c r="CH21" s="393">
        <f t="shared" si="47"/>
        <v>0.88535608931693932</v>
      </c>
      <c r="CI21" s="107"/>
      <c r="CJ21" s="180">
        <f>CI75</f>
        <v>0.15434176950567702</v>
      </c>
      <c r="CK21" s="415">
        <f>CPPIB.!Q21</f>
        <v>42094</v>
      </c>
      <c r="CL21" s="321">
        <f t="shared" si="19"/>
        <v>1.1474518686296717</v>
      </c>
      <c r="CM21" s="332">
        <f>CN72</f>
        <v>1.2665000000000002</v>
      </c>
      <c r="CN21" s="410">
        <v>1.5209000000000001</v>
      </c>
      <c r="CO21" s="327" t="str">
        <f t="shared" si="0"/>
        <v>2Q2002/03</v>
      </c>
      <c r="CP21" s="187">
        <f t="shared" si="34"/>
        <v>11325.97606680255</v>
      </c>
      <c r="CQ21" s="187"/>
      <c r="CR21" s="187">
        <f t="shared" si="35"/>
        <v>85.667039253073824</v>
      </c>
      <c r="CS21" s="40">
        <f t="shared" si="36"/>
        <v>11240.309027549476</v>
      </c>
      <c r="CU21" s="40">
        <f t="shared" si="37"/>
        <v>12314.621605628246</v>
      </c>
      <c r="CW21" s="76">
        <f t="shared" si="48"/>
        <v>-7.1275491553524195E-2</v>
      </c>
      <c r="CX21" s="420">
        <f t="shared" si="49"/>
        <v>-7.1275491553524195E-2</v>
      </c>
      <c r="CY21" s="205"/>
      <c r="CZ21" s="321">
        <v>2015</v>
      </c>
      <c r="DA21" s="107">
        <f>DB63</f>
        <v>-3.7494525570549109E-2</v>
      </c>
      <c r="DB21" s="107"/>
      <c r="DC21" s="205">
        <f>CY72</f>
        <v>2.6342368944410666E-2</v>
      </c>
      <c r="DD21" s="107">
        <f>(CPPIB.!S21/CL21)-1</f>
        <v>3.0980063166206051E-2</v>
      </c>
      <c r="DE21" s="421">
        <f t="shared" si="29"/>
        <v>0.95330324683464962</v>
      </c>
      <c r="DF21" s="321">
        <v>1.5209000000000001</v>
      </c>
      <c r="DG21" s="40">
        <f>CPPIB.!K17</f>
        <v>0.85899999999999999</v>
      </c>
      <c r="DH21" s="40">
        <v>0</v>
      </c>
      <c r="DI21" s="40">
        <f>CPPIB.!M17</f>
        <v>2.8109999999999999</v>
      </c>
      <c r="DJ21" s="40">
        <f t="shared" si="22"/>
        <v>3.67</v>
      </c>
      <c r="DK21" s="40">
        <f t="shared" si="23"/>
        <v>2.1467780838642662E-4</v>
      </c>
      <c r="DL21" s="326" t="str">
        <f t="shared" si="1"/>
        <v>2Q2002/03</v>
      </c>
      <c r="DM21" s="40">
        <f t="shared" si="38"/>
        <v>0.5647971595765664</v>
      </c>
      <c r="DN21" s="40">
        <f t="shared" si="24"/>
        <v>0</v>
      </c>
      <c r="DO21" s="40">
        <f t="shared" si="25"/>
        <v>1.8482477480439212</v>
      </c>
      <c r="DP21" s="40">
        <f t="shared" si="39"/>
        <v>2.4130449076204874</v>
      </c>
      <c r="DQ21" s="40">
        <f t="shared" si="30"/>
        <v>2.146778083864266E-4</v>
      </c>
    </row>
    <row r="22" spans="1:121">
      <c r="A22" s="321" t="s">
        <v>69</v>
      </c>
      <c r="K22" s="321" t="s">
        <v>69</v>
      </c>
      <c r="O22" s="376"/>
      <c r="P22" s="376"/>
      <c r="Q22" s="376"/>
      <c r="R22" s="376"/>
      <c r="S22" s="396">
        <f>NBIM!P21</f>
        <v>-5.1110678966358347E-2</v>
      </c>
      <c r="T22" s="384"/>
      <c r="U22" s="173"/>
      <c r="V22" s="107"/>
      <c r="W22" s="204"/>
      <c r="X22" s="321">
        <v>7.4108000000000009</v>
      </c>
      <c r="Y22" s="321" t="s">
        <v>69</v>
      </c>
      <c r="Z22" s="40">
        <f>NBIM!AL21</f>
        <v>50.992999999999981</v>
      </c>
      <c r="AA22" s="40">
        <f>NBIM!AM21</f>
        <v>90.446000000000041</v>
      </c>
      <c r="AB22" s="40">
        <f t="shared" si="42"/>
        <v>141.43900000000002</v>
      </c>
      <c r="AC22" s="76"/>
      <c r="AD22" s="173">
        <f>NBIM!AQ21</f>
        <v>16.267000000000003</v>
      </c>
      <c r="AE22" s="321" t="s">
        <v>69</v>
      </c>
      <c r="AF22" s="40">
        <f t="shared" si="43"/>
        <v>6.8809035461758477</v>
      </c>
      <c r="AG22" s="40">
        <f t="shared" si="40"/>
        <v>12.204620283909973</v>
      </c>
      <c r="AH22" s="40">
        <f t="shared" si="41"/>
        <v>19.085523830085819</v>
      </c>
      <c r="AI22" s="76"/>
      <c r="AJ22" s="382">
        <f t="shared" si="44"/>
        <v>2.195039671830302</v>
      </c>
      <c r="AL22" s="321" t="s">
        <v>69</v>
      </c>
      <c r="AM22" s="91">
        <v>132792391132.02</v>
      </c>
      <c r="AN22" s="92">
        <f t="shared" si="14"/>
        <v>-5.3447324667629803E-2</v>
      </c>
      <c r="AO22" s="92">
        <f t="shared" si="15"/>
        <v>-5.4928657126567332E-2</v>
      </c>
      <c r="AP22" s="401">
        <f>APG!B22</f>
        <v>-5.1537168802297903E-2</v>
      </c>
      <c r="AQ22" s="129">
        <f t="shared" si="4"/>
        <v>0.94846283119770214</v>
      </c>
      <c r="AR22" s="405">
        <f t="shared" si="21"/>
        <v>-5.0913851637325869E-2</v>
      </c>
      <c r="AS22" s="55"/>
      <c r="AT22" s="405">
        <f>AS75</f>
        <v>-7.9814161411178031E-2</v>
      </c>
      <c r="AU22" s="327">
        <f t="shared" si="2"/>
        <v>2015</v>
      </c>
      <c r="AV22" s="188">
        <f>APG!O26</f>
        <v>396673</v>
      </c>
      <c r="AW22" s="188">
        <f>APG!P26</f>
        <v>44323</v>
      </c>
      <c r="AX22" s="188">
        <f>APG!Q26</f>
        <v>352350</v>
      </c>
      <c r="AY22" s="188">
        <f>APG!T26</f>
        <v>-1996.9999999999995</v>
      </c>
      <c r="AZ22" s="129">
        <f>APG!U26</f>
        <v>2.9331067206515238E-2</v>
      </c>
      <c r="BA22" s="422">
        <f>APG!V26</f>
        <v>2.8909141943922061E-2</v>
      </c>
      <c r="BB22" s="129">
        <f t="shared" si="32"/>
        <v>1.028909141943922</v>
      </c>
      <c r="BC22" s="342">
        <v>2015</v>
      </c>
      <c r="BD22" s="58">
        <f>APG!W26</f>
        <v>1600</v>
      </c>
      <c r="BE22" s="58">
        <f>APG!X26</f>
        <v>218</v>
      </c>
      <c r="BF22" s="58">
        <f>APG!Y26</f>
        <v>563</v>
      </c>
      <c r="BG22" s="58">
        <f>APG!AA26</f>
        <v>739</v>
      </c>
      <c r="BH22" s="408">
        <f>BK75</f>
        <v>0.92055599999999993</v>
      </c>
      <c r="BI22" s="411">
        <f t="shared" si="17"/>
        <v>1.1139189653586832</v>
      </c>
      <c r="BJ22" s="409">
        <f t="shared" si="26"/>
        <v>0.99934324490348181</v>
      </c>
      <c r="BK22" s="410">
        <v>1.011889</v>
      </c>
      <c r="BL22" s="103">
        <f t="shared" si="18"/>
        <v>131232171841.00232</v>
      </c>
      <c r="BM22" s="107">
        <f t="shared" si="27"/>
        <v>-5.2825262831701192E-2</v>
      </c>
      <c r="BN22" s="107">
        <f t="shared" si="28"/>
        <v>-5.4271686271948692E-2</v>
      </c>
      <c r="BO22" s="40">
        <f>AV22/BH22</f>
        <v>430905.88731158129</v>
      </c>
      <c r="BP22" s="40">
        <f>AW22/BH22</f>
        <v>48148.075728146905</v>
      </c>
      <c r="BQ22" s="40">
        <f>BO22-BP22</f>
        <v>382757.81158343441</v>
      </c>
      <c r="BR22" s="40">
        <f>AY22/BH22</f>
        <v>-2169.3411373126673</v>
      </c>
      <c r="BS22" s="396">
        <f>(BB22/BI22)-1</f>
        <v>-7.6315985326085078E-2</v>
      </c>
      <c r="BT22" s="327">
        <f t="shared" si="3"/>
        <v>2015</v>
      </c>
      <c r="BU22" s="313">
        <f t="shared" ref="BU22:BW23" si="50">BD22/$BH22</f>
        <v>1738.0800298949766</v>
      </c>
      <c r="BV22" s="40">
        <f t="shared" si="50"/>
        <v>236.81340407319055</v>
      </c>
      <c r="BW22" s="40">
        <f t="shared" si="50"/>
        <v>611.58691051929486</v>
      </c>
      <c r="BX22" s="313">
        <f>BU22+BV22+BW22</f>
        <v>2586.4803444874624</v>
      </c>
      <c r="BY22" s="40">
        <f>BG22/BH22</f>
        <v>802.77571380774236</v>
      </c>
      <c r="CA22" s="321" t="str">
        <f>CPPIB.!A18</f>
        <v>3Q2002/03</v>
      </c>
      <c r="CB22" s="50">
        <f>CPPIB.!B18</f>
        <v>17086.161</v>
      </c>
      <c r="CC22" s="50">
        <f>CPPIB.!C18</f>
        <v>171.649</v>
      </c>
      <c r="CD22" s="40">
        <f>CPPIB.!D18</f>
        <v>16914.511999999999</v>
      </c>
      <c r="CE22" s="40">
        <f>CPPIB.!E18</f>
        <v>21006.733</v>
      </c>
      <c r="CF22" s="234">
        <f t="shared" si="45"/>
        <v>-0.14379897593420821</v>
      </c>
      <c r="CG22" s="107">
        <f t="shared" si="46"/>
        <v>-0.15525008921291783</v>
      </c>
      <c r="CH22" s="393">
        <f t="shared" si="47"/>
        <v>0.84474991078708217</v>
      </c>
      <c r="CI22" s="107"/>
      <c r="CJ22" s="180">
        <f>CI79</f>
        <v>4.0115470780065277E-2</v>
      </c>
      <c r="CK22" s="415">
        <f>CPPIB.!Q22</f>
        <v>42460</v>
      </c>
      <c r="CL22" s="321">
        <f t="shared" si="19"/>
        <v>1.0212791156731149</v>
      </c>
      <c r="CM22" s="332">
        <f>CN76</f>
        <v>1.2934500000000002</v>
      </c>
      <c r="CN22" s="410">
        <v>1.5862000000000001</v>
      </c>
      <c r="CO22" s="327" t="str">
        <f t="shared" si="0"/>
        <v>3Q2002/03</v>
      </c>
      <c r="CP22" s="187">
        <f t="shared" si="34"/>
        <v>10771.757029378388</v>
      </c>
      <c r="CQ22" s="187"/>
      <c r="CR22" s="187">
        <f t="shared" si="35"/>
        <v>108.2139704955239</v>
      </c>
      <c r="CS22" s="40">
        <f t="shared" si="36"/>
        <v>10663.543058882864</v>
      </c>
      <c r="CU22" s="40">
        <f t="shared" si="37"/>
        <v>13243.432732316227</v>
      </c>
      <c r="CW22" s="76">
        <f t="shared" si="48"/>
        <v>-0.19002639054591275</v>
      </c>
      <c r="CX22" s="420">
        <f t="shared" si="49"/>
        <v>-0.19002639054591275</v>
      </c>
      <c r="CY22" s="205"/>
      <c r="CZ22" s="321">
        <v>2016</v>
      </c>
      <c r="DA22" s="107">
        <f>DB67</f>
        <v>7.7382946542327913E-2</v>
      </c>
      <c r="DB22" s="107"/>
      <c r="DC22" s="205">
        <f>CY76</f>
        <v>1.0750799636823238E-2</v>
      </c>
      <c r="DD22" s="107">
        <f>(CPPIB.!S22/CL22)-1</f>
        <v>1.2455835169507878E-2</v>
      </c>
      <c r="DE22" s="421">
        <f t="shared" si="29"/>
        <v>1.0429351042146098</v>
      </c>
      <c r="DF22" s="321">
        <v>1.5862000000000001</v>
      </c>
      <c r="DG22" s="40">
        <f>CPPIB.!K18</f>
        <v>0.88900000000000001</v>
      </c>
      <c r="DH22" s="40">
        <v>0</v>
      </c>
      <c r="DI22" s="40">
        <f>CPPIB.!M18</f>
        <v>2.2590000000000003</v>
      </c>
      <c r="DJ22" s="40">
        <f t="shared" si="22"/>
        <v>3.1480000000000006</v>
      </c>
      <c r="DK22" s="40">
        <f t="shared" si="23"/>
        <v>1.8611237498309148E-4</v>
      </c>
      <c r="DL22" s="326" t="str">
        <f t="shared" si="1"/>
        <v>3Q2002/03</v>
      </c>
      <c r="DM22" s="40">
        <f t="shared" si="38"/>
        <v>0.56045895851721095</v>
      </c>
      <c r="DN22" s="40">
        <f t="shared" si="24"/>
        <v>0</v>
      </c>
      <c r="DO22" s="40">
        <f t="shared" si="25"/>
        <v>1.4241583659059389</v>
      </c>
      <c r="DP22" s="40">
        <f t="shared" si="39"/>
        <v>1.9846173244231498</v>
      </c>
      <c r="DQ22" s="40">
        <f t="shared" si="30"/>
        <v>1.8611237498309148E-4</v>
      </c>
    </row>
    <row r="23" spans="1:121" ht="15.75" thickBot="1">
      <c r="A23" s="321" t="s">
        <v>58</v>
      </c>
      <c r="K23" s="321" t="s">
        <v>58</v>
      </c>
      <c r="O23" s="376"/>
      <c r="P23" s="376"/>
      <c r="Q23" s="376"/>
      <c r="R23" s="376"/>
      <c r="S23" s="396">
        <f>NBIM!P22</f>
        <v>6.1876489349170782E-2</v>
      </c>
      <c r="T23" s="384"/>
      <c r="U23" s="173"/>
      <c r="V23" s="107"/>
      <c r="W23" s="204"/>
      <c r="X23" s="321">
        <v>6.9277500000000005</v>
      </c>
      <c r="Y23" s="321" t="s">
        <v>58</v>
      </c>
      <c r="Z23" s="40">
        <f>NBIM!AL22</f>
        <v>47.96500000000006</v>
      </c>
      <c r="AA23" s="40">
        <f>NBIM!AM22</f>
        <v>109.49099999999996</v>
      </c>
      <c r="AB23" s="40">
        <f t="shared" si="42"/>
        <v>157.45600000000002</v>
      </c>
      <c r="AC23" s="76"/>
      <c r="AD23" s="173">
        <f>NBIM!AQ22</f>
        <v>17.648000000000003</v>
      </c>
      <c r="AE23" s="321" t="s">
        <v>58</v>
      </c>
      <c r="AF23" s="40">
        <f t="shared" si="43"/>
        <v>6.9236043448450157</v>
      </c>
      <c r="AG23" s="40">
        <f t="shared" si="40"/>
        <v>15.804698495182411</v>
      </c>
      <c r="AH23" s="40">
        <f t="shared" si="41"/>
        <v>22.728302840027425</v>
      </c>
      <c r="AI23" s="76"/>
      <c r="AJ23" s="382">
        <f t="shared" si="44"/>
        <v>2.5474360362310997</v>
      </c>
      <c r="AL23" s="321" t="s">
        <v>58</v>
      </c>
      <c r="AM23" s="91">
        <v>135536798412.37</v>
      </c>
      <c r="AN23" s="92">
        <f t="shared" si="14"/>
        <v>2.0666901596956277E-2</v>
      </c>
      <c r="AO23" s="92">
        <f t="shared" si="15"/>
        <v>2.045623874072906E-2</v>
      </c>
      <c r="AP23" s="401">
        <f>APG!B23</f>
        <v>2.2519919541788801E-2</v>
      </c>
      <c r="AQ23" s="129">
        <f t="shared" si="4"/>
        <v>1.0225199195417889</v>
      </c>
      <c r="AR23" s="405">
        <f t="shared" si="21"/>
        <v>8.5790234137231636E-2</v>
      </c>
      <c r="AS23" s="55">
        <f>AR20+AR21+AR22+AR23</f>
        <v>9.6880110748693071E-2</v>
      </c>
      <c r="AT23" s="407">
        <f>AS79</f>
        <v>6.5870429426688637E-2</v>
      </c>
      <c r="AU23" s="327">
        <v>2016</v>
      </c>
      <c r="AV23" s="188">
        <f>APG!O27</f>
        <v>422310</v>
      </c>
      <c r="AW23" s="188">
        <f>APG!P27</f>
        <v>39213</v>
      </c>
      <c r="AX23" s="188">
        <f>APG!Q27</f>
        <v>383097</v>
      </c>
      <c r="AY23" s="188">
        <f>APG!T27</f>
        <v>-2157.0000000000009</v>
      </c>
      <c r="AZ23" s="129">
        <f>APG!U27</f>
        <v>8.771675890449826E-2</v>
      </c>
      <c r="BA23" s="422">
        <f>APG!V27</f>
        <v>8.4080782652274408E-2</v>
      </c>
      <c r="BB23" s="129">
        <f>BA23+1</f>
        <v>1.0840807826522745</v>
      </c>
      <c r="BC23" s="342">
        <v>2016</v>
      </c>
      <c r="BD23" s="58">
        <f>APG!W27</f>
        <v>1675</v>
      </c>
      <c r="BE23" s="58">
        <f>APG!X27</f>
        <v>204</v>
      </c>
      <c r="BF23" s="58">
        <f>APG!Y27</f>
        <v>557</v>
      </c>
      <c r="BG23" s="58">
        <f>APG!AA27</f>
        <v>867</v>
      </c>
      <c r="BH23" s="408">
        <f>BK79</f>
        <v>0.94809199999999993</v>
      </c>
      <c r="BI23" s="411">
        <f t="shared" si="17"/>
        <v>1.0299123573144926</v>
      </c>
      <c r="BJ23" s="409">
        <f t="shared" si="26"/>
        <v>0.941728786457803</v>
      </c>
      <c r="BK23" s="410">
        <v>0.95292499999999991</v>
      </c>
      <c r="BL23" s="103">
        <f t="shared" si="18"/>
        <v>142232388081.29706</v>
      </c>
      <c r="BM23" s="107">
        <f t="shared" si="27"/>
        <v>8.3822557273702136E-2</v>
      </c>
      <c r="BN23" s="107">
        <f t="shared" si="28"/>
        <v>8.0494197066431142E-2</v>
      </c>
      <c r="BO23" s="40">
        <f>AV23/BH23</f>
        <v>445431.45601903618</v>
      </c>
      <c r="BP23" s="40">
        <f>AW23/BH23</f>
        <v>41359.910219683326</v>
      </c>
      <c r="BQ23" s="40">
        <f>BO23-BP23</f>
        <v>404071.54579935287</v>
      </c>
      <c r="BR23" s="40">
        <f>AY23/BH23</f>
        <v>-2275.0956658214614</v>
      </c>
      <c r="BS23" s="396">
        <f>(BB23/BI23)-1</f>
        <v>5.2595179534525194E-2</v>
      </c>
      <c r="BT23" s="618">
        <f>BC23</f>
        <v>2016</v>
      </c>
      <c r="BU23" s="313">
        <f t="shared" si="50"/>
        <v>1766.7061846318713</v>
      </c>
      <c r="BV23" s="40">
        <f t="shared" si="50"/>
        <v>215.16899203874732</v>
      </c>
      <c r="BW23" s="40">
        <f t="shared" si="50"/>
        <v>587.49572826265808</v>
      </c>
      <c r="BX23" s="313">
        <f>BU23+BV23+BW23</f>
        <v>2569.3709049332765</v>
      </c>
      <c r="BY23" s="40">
        <f>BG23/BH23</f>
        <v>914.46821616467605</v>
      </c>
      <c r="CA23" s="321" t="str">
        <f>CPPIB.!A19</f>
        <v>4Q2002/03</v>
      </c>
      <c r="CB23" s="50">
        <f>CPPIB.!B19</f>
        <v>18451.081999999999</v>
      </c>
      <c r="CC23" s="50">
        <f>CPPIB.!C19</f>
        <v>19.059999999999999</v>
      </c>
      <c r="CD23" s="40">
        <f>CPPIB.!D19</f>
        <v>18432.021999999997</v>
      </c>
      <c r="CE23" s="40">
        <f>CPPIB.!E19</f>
        <v>21525.024000000001</v>
      </c>
      <c r="CF23" s="234">
        <f>((CD23-(CE23-CE22))/CD22)-1</f>
        <v>5.9074657312016887E-2</v>
      </c>
      <c r="CG23" s="107">
        <f t="shared" si="46"/>
        <v>5.7395562068322699E-2</v>
      </c>
      <c r="CH23" s="393">
        <f t="shared" si="47"/>
        <v>1.0573955620683226</v>
      </c>
      <c r="CI23" s="107">
        <f>((CG23+1)*(CG22+1)*(CG21+1)*(CG20+1))-1</f>
        <v>-0.19460784802240905</v>
      </c>
      <c r="CJ23" s="107"/>
      <c r="CK23" s="383"/>
      <c r="CL23" s="50"/>
      <c r="CM23" s="180"/>
      <c r="CN23" s="410">
        <v>1.5798000000000001</v>
      </c>
      <c r="CO23" s="327" t="str">
        <f t="shared" si="0"/>
        <v>4Q2002/03</v>
      </c>
      <c r="CP23" s="187">
        <f t="shared" si="34"/>
        <v>11679.378402329407</v>
      </c>
      <c r="CQ23" s="187">
        <f>CP23+CP22+CP21+CP20</f>
        <v>42736.042174202958</v>
      </c>
      <c r="CR23" s="187">
        <f t="shared" si="35"/>
        <v>12.064818331434358</v>
      </c>
      <c r="CS23" s="40">
        <f t="shared" si="36"/>
        <v>11667.313583997971</v>
      </c>
      <c r="CT23" s="40">
        <f>CS23+CS22+CS21+CS20</f>
        <v>42525.011727845376</v>
      </c>
      <c r="CU23" s="40">
        <f t="shared" si="37"/>
        <v>13625.157614887961</v>
      </c>
      <c r="CV23" s="40">
        <f>CU23+CU22+CU21+CU20</f>
        <v>48191.35536514283</v>
      </c>
      <c r="CW23" s="76">
        <f t="shared" si="48"/>
        <v>6.167922556828298E-2</v>
      </c>
      <c r="CX23" s="420">
        <f t="shared" si="49"/>
        <v>6.167922556828298E-2</v>
      </c>
      <c r="CY23" s="205"/>
      <c r="CZ23" s="193"/>
      <c r="DA23" s="205"/>
      <c r="DB23" s="107">
        <f>((CX35+1)*(CX34+1)*(CX33+1)*(CX32+1))-1</f>
        <v>0.18527045342482196</v>
      </c>
      <c r="DC23" s="205"/>
      <c r="DD23" s="205"/>
      <c r="DE23" s="421">
        <f t="shared" si="29"/>
        <v>0.99596519984869503</v>
      </c>
      <c r="DF23" s="321">
        <v>1.5798000000000001</v>
      </c>
      <c r="DG23" s="40">
        <f>CPPIB.!K19</f>
        <v>0.06</v>
      </c>
      <c r="DH23" s="40">
        <v>0</v>
      </c>
      <c r="DI23" s="40">
        <f>CPPIB.!M19</f>
        <v>3.161</v>
      </c>
      <c r="DJ23" s="40">
        <f t="shared" si="22"/>
        <v>3.2210000000000001</v>
      </c>
      <c r="DK23" s="40">
        <f t="shared" si="23"/>
        <v>1.7475022545003475E-4</v>
      </c>
      <c r="DL23" s="326" t="str">
        <f t="shared" si="1"/>
        <v>4Q2002/03</v>
      </c>
      <c r="DM23" s="40">
        <f t="shared" si="38"/>
        <v>3.7979491074819592E-2</v>
      </c>
      <c r="DN23" s="40">
        <f t="shared" si="24"/>
        <v>0</v>
      </c>
      <c r="DO23" s="40">
        <f t="shared" si="25"/>
        <v>2.000886188125079</v>
      </c>
      <c r="DP23" s="40">
        <f t="shared" si="39"/>
        <v>2.0388656791998985</v>
      </c>
      <c r="DQ23" s="40">
        <f t="shared" si="30"/>
        <v>1.7475022545003475E-4</v>
      </c>
    </row>
    <row r="24" spans="1:121">
      <c r="A24" s="321" t="s">
        <v>57</v>
      </c>
      <c r="K24" s="321" t="s">
        <v>57</v>
      </c>
      <c r="O24" s="376"/>
      <c r="P24" s="376"/>
      <c r="Q24" s="376"/>
      <c r="R24" s="376"/>
      <c r="S24" s="396">
        <f>NBIM!P23</f>
        <v>-5.2966055573544502E-4</v>
      </c>
      <c r="T24" s="384"/>
      <c r="U24" s="173"/>
      <c r="V24" s="107"/>
      <c r="W24" s="204"/>
      <c r="X24" s="321">
        <v>7.2567000000000004</v>
      </c>
      <c r="Y24" s="321" t="s">
        <v>57</v>
      </c>
      <c r="Z24" s="40">
        <f>NBIM!AL23</f>
        <v>72.867000000000004</v>
      </c>
      <c r="AA24" s="40">
        <f>NBIM!AM23</f>
        <v>99.942999999999998</v>
      </c>
      <c r="AB24" s="40">
        <f t="shared" si="42"/>
        <v>172.81</v>
      </c>
      <c r="AC24" s="76"/>
      <c r="AD24" s="173">
        <f>NBIM!AQ23</f>
        <v>14.324999999999999</v>
      </c>
      <c r="AE24" s="321" t="s">
        <v>57</v>
      </c>
      <c r="AF24" s="40">
        <f t="shared" si="43"/>
        <v>10.041341105461161</v>
      </c>
      <c r="AG24" s="40">
        <f t="shared" si="40"/>
        <v>13.772513677015722</v>
      </c>
      <c r="AH24" s="40">
        <f t="shared" si="41"/>
        <v>23.813854782476881</v>
      </c>
      <c r="AI24" s="76"/>
      <c r="AJ24" s="382">
        <f t="shared" si="44"/>
        <v>1.9740377857703912</v>
      </c>
      <c r="AL24" s="321" t="s">
        <v>57</v>
      </c>
      <c r="AM24" s="91">
        <v>132582733284.14</v>
      </c>
      <c r="AN24" s="92">
        <f t="shared" si="14"/>
        <v>-2.1795299600055995E-2</v>
      </c>
      <c r="AO24" s="92">
        <f t="shared" si="15"/>
        <v>-2.2036325736161599E-2</v>
      </c>
      <c r="AP24" s="401">
        <f>APG!B24</f>
        <v>-1.9097453219927899E-2</v>
      </c>
      <c r="AQ24" s="129">
        <f t="shared" si="4"/>
        <v>0.98090254678007205</v>
      </c>
      <c r="AR24" s="405">
        <f t="shared" si="21"/>
        <v>1.9973941470632584E-2</v>
      </c>
      <c r="AS24" s="55"/>
      <c r="AT24" s="55"/>
      <c r="AU24" s="187"/>
      <c r="AV24" s="129"/>
      <c r="AW24" s="188"/>
      <c r="AX24" s="55"/>
      <c r="AY24" s="55"/>
      <c r="AZ24" s="55"/>
      <c r="BA24" s="55"/>
      <c r="BB24" s="55"/>
      <c r="BC24" s="92"/>
      <c r="BD24" s="92"/>
      <c r="BE24" s="92"/>
      <c r="BF24" s="92"/>
      <c r="BG24" s="58"/>
      <c r="BH24" s="92"/>
      <c r="BI24" s="92"/>
      <c r="BJ24" s="409">
        <f t="shared" si="26"/>
        <v>0.96169373245533496</v>
      </c>
      <c r="BK24" s="410">
        <v>0.91642199999999996</v>
      </c>
      <c r="BL24" s="103">
        <f t="shared" si="18"/>
        <v>144674323929.52155</v>
      </c>
      <c r="BM24" s="107">
        <f t="shared" si="27"/>
        <v>1.7168634241230052E-2</v>
      </c>
      <c r="BN24" s="107">
        <f t="shared" si="28"/>
        <v>1.7022918700346206E-2</v>
      </c>
      <c r="BO24" s="107"/>
      <c r="BP24" s="107"/>
      <c r="BQ24" s="107"/>
      <c r="BR24" s="107"/>
      <c r="BS24" s="107"/>
      <c r="BT24" s="107"/>
      <c r="BU24" s="76"/>
      <c r="BV24" s="76"/>
      <c r="BW24" s="76"/>
      <c r="CA24" s="321" t="str">
        <f>CPPIB.!A20</f>
        <v>1Q2003/03</v>
      </c>
      <c r="CB24" s="50">
        <f>CPPIB.!B20</f>
        <v>17939.488000000001</v>
      </c>
      <c r="CC24" s="50">
        <f>CPPIB.!C20</f>
        <v>488.74400000000003</v>
      </c>
      <c r="CD24" s="40">
        <f>CPPIB.!D20</f>
        <v>17450.744000000002</v>
      </c>
      <c r="CE24" s="40">
        <f>CPPIB.!E20</f>
        <v>21689.66</v>
      </c>
      <c r="CF24" s="234">
        <f t="shared" si="45"/>
        <v>-6.2169739163722482E-2</v>
      </c>
      <c r="CG24" s="107">
        <f t="shared" si="46"/>
        <v>-6.4186304947613793E-2</v>
      </c>
      <c r="CH24" s="393">
        <f t="shared" si="47"/>
        <v>0.93581369505238621</v>
      </c>
      <c r="CI24" s="107"/>
      <c r="CJ24" s="107"/>
      <c r="CK24" s="383"/>
      <c r="CM24" s="107"/>
      <c r="CN24" s="410">
        <v>1.4709500000000002</v>
      </c>
      <c r="CO24" s="327" t="str">
        <f t="shared" si="0"/>
        <v>1Q2003/03</v>
      </c>
      <c r="CP24" s="187">
        <f t="shared" si="34"/>
        <v>12195.851660491518</v>
      </c>
      <c r="CQ24" s="187"/>
      <c r="CR24" s="187">
        <f t="shared" si="35"/>
        <v>332.26418301097925</v>
      </c>
      <c r="CS24" s="40">
        <f t="shared" si="36"/>
        <v>11863.58747748054</v>
      </c>
      <c r="CU24" s="40">
        <f t="shared" si="37"/>
        <v>14745.34144600428</v>
      </c>
      <c r="CW24" s="76">
        <f t="shared" si="48"/>
        <v>5.0637176272201323E-3</v>
      </c>
      <c r="CX24" s="420">
        <f t="shared" si="49"/>
        <v>5.0637176272201323E-3</v>
      </c>
      <c r="CY24" s="205">
        <f>((CX21+1)*(1+CX22)*(1+CX23)*(1+CX24))-1</f>
        <v>-0.19731584480558206</v>
      </c>
      <c r="CZ24" s="193"/>
      <c r="DA24" s="205"/>
      <c r="DB24" s="107"/>
      <c r="DC24" s="205"/>
      <c r="DD24" s="205"/>
      <c r="DE24" s="421">
        <f t="shared" si="29"/>
        <v>0.93109887327509822</v>
      </c>
      <c r="DF24" s="321">
        <v>1.4709500000000002</v>
      </c>
      <c r="DG24" s="40">
        <f>CPPIB.!K20</f>
        <v>0.28599999999999981</v>
      </c>
      <c r="DH24" s="40">
        <v>0</v>
      </c>
      <c r="DI24" s="40">
        <f>CPPIB.!M20</f>
        <v>2.8260000000000005</v>
      </c>
      <c r="DJ24" s="40">
        <f t="shared" si="22"/>
        <v>3.1120000000000001</v>
      </c>
      <c r="DK24" s="40">
        <f t="shared" si="23"/>
        <v>1.7833050556469109E-4</v>
      </c>
      <c r="DL24" s="326" t="str">
        <f t="shared" si="1"/>
        <v>1Q2003/03</v>
      </c>
      <c r="DM24" s="40">
        <f t="shared" si="38"/>
        <v>0.19443216968625701</v>
      </c>
      <c r="DN24" s="40">
        <f t="shared" si="24"/>
        <v>0</v>
      </c>
      <c r="DO24" s="40">
        <f t="shared" si="25"/>
        <v>1.9212073829837861</v>
      </c>
      <c r="DP24" s="40">
        <f t="shared" si="39"/>
        <v>2.1156395526700433</v>
      </c>
      <c r="DQ24" s="40">
        <f t="shared" si="30"/>
        <v>1.7833050556469111E-4</v>
      </c>
    </row>
    <row r="25" spans="1:121">
      <c r="A25" s="321" t="s">
        <v>56</v>
      </c>
      <c r="K25" s="321" t="s">
        <v>56</v>
      </c>
      <c r="O25" s="376"/>
      <c r="P25" s="376"/>
      <c r="Q25" s="376"/>
      <c r="R25" s="376"/>
      <c r="S25" s="396">
        <f>NBIM!P24</f>
        <v>0.10705794985463957</v>
      </c>
      <c r="T25" s="384"/>
      <c r="U25" s="173"/>
      <c r="V25" s="107"/>
      <c r="W25" s="204"/>
      <c r="X25" s="321">
        <v>7.2184000000000008</v>
      </c>
      <c r="Y25" s="321" t="s">
        <v>56</v>
      </c>
      <c r="Z25" s="40">
        <f>NBIM!AL24</f>
        <v>73.553999999999988</v>
      </c>
      <c r="AA25" s="40">
        <f>NBIM!AM24</f>
        <v>84.172999999999988</v>
      </c>
      <c r="AB25" s="40">
        <f t="shared" si="42"/>
        <v>157.72699999999998</v>
      </c>
      <c r="AC25" s="76"/>
      <c r="AD25" s="173">
        <f>NBIM!AQ24</f>
        <v>20.645</v>
      </c>
      <c r="AE25" s="321" t="s">
        <v>56</v>
      </c>
      <c r="AF25" s="40">
        <f t="shared" si="43"/>
        <v>10.189792751856364</v>
      </c>
      <c r="AG25" s="40">
        <f t="shared" si="40"/>
        <v>11.660894381026264</v>
      </c>
      <c r="AH25" s="40">
        <f t="shared" si="41"/>
        <v>21.850687132882626</v>
      </c>
      <c r="AI25" s="76"/>
      <c r="AJ25" s="382">
        <f t="shared" si="44"/>
        <v>2.8600520891056185</v>
      </c>
      <c r="AL25" s="321" t="s">
        <v>56</v>
      </c>
      <c r="AM25" s="91">
        <v>141319427685.17001</v>
      </c>
      <c r="AN25" s="92">
        <f t="shared" si="14"/>
        <v>6.5896170524002429E-2</v>
      </c>
      <c r="AO25" s="92">
        <f t="shared" si="15"/>
        <v>6.3815919990487857E-2</v>
      </c>
      <c r="AP25" s="401">
        <f>APG!B25</f>
        <v>6.6316525676841195E-2</v>
      </c>
      <c r="AQ25" s="129">
        <f t="shared" si="4"/>
        <v>1.0663165256768412</v>
      </c>
      <c r="AR25" s="405">
        <f t="shared" si="21"/>
        <v>0.12216248352844428</v>
      </c>
      <c r="AS25" s="55"/>
      <c r="AT25" s="55"/>
      <c r="AU25" s="55"/>
      <c r="AV25" s="129"/>
      <c r="AW25" s="188"/>
      <c r="AX25" s="55"/>
      <c r="AY25" s="55"/>
      <c r="AZ25" s="55"/>
      <c r="BA25" s="55"/>
      <c r="BB25" s="55"/>
      <c r="BC25" s="92"/>
      <c r="BD25" s="92"/>
      <c r="BE25" s="92"/>
      <c r="BF25" s="92"/>
      <c r="BG25" s="58"/>
      <c r="BH25" s="92"/>
      <c r="BI25" s="92"/>
      <c r="BJ25" s="409">
        <f t="shared" si="26"/>
        <v>0.95023362599326511</v>
      </c>
      <c r="BK25" s="410">
        <v>0.87081500000000001</v>
      </c>
      <c r="BL25" s="103">
        <f t="shared" si="18"/>
        <v>162284099016.63385</v>
      </c>
      <c r="BM25" s="107">
        <f t="shared" si="27"/>
        <v>0.12172011320882992</v>
      </c>
      <c r="BN25" s="107">
        <f t="shared" si="28"/>
        <v>0.11486332251374697</v>
      </c>
      <c r="BO25" s="107"/>
      <c r="BP25" s="107"/>
      <c r="BQ25" s="107"/>
      <c r="BR25" s="107"/>
      <c r="BS25" s="107"/>
      <c r="BT25" s="107"/>
      <c r="BU25" s="76"/>
      <c r="BV25" s="76"/>
      <c r="BW25" s="76"/>
      <c r="CA25" s="321" t="str">
        <f>CPPIB.!A21</f>
        <v>2Q2003/04</v>
      </c>
      <c r="CB25" s="50">
        <f>CPPIB.!B21</f>
        <v>24007.13</v>
      </c>
      <c r="CC25" s="50">
        <f>CPPIB.!C21</f>
        <v>382.57900000000001</v>
      </c>
      <c r="CD25" s="40">
        <f>CPPIB.!D21</f>
        <v>23624.550999999999</v>
      </c>
      <c r="CE25" s="40">
        <f>CPPIB.!E21</f>
        <v>26192.061000000002</v>
      </c>
      <c r="CF25" s="234">
        <f t="shared" si="45"/>
        <v>9.5778495174761336E-2</v>
      </c>
      <c r="CG25" s="107">
        <f t="shared" si="46"/>
        <v>9.1465065157535969E-2</v>
      </c>
      <c r="CH25" s="393">
        <f t="shared" si="47"/>
        <v>1.0914650651575359</v>
      </c>
      <c r="CI25" s="107"/>
      <c r="CJ25" s="107"/>
      <c r="CK25" s="383"/>
      <c r="CL25" s="107"/>
      <c r="CM25" s="107"/>
      <c r="CN25" s="410">
        <v>1.3587500000000001</v>
      </c>
      <c r="CO25" s="327" t="str">
        <f t="shared" si="0"/>
        <v>2Q2003/04</v>
      </c>
      <c r="CP25" s="187">
        <f t="shared" si="34"/>
        <v>17668.540938362465</v>
      </c>
      <c r="CQ25" s="187"/>
      <c r="CR25" s="187">
        <f t="shared" si="35"/>
        <v>281.56688132474699</v>
      </c>
      <c r="CS25" s="40">
        <f t="shared" si="36"/>
        <v>17386.974057037718</v>
      </c>
      <c r="CU25" s="40">
        <f t="shared" si="37"/>
        <v>19276.585832566696</v>
      </c>
      <c r="CW25" s="76">
        <f t="shared" si="48"/>
        <v>0.18159377191792281</v>
      </c>
      <c r="CX25" s="420">
        <f t="shared" si="49"/>
        <v>0.18159377191792281</v>
      </c>
      <c r="CY25" s="205"/>
      <c r="CZ25" s="205"/>
      <c r="DA25" s="205"/>
      <c r="DB25" s="107"/>
      <c r="DC25" s="205"/>
      <c r="DD25" s="205"/>
      <c r="DE25" s="421">
        <f t="shared" si="29"/>
        <v>0.92372276420000676</v>
      </c>
      <c r="DF25" s="321">
        <v>1.3587500000000001</v>
      </c>
      <c r="DG25" s="40">
        <f>CPPIB.!K21</f>
        <v>0.504</v>
      </c>
      <c r="DH25" s="40">
        <v>0</v>
      </c>
      <c r="DI25" s="40">
        <f>CPPIB.!M21</f>
        <v>3.73</v>
      </c>
      <c r="DJ25" s="40">
        <f t="shared" si="22"/>
        <v>4.234</v>
      </c>
      <c r="DK25" s="40">
        <f t="shared" si="23"/>
        <v>1.7922033735159664E-4</v>
      </c>
      <c r="DL25" s="326" t="str">
        <f t="shared" si="1"/>
        <v>2Q2003/04</v>
      </c>
      <c r="DM25" s="40">
        <f t="shared" si="38"/>
        <v>0.37092916283348665</v>
      </c>
      <c r="DN25" s="40">
        <f t="shared" si="24"/>
        <v>0</v>
      </c>
      <c r="DO25" s="40">
        <f t="shared" si="25"/>
        <v>2.7451701931922718</v>
      </c>
      <c r="DP25" s="40">
        <f t="shared" si="39"/>
        <v>3.1160993560257584</v>
      </c>
      <c r="DQ25" s="40">
        <f t="shared" si="30"/>
        <v>1.7922033735159662E-4</v>
      </c>
    </row>
    <row r="26" spans="1:121">
      <c r="A26" s="321" t="s">
        <v>55</v>
      </c>
      <c r="K26" s="321" t="s">
        <v>55</v>
      </c>
      <c r="O26" s="376"/>
      <c r="P26" s="376"/>
      <c r="Q26" s="376"/>
      <c r="R26" s="376"/>
      <c r="S26" s="396">
        <f>NBIM!P25</f>
        <v>3.0902312267568233E-2</v>
      </c>
      <c r="T26" s="384"/>
      <c r="U26" s="173"/>
      <c r="V26" s="107"/>
      <c r="W26" s="204"/>
      <c r="X26" s="321">
        <v>7.0559000000000003</v>
      </c>
      <c r="Y26" s="321" t="s">
        <v>55</v>
      </c>
      <c r="Z26" s="40">
        <f>NBIM!AL25</f>
        <v>78.557000000000016</v>
      </c>
      <c r="AA26" s="40">
        <f>NBIM!AM25</f>
        <v>107.49700000000001</v>
      </c>
      <c r="AB26" s="40">
        <f t="shared" si="42"/>
        <v>186.05400000000003</v>
      </c>
      <c r="AC26" s="76"/>
      <c r="AD26" s="173">
        <f>NBIM!AQ25</f>
        <v>25.298000000000002</v>
      </c>
      <c r="AE26" s="321" t="s">
        <v>55</v>
      </c>
      <c r="AF26" s="40">
        <f t="shared" si="43"/>
        <v>11.133519465978829</v>
      </c>
      <c r="AG26" s="40">
        <f t="shared" si="40"/>
        <v>15.23505151717003</v>
      </c>
      <c r="AH26" s="40">
        <f t="shared" si="41"/>
        <v>26.368570983148857</v>
      </c>
      <c r="AI26" s="76"/>
      <c r="AJ26" s="382">
        <f t="shared" si="44"/>
        <v>3.5853682733598835</v>
      </c>
      <c r="AL26" s="321" t="s">
        <v>55</v>
      </c>
      <c r="AM26" s="91">
        <v>143856073787.17999</v>
      </c>
      <c r="AN26" s="92">
        <f t="shared" si="14"/>
        <v>1.7949733759615061E-2</v>
      </c>
      <c r="AO26" s="92">
        <f t="shared" si="15"/>
        <v>1.7790539462874136E-2</v>
      </c>
      <c r="AP26" s="401">
        <f>APG!B26</f>
        <v>1.8350570878345001E-2</v>
      </c>
      <c r="AQ26" s="129">
        <f t="shared" si="4"/>
        <v>1.0183505708783449</v>
      </c>
      <c r="AR26" s="405">
        <f t="shared" si="21"/>
        <v>3.2716804078982031E-2</v>
      </c>
      <c r="AS26" s="55"/>
      <c r="AT26" s="55"/>
      <c r="AU26" s="55"/>
      <c r="AV26" s="129"/>
      <c r="AW26" s="188"/>
      <c r="AX26" s="55"/>
      <c r="AY26" s="55"/>
      <c r="AZ26" s="55"/>
      <c r="BA26" s="55"/>
      <c r="BB26" s="55"/>
      <c r="BC26" s="92"/>
      <c r="BD26" s="92"/>
      <c r="BE26" s="92"/>
      <c r="BF26" s="92"/>
      <c r="BG26" s="58"/>
      <c r="BH26" s="92"/>
      <c r="BI26" s="92"/>
      <c r="BJ26" s="409">
        <f t="shared" si="26"/>
        <v>0.98608889373747577</v>
      </c>
      <c r="BK26" s="410">
        <v>0.85870099999999994</v>
      </c>
      <c r="BL26" s="103">
        <f t="shared" si="18"/>
        <v>167527548922.36063</v>
      </c>
      <c r="BM26" s="107">
        <f t="shared" si="27"/>
        <v>3.2310312208649217E-2</v>
      </c>
      <c r="BN26" s="107">
        <f t="shared" si="28"/>
        <v>3.1799311985815759E-2</v>
      </c>
      <c r="BO26" s="107"/>
      <c r="BP26" s="107"/>
      <c r="BQ26" s="107">
        <f>(BB15/BI15)-1</f>
        <v>-0.25394825131911503</v>
      </c>
      <c r="BR26" s="107"/>
      <c r="BS26" s="107"/>
      <c r="BT26" s="107"/>
      <c r="BU26" s="76"/>
      <c r="BV26" s="76"/>
      <c r="BW26" s="76"/>
      <c r="CA26" s="321" t="str">
        <f>CPPIB.!A22</f>
        <v>3Q2003/04</v>
      </c>
      <c r="CB26" s="50">
        <f>CPPIB.!B22</f>
        <v>27608.971000000001</v>
      </c>
      <c r="CC26" s="50">
        <f>CPPIB.!C22</f>
        <v>192.471</v>
      </c>
      <c r="CD26" s="40">
        <f>CPPIB.!D22</f>
        <v>27416.5</v>
      </c>
      <c r="CE26" s="40">
        <f>CPPIB.!E22</f>
        <v>28624.223999999998</v>
      </c>
      <c r="CF26" s="234">
        <f t="shared" si="45"/>
        <v>5.7558173274912416E-2</v>
      </c>
      <c r="CG26" s="107">
        <f t="shared" si="46"/>
        <v>5.5962640614333495E-2</v>
      </c>
      <c r="CH26" s="393">
        <f t="shared" si="47"/>
        <v>1.0559626406143334</v>
      </c>
      <c r="CI26" s="107"/>
      <c r="CJ26" s="107"/>
      <c r="CK26" s="383"/>
      <c r="CL26" s="107"/>
      <c r="CM26" s="107"/>
      <c r="CN26" s="410">
        <v>1.34945</v>
      </c>
      <c r="CO26" s="327" t="str">
        <f t="shared" si="0"/>
        <v>3Q2003/04</v>
      </c>
      <c r="CP26" s="187">
        <f t="shared" si="34"/>
        <v>20459.424950905926</v>
      </c>
      <c r="CQ26" s="187"/>
      <c r="CR26" s="187">
        <f t="shared" si="35"/>
        <v>142.62921931157138</v>
      </c>
      <c r="CS26" s="40">
        <f t="shared" si="36"/>
        <v>20316.795731594353</v>
      </c>
      <c r="CU26" s="40">
        <f t="shared" si="37"/>
        <v>21211.770721405013</v>
      </c>
      <c r="CW26" s="76">
        <f t="shared" si="48"/>
        <v>6.3240014772481867E-2</v>
      </c>
      <c r="CX26" s="420">
        <f t="shared" si="49"/>
        <v>6.3240014772481867E-2</v>
      </c>
      <c r="CY26" s="205"/>
      <c r="CZ26" s="205"/>
      <c r="DA26" s="205"/>
      <c r="DB26" s="107"/>
      <c r="DC26" s="205"/>
      <c r="DD26" s="205"/>
      <c r="DE26" s="421">
        <f t="shared" si="29"/>
        <v>0.99315547378104874</v>
      </c>
      <c r="DF26" s="321">
        <v>1.34945</v>
      </c>
      <c r="DG26" s="40">
        <f>CPPIB.!K22</f>
        <v>0.83699999999999997</v>
      </c>
      <c r="DH26" s="40">
        <v>0</v>
      </c>
      <c r="DI26" s="40">
        <f>CPPIB.!M22</f>
        <v>4.2969999999999997</v>
      </c>
      <c r="DJ26" s="40">
        <f t="shared" si="22"/>
        <v>5.1339999999999995</v>
      </c>
      <c r="DK26" s="40">
        <f t="shared" si="23"/>
        <v>1.8725949701821893E-4</v>
      </c>
      <c r="DL26" s="326" t="str">
        <f t="shared" si="1"/>
        <v>3Q2003/04</v>
      </c>
      <c r="DM26" s="40">
        <f t="shared" si="38"/>
        <v>0.62025269554262841</v>
      </c>
      <c r="DN26" s="40">
        <f t="shared" si="24"/>
        <v>0</v>
      </c>
      <c r="DO26" s="40">
        <f t="shared" si="25"/>
        <v>3.1842602541776275</v>
      </c>
      <c r="DP26" s="40">
        <f t="shared" si="39"/>
        <v>3.8045129497202561</v>
      </c>
      <c r="DQ26" s="40">
        <f t="shared" si="30"/>
        <v>1.8725949701821893E-4</v>
      </c>
    </row>
    <row r="27" spans="1:121">
      <c r="A27" s="321" t="s">
        <v>54</v>
      </c>
      <c r="K27" s="321" t="s">
        <v>54</v>
      </c>
      <c r="O27" s="376"/>
      <c r="P27" s="376"/>
      <c r="Q27" s="376"/>
      <c r="R27" s="376"/>
      <c r="S27" s="396">
        <f>NBIM!P26</f>
        <v>9.5111174528623721E-2</v>
      </c>
      <c r="T27" s="384"/>
      <c r="U27" s="173"/>
      <c r="V27" s="107"/>
      <c r="W27" s="204"/>
      <c r="X27" s="321">
        <v>6.6528000000000009</v>
      </c>
      <c r="Y27" s="321" t="s">
        <v>54</v>
      </c>
      <c r="Z27" s="40">
        <f>NBIM!AL26</f>
        <v>186.50799999999998</v>
      </c>
      <c r="AA27" s="40">
        <f>NBIM!AM26</f>
        <v>57.800999999999988</v>
      </c>
      <c r="AB27" s="40">
        <f t="shared" si="42"/>
        <v>244.30899999999997</v>
      </c>
      <c r="AC27" s="76"/>
      <c r="AD27" s="173">
        <f>NBIM!AQ26</f>
        <v>186.393</v>
      </c>
      <c r="AE27" s="321" t="s">
        <v>54</v>
      </c>
      <c r="AF27" s="40">
        <f t="shared" si="43"/>
        <v>28.034511784511778</v>
      </c>
      <c r="AG27" s="40">
        <f t="shared" si="40"/>
        <v>8.6882215007214985</v>
      </c>
      <c r="AH27" s="40">
        <f t="shared" si="41"/>
        <v>36.722733285233275</v>
      </c>
      <c r="AI27" s="76"/>
      <c r="AJ27" s="382">
        <f t="shared" si="44"/>
        <v>28.017225829725827</v>
      </c>
      <c r="AL27" s="321" t="s">
        <v>54</v>
      </c>
      <c r="AM27" s="91">
        <v>149953327164.31</v>
      </c>
      <c r="AN27" s="92">
        <f t="shared" si="14"/>
        <v>4.2384400022971835E-2</v>
      </c>
      <c r="AO27" s="92">
        <f t="shared" si="15"/>
        <v>4.1510781274239288E-2</v>
      </c>
      <c r="AP27" s="401">
        <f>APG!B27</f>
        <v>4.25109846642742E-2</v>
      </c>
      <c r="AQ27" s="129">
        <f t="shared" si="4"/>
        <v>1.0425109846642742</v>
      </c>
      <c r="AR27" s="405">
        <f t="shared" si="21"/>
        <v>0.12916762849970786</v>
      </c>
      <c r="AS27" s="55">
        <f>AR24+AR25+AR26+AR27</f>
        <v>0.30402085757776676</v>
      </c>
      <c r="AT27" s="55"/>
      <c r="AU27" s="55"/>
      <c r="AV27" s="129"/>
      <c r="AW27" s="188"/>
      <c r="AX27" s="55"/>
      <c r="AY27" s="55"/>
      <c r="AZ27" s="55"/>
      <c r="BA27" s="55"/>
      <c r="BB27" s="55"/>
      <c r="BC27" s="92"/>
      <c r="BD27" s="92"/>
      <c r="BE27" s="92"/>
      <c r="BF27" s="92"/>
      <c r="BG27" s="58"/>
      <c r="BH27" s="92"/>
      <c r="BI27" s="92"/>
      <c r="BJ27" s="409">
        <f t="shared" si="26"/>
        <v>0.9232561741514218</v>
      </c>
      <c r="BK27" s="410">
        <v>0.79280099999999998</v>
      </c>
      <c r="BL27" s="103">
        <f t="shared" si="18"/>
        <v>189143715969.46774</v>
      </c>
      <c r="BM27" s="107">
        <f t="shared" si="27"/>
        <v>0.12903052176287111</v>
      </c>
      <c r="BN27" s="107">
        <f t="shared" si="28"/>
        <v>0.12135931913591361</v>
      </c>
      <c r="BO27" s="107"/>
      <c r="BP27" s="107"/>
      <c r="BQ27" s="107"/>
      <c r="BR27" s="107"/>
      <c r="BS27" s="107"/>
      <c r="BT27" s="107"/>
      <c r="BU27" s="76"/>
      <c r="BV27" s="76"/>
      <c r="BW27" s="76"/>
      <c r="CA27" s="321" t="str">
        <f>CPPIB.!A23</f>
        <v>4Q2003/04</v>
      </c>
      <c r="CB27" s="50">
        <f>CPPIB.!B23</f>
        <v>31106.428</v>
      </c>
      <c r="CC27" s="50">
        <f>CPPIB.!C23</f>
        <v>164.38800000000001</v>
      </c>
      <c r="CD27" s="40">
        <f>CPPIB.!D23</f>
        <v>30942.04</v>
      </c>
      <c r="CE27" s="40">
        <f>CPPIB.!E23</f>
        <v>29358.31</v>
      </c>
      <c r="CF27" s="234">
        <f t="shared" si="45"/>
        <v>0.10181657031349722</v>
      </c>
      <c r="CG27" s="107">
        <f t="shared" si="46"/>
        <v>9.6960245254968325E-2</v>
      </c>
      <c r="CH27" s="393">
        <f t="shared" si="47"/>
        <v>1.0969602452549683</v>
      </c>
      <c r="CI27" s="107">
        <f>((CG27+1)*(CG26+1)*(CG25+1)*(CG24+1))-1</f>
        <v>0.18314692203956962</v>
      </c>
      <c r="CJ27" s="107"/>
      <c r="CK27" s="383"/>
      <c r="CL27" s="107"/>
      <c r="CM27" s="107"/>
      <c r="CN27" s="410">
        <v>1.2922500000000001</v>
      </c>
      <c r="CO27" s="327" t="str">
        <f t="shared" si="0"/>
        <v>4Q2003/04</v>
      </c>
      <c r="CP27" s="187">
        <f t="shared" si="34"/>
        <v>24071.524859740759</v>
      </c>
      <c r="CQ27" s="187">
        <f>CP27+CP26+CP25+CP24</f>
        <v>74395.342409500663</v>
      </c>
      <c r="CR27" s="187">
        <f t="shared" si="35"/>
        <v>127.21067904817178</v>
      </c>
      <c r="CS27" s="40">
        <f t="shared" si="36"/>
        <v>23944.314180692589</v>
      </c>
      <c r="CT27" s="40">
        <f>CS27+CS26+CS25+CS24</f>
        <v>73511.671446805194</v>
      </c>
      <c r="CU27" s="40">
        <f t="shared" si="37"/>
        <v>22718.754111046623</v>
      </c>
      <c r="CV27" s="40">
        <f>CU27+CU26+CU25+CU24</f>
        <v>77952.45211102262</v>
      </c>
      <c r="CW27" s="76">
        <f t="shared" si="48"/>
        <v>0.14551596282400214</v>
      </c>
      <c r="CX27" s="420">
        <f t="shared" si="49"/>
        <v>0.14551596282400214</v>
      </c>
      <c r="CY27" s="205"/>
      <c r="CZ27" s="205"/>
      <c r="DA27" s="205"/>
      <c r="DB27" s="107">
        <f>((CX39+1)*(CX38+1)*(CX37+1)*(CX36+1))-1</f>
        <v>0.15261002993067896</v>
      </c>
      <c r="DC27" s="205"/>
      <c r="DD27" s="205"/>
      <c r="DE27" s="421">
        <f t="shared" si="29"/>
        <v>0.95761236059135213</v>
      </c>
      <c r="DF27" s="321">
        <v>1.2922500000000001</v>
      </c>
      <c r="DG27" s="40">
        <f>CPPIB.!K23</f>
        <v>1.071</v>
      </c>
      <c r="DH27" s="40">
        <v>0</v>
      </c>
      <c r="DI27" s="40">
        <f>CPPIB.!M23</f>
        <v>4.0469999999999997</v>
      </c>
      <c r="DJ27" s="40">
        <f t="shared" si="22"/>
        <v>5.1179999999999994</v>
      </c>
      <c r="DK27" s="40">
        <f t="shared" si="23"/>
        <v>1.654060301130759E-4</v>
      </c>
      <c r="DL27" s="326" t="str">
        <f t="shared" si="1"/>
        <v>4Q2003/04</v>
      </c>
      <c r="DM27" s="40">
        <f t="shared" si="38"/>
        <v>0.82878699941961687</v>
      </c>
      <c r="DN27" s="40">
        <f t="shared" si="24"/>
        <v>0</v>
      </c>
      <c r="DO27" s="40">
        <f t="shared" si="25"/>
        <v>3.1317469529889723</v>
      </c>
      <c r="DP27" s="40">
        <f t="shared" si="39"/>
        <v>3.9605339524085892</v>
      </c>
      <c r="DQ27" s="40">
        <f t="shared" si="30"/>
        <v>1.6540603011307593E-4</v>
      </c>
    </row>
    <row r="28" spans="1:121">
      <c r="A28" s="321" t="s">
        <v>53</v>
      </c>
      <c r="K28" s="321" t="s">
        <v>53</v>
      </c>
      <c r="O28" s="376"/>
      <c r="P28" s="376"/>
      <c r="Q28" s="376"/>
      <c r="R28" s="376"/>
      <c r="S28" s="396">
        <f>NBIM!P27</f>
        <v>2.4189732235217587E-2</v>
      </c>
      <c r="T28" s="384"/>
      <c r="U28" s="173"/>
      <c r="V28" s="107"/>
      <c r="W28" s="204"/>
      <c r="X28" s="321">
        <v>6.8658500000000009</v>
      </c>
      <c r="Y28" s="321" t="s">
        <v>53</v>
      </c>
      <c r="Z28" s="40">
        <f>NBIM!AL27</f>
        <v>117.9</v>
      </c>
      <c r="AA28" s="40">
        <f>NBIM!AM27</f>
        <v>72.37299999999999</v>
      </c>
      <c r="AB28" s="40">
        <f t="shared" si="42"/>
        <v>190.273</v>
      </c>
      <c r="AC28" s="76"/>
      <c r="AD28" s="173">
        <f>NBIM!AQ27</f>
        <v>27.236000000000001</v>
      </c>
      <c r="AE28" s="321" t="s">
        <v>53</v>
      </c>
      <c r="AF28" s="40">
        <f t="shared" si="43"/>
        <v>17.171945207075598</v>
      </c>
      <c r="AG28" s="40">
        <f t="shared" si="40"/>
        <v>10.541010945476522</v>
      </c>
      <c r="AH28" s="40">
        <f t="shared" si="41"/>
        <v>27.71295615255212</v>
      </c>
      <c r="AI28" s="76"/>
      <c r="AJ28" s="382">
        <f t="shared" si="44"/>
        <v>3.9668795560637062</v>
      </c>
      <c r="AL28" s="321" t="s">
        <v>53</v>
      </c>
      <c r="AM28" s="91">
        <v>156184269594.20999</v>
      </c>
      <c r="AN28" s="92">
        <f t="shared" si="14"/>
        <v>4.1552545366815963E-2</v>
      </c>
      <c r="AO28" s="92">
        <f t="shared" si="15"/>
        <v>4.0712432070652463E-2</v>
      </c>
      <c r="AP28" s="401">
        <f>APG!B28</f>
        <v>4.2523243235378497E-2</v>
      </c>
      <c r="AQ28" s="129">
        <f t="shared" si="4"/>
        <v>1.0425232432353786</v>
      </c>
      <c r="AR28" s="405">
        <f t="shared" si="21"/>
        <v>1.5702229912712973E-2</v>
      </c>
      <c r="AS28" s="55"/>
      <c r="AT28" s="55"/>
      <c r="AU28" s="55"/>
      <c r="AV28" s="129"/>
      <c r="AW28" s="188"/>
      <c r="AX28" s="55"/>
      <c r="AY28" s="55"/>
      <c r="AZ28" s="55"/>
      <c r="BA28" s="55"/>
      <c r="BB28" s="55"/>
      <c r="BC28" s="92"/>
      <c r="BD28" s="92"/>
      <c r="BE28" s="92"/>
      <c r="BF28" s="92"/>
      <c r="BG28" s="58"/>
      <c r="BH28" s="92"/>
      <c r="BI28" s="92"/>
      <c r="BJ28" s="409">
        <f t="shared" si="26"/>
        <v>1.0264063743612837</v>
      </c>
      <c r="BK28" s="410">
        <v>0.81373600000000001</v>
      </c>
      <c r="BL28" s="103">
        <f t="shared" si="18"/>
        <v>191934816198.63199</v>
      </c>
      <c r="BM28" s="107">
        <f t="shared" si="27"/>
        <v>1.4756505204829518E-2</v>
      </c>
      <c r="BN28" s="107">
        <f t="shared" si="28"/>
        <v>1.4648687364096784E-2</v>
      </c>
      <c r="BO28" s="107"/>
      <c r="BP28" s="107"/>
      <c r="BQ28" s="107"/>
      <c r="BR28" s="107"/>
      <c r="BS28" s="107"/>
      <c r="BT28" s="107"/>
      <c r="BU28" s="76"/>
      <c r="BV28" s="76"/>
      <c r="BW28" s="76"/>
      <c r="CA28" s="321" t="str">
        <f>CPPIB.!A24</f>
        <v>1Q2004/04</v>
      </c>
      <c r="CB28" s="50">
        <f>CPPIB.!B24</f>
        <v>33110.286</v>
      </c>
      <c r="CC28" s="50">
        <f>CPPIB.!C24</f>
        <v>314.94</v>
      </c>
      <c r="CD28" s="40">
        <f>CPPIB.!D24</f>
        <v>32795.345999999998</v>
      </c>
      <c r="CE28" s="40">
        <f>CPPIB.!E24</f>
        <v>29824.555</v>
      </c>
      <c r="CF28" s="234">
        <f t="shared" si="45"/>
        <v>4.4827716595285727E-2</v>
      </c>
      <c r="CG28" s="107">
        <f t="shared" si="46"/>
        <v>4.3852007323009499E-2</v>
      </c>
      <c r="CH28" s="393">
        <f t="shared" si="47"/>
        <v>1.0438520073230095</v>
      </c>
      <c r="CI28" s="107"/>
      <c r="CJ28" s="107"/>
      <c r="CK28" s="383"/>
      <c r="CL28" s="107"/>
      <c r="CM28" s="107"/>
      <c r="CN28" s="410">
        <v>1.3142500000000001</v>
      </c>
      <c r="CO28" s="327" t="str">
        <f t="shared" si="0"/>
        <v>1Q2004/04</v>
      </c>
      <c r="CP28" s="187">
        <f t="shared" si="34"/>
        <v>25193.293513410688</v>
      </c>
      <c r="CQ28" s="187"/>
      <c r="CR28" s="187">
        <f t="shared" si="35"/>
        <v>239.63477268404031</v>
      </c>
      <c r="CS28" s="40">
        <f t="shared" si="36"/>
        <v>24953.658740726645</v>
      </c>
      <c r="CU28" s="40">
        <f t="shared" si="37"/>
        <v>22693.212859045081</v>
      </c>
      <c r="CW28" s="76">
        <f t="shared" si="48"/>
        <v>2.637835759038154E-2</v>
      </c>
      <c r="CX28" s="420">
        <f t="shared" si="49"/>
        <v>2.637835759038154E-2</v>
      </c>
      <c r="CY28" s="205">
        <f>((CX25+1)*(1+CX26)*(1+CX27)*(1+CX28))-1</f>
        <v>0.47709401119080197</v>
      </c>
      <c r="CZ28" s="205"/>
      <c r="DA28" s="205"/>
      <c r="DB28" s="107"/>
      <c r="DC28" s="205"/>
      <c r="DD28" s="205"/>
      <c r="DE28" s="421">
        <f t="shared" si="29"/>
        <v>1.0170245695492359</v>
      </c>
      <c r="DF28" s="321">
        <v>1.3142500000000001</v>
      </c>
      <c r="DG28" s="40">
        <f>CPPIB.!K24</f>
        <v>2.726</v>
      </c>
      <c r="DH28" s="40">
        <v>0</v>
      </c>
      <c r="DI28" s="40">
        <f>CPPIB.!M24</f>
        <v>6.828000000000003</v>
      </c>
      <c r="DJ28" s="40">
        <f t="shared" si="22"/>
        <v>9.554000000000002</v>
      </c>
      <c r="DK28" s="40">
        <f t="shared" si="23"/>
        <v>2.9132182352947284E-4</v>
      </c>
      <c r="DL28" s="326" t="str">
        <f t="shared" si="1"/>
        <v>1Q2004/04</v>
      </c>
      <c r="DM28" s="40">
        <f t="shared" si="38"/>
        <v>2.0741867985543081</v>
      </c>
      <c r="DN28" s="40">
        <f t="shared" si="24"/>
        <v>0</v>
      </c>
      <c r="DO28" s="40">
        <f t="shared" si="25"/>
        <v>5.1953585695263476</v>
      </c>
      <c r="DP28" s="40">
        <f t="shared" si="39"/>
        <v>7.2695453680806557</v>
      </c>
      <c r="DQ28" s="40">
        <f t="shared" si="30"/>
        <v>2.9132182352947284E-4</v>
      </c>
    </row>
    <row r="29" spans="1:121">
      <c r="A29" s="321" t="s">
        <v>52</v>
      </c>
      <c r="K29" s="321" t="s">
        <v>52</v>
      </c>
      <c r="O29" s="376"/>
      <c r="P29" s="376"/>
      <c r="Q29" s="376"/>
      <c r="R29" s="376"/>
      <c r="S29" s="396">
        <f>NBIM!P28</f>
        <v>-1.2056496529350924E-2</v>
      </c>
      <c r="T29" s="384"/>
      <c r="U29" s="173"/>
      <c r="V29" s="107"/>
      <c r="W29" s="204"/>
      <c r="X29" s="321">
        <v>6.9315000000000007</v>
      </c>
      <c r="Y29" s="321" t="s">
        <v>52</v>
      </c>
      <c r="Z29" s="40">
        <f>NBIM!AL28</f>
        <v>159.84</v>
      </c>
      <c r="AA29" s="40">
        <f>NBIM!AM28</f>
        <v>98.010000000000019</v>
      </c>
      <c r="AB29" s="40">
        <f t="shared" si="42"/>
        <v>257.85000000000002</v>
      </c>
      <c r="AC29" s="76"/>
      <c r="AD29" s="173">
        <f>NBIM!AQ28</f>
        <v>55.679999999999993</v>
      </c>
      <c r="AE29" s="321" t="s">
        <v>52</v>
      </c>
      <c r="AF29" s="40">
        <f t="shared" si="43"/>
        <v>23.059943735122268</v>
      </c>
      <c r="AG29" s="40">
        <f t="shared" si="40"/>
        <v>14.139796580826662</v>
      </c>
      <c r="AH29" s="40">
        <f t="shared" si="41"/>
        <v>37.199740315948929</v>
      </c>
      <c r="AI29" s="76"/>
      <c r="AJ29" s="382">
        <f t="shared" si="44"/>
        <v>8.0328933131356823</v>
      </c>
      <c r="AL29" s="321" t="s">
        <v>52</v>
      </c>
      <c r="AM29" s="91">
        <v>156021498567.38</v>
      </c>
      <c r="AN29" s="92">
        <f t="shared" si="14"/>
        <v>-1.0421729874134922E-3</v>
      </c>
      <c r="AO29" s="92">
        <f t="shared" si="15"/>
        <v>-1.0427164272863861E-3</v>
      </c>
      <c r="AP29" s="401">
        <f>APG!B29</f>
        <v>-2.9652538386926801E-3</v>
      </c>
      <c r="AQ29" s="129">
        <f t="shared" si="4"/>
        <v>0.99703474616130727</v>
      </c>
      <c r="AR29" s="405">
        <f t="shared" si="21"/>
        <v>-1.2903710414989944E-2</v>
      </c>
      <c r="AS29" s="55"/>
      <c r="AT29" s="55"/>
      <c r="AU29" s="55"/>
      <c r="AV29" s="129"/>
      <c r="AW29" s="188"/>
      <c r="AX29" s="55"/>
      <c r="AY29" s="55"/>
      <c r="AZ29" s="55"/>
      <c r="BA29" s="55"/>
      <c r="BB29" s="55"/>
      <c r="BC29" s="92"/>
      <c r="BD29" s="92"/>
      <c r="BE29" s="92"/>
      <c r="BF29" s="92"/>
      <c r="BG29" s="58"/>
      <c r="BH29" s="92"/>
      <c r="BI29" s="92"/>
      <c r="BJ29" s="409">
        <f t="shared" si="26"/>
        <v>1.0100683759843485</v>
      </c>
      <c r="BK29" s="410">
        <v>0.82192899999999991</v>
      </c>
      <c r="BL29" s="103">
        <f t="shared" si="18"/>
        <v>189823571826.00934</v>
      </c>
      <c r="BM29" s="107">
        <f t="shared" si="27"/>
        <v>-1.0999798861076604E-2</v>
      </c>
      <c r="BN29" s="107">
        <f t="shared" si="28"/>
        <v>-1.1060743983385562E-2</v>
      </c>
      <c r="BO29" s="107"/>
      <c r="BP29" s="107"/>
      <c r="BQ29" s="107"/>
      <c r="BR29" s="107"/>
      <c r="BS29" s="107"/>
      <c r="BT29" s="107"/>
      <c r="BU29" s="76"/>
      <c r="BV29" s="76"/>
      <c r="BW29" s="76"/>
      <c r="CA29" s="321" t="str">
        <f>CPPIB.!A25</f>
        <v>2Q2004/05</v>
      </c>
      <c r="CB29" s="50">
        <f>CPPIB.!B25</f>
        <v>38804.250999999997</v>
      </c>
      <c r="CC29" s="50">
        <f>CPPIB.!C25</f>
        <v>201.05600000000001</v>
      </c>
      <c r="CD29" s="40">
        <f>CPPIB.!D25</f>
        <v>38603.195</v>
      </c>
      <c r="CE29" s="40">
        <f>CPPIB.!E25</f>
        <v>35377.953999999998</v>
      </c>
      <c r="CF29" s="234">
        <f t="shared" si="45"/>
        <v>7.7587228382955953E-3</v>
      </c>
      <c r="CG29" s="107">
        <f t="shared" si="46"/>
        <v>7.7287787338624321E-3</v>
      </c>
      <c r="CH29" s="393">
        <f t="shared" si="47"/>
        <v>1.0077287787338625</v>
      </c>
      <c r="CI29" s="107"/>
      <c r="CJ29" s="107"/>
      <c r="CK29" s="383"/>
      <c r="CL29" s="107"/>
      <c r="CM29" s="107"/>
      <c r="CN29" s="410">
        <v>1.3407500000000001</v>
      </c>
      <c r="CO29" s="327" t="str">
        <f t="shared" si="0"/>
        <v>2Q2004/05</v>
      </c>
      <c r="CP29" s="187">
        <f t="shared" si="34"/>
        <v>28942.197277643107</v>
      </c>
      <c r="CQ29" s="187"/>
      <c r="CR29" s="187">
        <f t="shared" si="35"/>
        <v>149.95785940704829</v>
      </c>
      <c r="CS29" s="40">
        <f t="shared" si="36"/>
        <v>28792.239418236059</v>
      </c>
      <c r="CU29" s="40">
        <f t="shared" si="37"/>
        <v>26386.68953943688</v>
      </c>
      <c r="CW29" s="76">
        <f t="shared" si="48"/>
        <v>-1.2189037888511112E-2</v>
      </c>
      <c r="CX29" s="420">
        <f t="shared" si="49"/>
        <v>-1.2189037888511112E-2</v>
      </c>
      <c r="CY29" s="205"/>
      <c r="CZ29" s="205"/>
      <c r="DA29" s="205"/>
      <c r="DB29" s="107"/>
      <c r="DC29" s="205"/>
      <c r="DD29" s="205"/>
      <c r="DE29" s="421">
        <f t="shared" si="29"/>
        <v>1.0201635914019402</v>
      </c>
      <c r="DF29" s="321">
        <v>1.3407500000000001</v>
      </c>
      <c r="DG29" s="40">
        <f>CPPIB.!K25</f>
        <v>1.589</v>
      </c>
      <c r="DH29" s="40">
        <v>0</v>
      </c>
      <c r="DI29" s="40">
        <f>CPPIB.!M25</f>
        <v>6.4160000000000004</v>
      </c>
      <c r="DJ29" s="40">
        <f t="shared" si="22"/>
        <v>8.0050000000000008</v>
      </c>
      <c r="DK29" s="40">
        <f t="shared" si="23"/>
        <v>2.0736625556511582E-4</v>
      </c>
      <c r="DL29" s="326" t="str">
        <f t="shared" si="1"/>
        <v>2Q2004/05</v>
      </c>
      <c r="DM29" s="40">
        <f t="shared" si="38"/>
        <v>1.185157561066567</v>
      </c>
      <c r="DN29" s="40">
        <f t="shared" si="24"/>
        <v>0</v>
      </c>
      <c r="DO29" s="40">
        <f t="shared" si="25"/>
        <v>4.7853813164273724</v>
      </c>
      <c r="DP29" s="40">
        <f t="shared" si="39"/>
        <v>5.9705388774939392</v>
      </c>
      <c r="DQ29" s="40">
        <f t="shared" si="30"/>
        <v>2.0736625556511579E-4</v>
      </c>
    </row>
    <row r="30" spans="1:121">
      <c r="A30" s="321" t="s">
        <v>51</v>
      </c>
      <c r="K30" s="321" t="s">
        <v>51</v>
      </c>
      <c r="O30" s="376"/>
      <c r="P30" s="376"/>
      <c r="Q30" s="376"/>
      <c r="R30" s="376"/>
      <c r="S30" s="396">
        <f>NBIM!P29</f>
        <v>2.298277123658643E-2</v>
      </c>
      <c r="T30" s="384"/>
      <c r="U30" s="173"/>
      <c r="V30" s="107"/>
      <c r="W30" s="204"/>
      <c r="X30" s="321">
        <v>6.7315000000000005</v>
      </c>
      <c r="Y30" s="321" t="s">
        <v>51</v>
      </c>
      <c r="Z30" s="40">
        <f>NBIM!AL29</f>
        <v>118.70299999999997</v>
      </c>
      <c r="AA30" s="40">
        <f>NBIM!AM29</f>
        <v>100.54000000000002</v>
      </c>
      <c r="AB30" s="40">
        <f t="shared" si="42"/>
        <v>219.24299999999999</v>
      </c>
      <c r="AC30" s="76"/>
      <c r="AD30" s="173">
        <f>NBIM!AQ29</f>
        <v>65.456999999999994</v>
      </c>
      <c r="AE30" s="321" t="s">
        <v>51</v>
      </c>
      <c r="AF30" s="40">
        <f t="shared" si="43"/>
        <v>17.633959741513774</v>
      </c>
      <c r="AG30" s="40">
        <f t="shared" si="40"/>
        <v>14.93574983287529</v>
      </c>
      <c r="AH30" s="40">
        <f t="shared" si="41"/>
        <v>32.569709574389066</v>
      </c>
      <c r="AI30" s="76"/>
      <c r="AJ30" s="382">
        <f t="shared" si="44"/>
        <v>9.7239842531382283</v>
      </c>
      <c r="AL30" s="321" t="s">
        <v>51</v>
      </c>
      <c r="AM30" s="91">
        <v>159430380371.82999</v>
      </c>
      <c r="AN30" s="92">
        <f t="shared" si="14"/>
        <v>2.1848795427239276E-2</v>
      </c>
      <c r="AO30" s="92">
        <f t="shared" si="15"/>
        <v>2.1613531156074187E-2</v>
      </c>
      <c r="AP30" s="401">
        <f>APG!B30</f>
        <v>2.1071140395562699E-2</v>
      </c>
      <c r="AQ30" s="129">
        <f t="shared" si="4"/>
        <v>1.0210711403955628</v>
      </c>
      <c r="AR30" s="405">
        <f t="shared" si="21"/>
        <v>4.2345965740901992E-2</v>
      </c>
      <c r="AS30" s="55"/>
      <c r="AT30" s="55"/>
      <c r="AU30" s="55"/>
      <c r="AV30" s="129"/>
      <c r="AW30" s="188"/>
      <c r="AX30" s="55"/>
      <c r="AY30" s="55"/>
      <c r="AZ30" s="55"/>
      <c r="BA30" s="55"/>
      <c r="BB30" s="55"/>
      <c r="BC30" s="92"/>
      <c r="BD30" s="92"/>
      <c r="BE30" s="92"/>
      <c r="BF30" s="92"/>
      <c r="BG30" s="58"/>
      <c r="BH30" s="92"/>
      <c r="BI30" s="92"/>
      <c r="BJ30" s="409">
        <f t="shared" si="26"/>
        <v>0.97958947792327578</v>
      </c>
      <c r="BK30" s="410">
        <v>0.80515300000000001</v>
      </c>
      <c r="BL30" s="103">
        <f t="shared" si="18"/>
        <v>198012527273.48712</v>
      </c>
      <c r="BM30" s="107">
        <f t="shared" si="27"/>
        <v>4.3139823830644852E-2</v>
      </c>
      <c r="BN30" s="107">
        <f t="shared" si="28"/>
        <v>4.223522631503162E-2</v>
      </c>
      <c r="BO30" s="107"/>
      <c r="BP30" s="107"/>
      <c r="BQ30" s="107"/>
      <c r="BR30" s="107"/>
      <c r="BS30" s="107"/>
      <c r="BT30" s="107"/>
      <c r="BU30" s="76"/>
      <c r="BV30" s="76"/>
      <c r="BW30" s="76"/>
      <c r="CA30" s="321" t="str">
        <f>CPPIB.!A26</f>
        <v>3Q2004/05</v>
      </c>
      <c r="CB30" s="50">
        <f>CPPIB.!B26</f>
        <v>44437.275999999998</v>
      </c>
      <c r="CC30" s="50">
        <f>CPPIB.!C26</f>
        <v>221.79400000000001</v>
      </c>
      <c r="CD30" s="40">
        <f>CPPIB.!D26</f>
        <v>44215.481999999996</v>
      </c>
      <c r="CE30" s="40">
        <f>CPPIB.!E26</f>
        <v>40826.311000000002</v>
      </c>
      <c r="CF30" s="234">
        <f t="shared" si="45"/>
        <v>4.246539697037921E-3</v>
      </c>
      <c r="CG30" s="107">
        <f t="shared" si="46"/>
        <v>4.2375485924065264E-3</v>
      </c>
      <c r="CH30" s="393">
        <f t="shared" si="47"/>
        <v>1.0042375485924064</v>
      </c>
      <c r="CI30" s="107"/>
      <c r="CJ30" s="107"/>
      <c r="CK30" s="383"/>
      <c r="CL30" s="107"/>
      <c r="CM30" s="107"/>
      <c r="CN30" s="410">
        <v>1.2655500000000002</v>
      </c>
      <c r="CO30" s="327" t="str">
        <f t="shared" si="0"/>
        <v>3Q2004/05</v>
      </c>
      <c r="CP30" s="187">
        <f t="shared" si="34"/>
        <v>35113.014894709806</v>
      </c>
      <c r="CQ30" s="187"/>
      <c r="CR30" s="187">
        <f t="shared" si="35"/>
        <v>175.25502745841726</v>
      </c>
      <c r="CS30" s="40">
        <f t="shared" si="36"/>
        <v>34937.759867251385</v>
      </c>
      <c r="CU30" s="40">
        <f t="shared" si="37"/>
        <v>32259.737663466472</v>
      </c>
      <c r="CW30" s="76">
        <f t="shared" si="48"/>
        <v>6.3910152325288516E-2</v>
      </c>
      <c r="CX30" s="420">
        <f t="shared" si="49"/>
        <v>6.3910152325288516E-2</v>
      </c>
      <c r="CY30" s="205"/>
      <c r="CZ30" s="205"/>
      <c r="DA30" s="205"/>
      <c r="DB30" s="107"/>
      <c r="DC30" s="205"/>
      <c r="DD30" s="205"/>
      <c r="DE30" s="421">
        <f t="shared" si="29"/>
        <v>0.9439119895580832</v>
      </c>
      <c r="DF30" s="321">
        <v>1.2655500000000002</v>
      </c>
      <c r="DG30" s="40">
        <f>CPPIB.!K26</f>
        <v>2.8959999999999999</v>
      </c>
      <c r="DH30" s="40">
        <v>0</v>
      </c>
      <c r="DI30" s="40">
        <f>CPPIB.!M26</f>
        <v>7.415</v>
      </c>
      <c r="DJ30" s="40">
        <f t="shared" si="22"/>
        <v>10.311</v>
      </c>
      <c r="DK30" s="40">
        <f t="shared" si="23"/>
        <v>2.3319886007349192E-4</v>
      </c>
      <c r="DL30" s="326" t="str">
        <f t="shared" si="1"/>
        <v>3Q2004/05</v>
      </c>
      <c r="DM30" s="40">
        <f t="shared" si="38"/>
        <v>2.2883331357907624</v>
      </c>
      <c r="DN30" s="40">
        <f t="shared" si="24"/>
        <v>0</v>
      </c>
      <c r="DO30" s="40">
        <f t="shared" si="25"/>
        <v>5.859112638773655</v>
      </c>
      <c r="DP30" s="40">
        <f t="shared" si="39"/>
        <v>8.1474457745644173</v>
      </c>
      <c r="DQ30" s="40">
        <f t="shared" si="30"/>
        <v>2.3319886007349192E-4</v>
      </c>
    </row>
    <row r="31" spans="1:121">
      <c r="A31" s="321" t="s">
        <v>50</v>
      </c>
      <c r="K31" s="321" t="s">
        <v>50</v>
      </c>
      <c r="O31" s="376"/>
      <c r="P31" s="376"/>
      <c r="Q31" s="376"/>
      <c r="R31" s="376"/>
      <c r="S31" s="396">
        <f>NBIM!P30</f>
        <v>0.1029058136070462</v>
      </c>
      <c r="T31" s="384"/>
      <c r="U31" s="173"/>
      <c r="V31" s="107"/>
      <c r="W31" s="204"/>
      <c r="X31" s="321">
        <v>6.0566500000000003</v>
      </c>
      <c r="Y31" s="321" t="s">
        <v>50</v>
      </c>
      <c r="Z31" s="40">
        <f>NBIM!AL30</f>
        <v>214.79300000000001</v>
      </c>
      <c r="AA31" s="40">
        <f>NBIM!AM30</f>
        <v>101.97699999999998</v>
      </c>
      <c r="AB31" s="40">
        <f t="shared" si="42"/>
        <v>316.77</v>
      </c>
      <c r="AC31" s="76"/>
      <c r="AD31" s="173">
        <f>NBIM!AQ30</f>
        <v>-58.920999999999992</v>
      </c>
      <c r="AE31" s="321" t="s">
        <v>50</v>
      </c>
      <c r="AF31" s="40">
        <f t="shared" si="43"/>
        <v>35.463994122163243</v>
      </c>
      <c r="AG31" s="40">
        <f t="shared" si="40"/>
        <v>16.837195479349141</v>
      </c>
      <c r="AH31" s="40">
        <f t="shared" si="41"/>
        <v>52.301189601512384</v>
      </c>
      <c r="AI31" s="76"/>
      <c r="AJ31" s="382">
        <f t="shared" si="44"/>
        <v>-9.7283151577191997</v>
      </c>
      <c r="AL31" s="321" t="s">
        <v>50</v>
      </c>
      <c r="AM31" s="91">
        <v>167315560359.25</v>
      </c>
      <c r="AN31" s="92">
        <f t="shared" si="14"/>
        <v>4.9458453081714371E-2</v>
      </c>
      <c r="AO31" s="92">
        <f t="shared" si="15"/>
        <v>4.8274272150229121E-2</v>
      </c>
      <c r="AP31" s="401">
        <f>APG!B31</f>
        <v>4.8021952792462901E-2</v>
      </c>
      <c r="AQ31" s="129">
        <f t="shared" si="4"/>
        <v>1.0480219527924628</v>
      </c>
      <c r="AR31" s="405">
        <f t="shared" si="21"/>
        <v>0.14695938474474612</v>
      </c>
      <c r="AS31" s="55">
        <f>AR28+AR29+AR30+AR31</f>
        <v>0.19210386998337114</v>
      </c>
      <c r="AT31" s="55"/>
      <c r="AU31" s="55"/>
      <c r="AV31" s="129"/>
      <c r="AW31" s="188"/>
      <c r="AX31" s="55"/>
      <c r="AY31" s="55"/>
      <c r="AZ31" s="55"/>
      <c r="BA31" s="55"/>
      <c r="BB31" s="55"/>
      <c r="BC31" s="92"/>
      <c r="BD31" s="92"/>
      <c r="BE31" s="92"/>
      <c r="BF31" s="92"/>
      <c r="BG31" s="58"/>
      <c r="BH31" s="92"/>
      <c r="BI31" s="92"/>
      <c r="BJ31" s="409">
        <f t="shared" si="26"/>
        <v>0.91373937624277624</v>
      </c>
      <c r="BK31" s="410">
        <v>0.73570000000000002</v>
      </c>
      <c r="BL31" s="103">
        <f t="shared" si="18"/>
        <v>227423624247.99509</v>
      </c>
      <c r="BM31" s="107">
        <f t="shared" si="27"/>
        <v>0.14853149636278573</v>
      </c>
      <c r="BN31" s="107">
        <f t="shared" si="28"/>
        <v>0.13848416668285993</v>
      </c>
      <c r="BO31" s="107"/>
      <c r="BP31" s="107"/>
      <c r="BQ31" s="107"/>
      <c r="BR31" s="107"/>
      <c r="BS31" s="107"/>
      <c r="BT31" s="107"/>
      <c r="BU31" s="76"/>
      <c r="BV31" s="76"/>
      <c r="BW31" s="76"/>
      <c r="CA31" s="321" t="str">
        <f>CPPIB.!A27</f>
        <v>4Q2004/05</v>
      </c>
      <c r="CB31" s="50">
        <f>CPPIB.!B27</f>
        <v>50883.940999999999</v>
      </c>
      <c r="CC31" s="50">
        <f>CPPIB.!C27</f>
        <v>302.791</v>
      </c>
      <c r="CD31" s="40">
        <f>CPPIB.!D27</f>
        <v>50581.15</v>
      </c>
      <c r="CE31" s="40">
        <f>CPPIB.!E27</f>
        <v>44048.688000000002</v>
      </c>
      <c r="CF31" s="234">
        <f t="shared" si="45"/>
        <v>7.1090280096912872E-2</v>
      </c>
      <c r="CG31" s="107">
        <f t="shared" si="46"/>
        <v>6.8677083054817983E-2</v>
      </c>
      <c r="CH31" s="393">
        <f t="shared" si="47"/>
        <v>1.068677083054818</v>
      </c>
      <c r="CI31" s="107">
        <f>((CG31+1)*(CG30+1)*(CG29+1)*(CG28+1))-1</f>
        <v>0.12892617886637825</v>
      </c>
      <c r="CJ31" s="107"/>
      <c r="CK31" s="383"/>
      <c r="CL31" s="107"/>
      <c r="CM31" s="107"/>
      <c r="CN31" s="410">
        <v>1.19815</v>
      </c>
      <c r="CO31" s="327" t="str">
        <f t="shared" si="0"/>
        <v>4Q2004/05</v>
      </c>
      <c r="CP31" s="187">
        <f t="shared" si="34"/>
        <v>42468.756833451567</v>
      </c>
      <c r="CQ31" s="187">
        <f>CP31+CP30+CP29+CP28</f>
        <v>131717.26251921518</v>
      </c>
      <c r="CR31" s="187">
        <f t="shared" si="35"/>
        <v>252.7154362976255</v>
      </c>
      <c r="CS31" s="40">
        <f t="shared" si="36"/>
        <v>42216.041397153946</v>
      </c>
      <c r="CT31" s="40">
        <f>CS31+CS30+CS29+CS28</f>
        <v>130899.69942336805</v>
      </c>
      <c r="CU31" s="40">
        <f t="shared" si="37"/>
        <v>36763.917706464134</v>
      </c>
      <c r="CV31" s="40">
        <f>CU31+CU30+CU29+CU28</f>
        <v>118103.55776841257</v>
      </c>
      <c r="CW31" s="76">
        <f t="shared" si="48"/>
        <v>0.12879379248009437</v>
      </c>
      <c r="CX31" s="420">
        <f t="shared" si="49"/>
        <v>0.12879379248009437</v>
      </c>
      <c r="CY31" s="205"/>
      <c r="CZ31" s="205"/>
      <c r="DA31" s="205"/>
      <c r="DB31" s="107">
        <f>((CX43+1)*(CX42+1)*(CX41+1)*(CX40+1))-1</f>
        <v>0.21301464748413879</v>
      </c>
      <c r="DC31" s="205"/>
      <c r="DD31" s="205"/>
      <c r="DE31" s="421">
        <f t="shared" si="29"/>
        <v>0.94674252301370931</v>
      </c>
      <c r="DF31" s="321">
        <v>1.19815</v>
      </c>
      <c r="DG31" s="40">
        <f>CPPIB.!K27</f>
        <v>6.4370000000000003</v>
      </c>
      <c r="DH31" s="40">
        <v>0</v>
      </c>
      <c r="DI31" s="40">
        <f>CPPIB.!M27</f>
        <v>9.2910000000000004</v>
      </c>
      <c r="DJ31" s="40">
        <f t="shared" si="22"/>
        <v>15.728000000000002</v>
      </c>
      <c r="DK31" s="40">
        <f t="shared" si="23"/>
        <v>3.1094587608229549E-4</v>
      </c>
      <c r="DL31" s="326" t="str">
        <f t="shared" si="1"/>
        <v>4Q2004/05</v>
      </c>
      <c r="DM31" s="40">
        <f t="shared" si="38"/>
        <v>5.3724491925051119</v>
      </c>
      <c r="DN31" s="40">
        <f t="shared" si="24"/>
        <v>0</v>
      </c>
      <c r="DO31" s="40">
        <f t="shared" si="25"/>
        <v>7.7544547844593747</v>
      </c>
      <c r="DP31" s="40">
        <f t="shared" si="39"/>
        <v>13.126903976964487</v>
      </c>
      <c r="DQ31" s="40">
        <f t="shared" si="30"/>
        <v>3.1094587608229549E-4</v>
      </c>
    </row>
    <row r="32" spans="1:121">
      <c r="A32" s="321" t="s">
        <v>6</v>
      </c>
      <c r="K32" s="321" t="s">
        <v>6</v>
      </c>
      <c r="O32" s="376"/>
      <c r="P32" s="376"/>
      <c r="Q32" s="376"/>
      <c r="R32" s="376"/>
      <c r="S32" s="396">
        <f>NBIM!P31</f>
        <v>-1.4334479444104931E-2</v>
      </c>
      <c r="T32" s="384"/>
      <c r="U32" s="173"/>
      <c r="V32" s="107"/>
      <c r="W32" s="204"/>
      <c r="X32" s="321">
        <v>6.3144000000000009</v>
      </c>
      <c r="Y32" s="321" t="s">
        <v>6</v>
      </c>
      <c r="Z32" s="40">
        <f>NBIM!AL31</f>
        <v>171.69900000000001</v>
      </c>
      <c r="AA32" s="40">
        <f>NBIM!AM31</f>
        <v>106.66399999999999</v>
      </c>
      <c r="AB32" s="40">
        <f t="shared" si="42"/>
        <v>278.363</v>
      </c>
      <c r="AC32" s="76"/>
      <c r="AD32" s="173">
        <f>NBIM!AQ31</f>
        <v>63.677999999999997</v>
      </c>
      <c r="AE32" s="321" t="s">
        <v>6</v>
      </c>
      <c r="AF32" s="40">
        <f t="shared" si="43"/>
        <v>27.191657164576206</v>
      </c>
      <c r="AG32" s="40">
        <f t="shared" si="40"/>
        <v>16.892182946914982</v>
      </c>
      <c r="AH32" s="40">
        <f t="shared" si="41"/>
        <v>44.083840111491185</v>
      </c>
      <c r="AI32" s="76"/>
      <c r="AJ32" s="382">
        <f t="shared" si="44"/>
        <v>10.084568605093118</v>
      </c>
      <c r="AL32" s="321" t="s">
        <v>6</v>
      </c>
      <c r="AM32" s="91">
        <v>170070368649.56</v>
      </c>
      <c r="AN32" s="92">
        <f t="shared" si="14"/>
        <v>1.6464746520855833E-2</v>
      </c>
      <c r="AO32" s="92">
        <f t="shared" si="15"/>
        <v>1.6330672246150681E-2</v>
      </c>
      <c r="AP32" s="401">
        <f>APG!B32</f>
        <v>1.55183882471747E-2</v>
      </c>
      <c r="AQ32" s="129">
        <f t="shared" si="4"/>
        <v>1.0155183882471748</v>
      </c>
      <c r="AR32" s="405">
        <f t="shared" si="21"/>
        <v>-2.9009643098668603E-2</v>
      </c>
      <c r="AS32" s="55"/>
      <c r="AT32" s="55"/>
      <c r="AU32" s="55"/>
      <c r="AV32" s="129"/>
      <c r="AW32" s="188"/>
      <c r="AX32" s="55"/>
      <c r="AY32" s="55"/>
      <c r="AZ32" s="55"/>
      <c r="BA32" s="55"/>
      <c r="BB32" s="55"/>
      <c r="BC32" s="92"/>
      <c r="BD32" s="92"/>
      <c r="BE32" s="92"/>
      <c r="BF32" s="92"/>
      <c r="BG32" s="58"/>
      <c r="BH32" s="92"/>
      <c r="BI32" s="92"/>
      <c r="BJ32" s="409">
        <f t="shared" si="26"/>
        <v>1.0458583661818674</v>
      </c>
      <c r="BK32" s="410">
        <v>0.76943799999999996</v>
      </c>
      <c r="BL32" s="103">
        <f t="shared" si="18"/>
        <v>221031933241.61273</v>
      </c>
      <c r="BM32" s="107">
        <f t="shared" si="27"/>
        <v>-2.810478035216124E-2</v>
      </c>
      <c r="BN32" s="107">
        <f t="shared" si="28"/>
        <v>-2.8507279048612447E-2</v>
      </c>
      <c r="BO32" s="107"/>
      <c r="BP32" s="107"/>
      <c r="BQ32" s="107"/>
      <c r="BR32" s="107"/>
      <c r="BS32" s="107"/>
      <c r="BT32" s="107"/>
      <c r="BU32" s="76"/>
      <c r="BV32" s="76"/>
      <c r="BW32" s="76"/>
      <c r="CA32" s="321" t="str">
        <f>CPPIB.!A28</f>
        <v>1Q2005/05</v>
      </c>
      <c r="CB32" s="50">
        <f>CPPIB.!B28</f>
        <v>59028.572</v>
      </c>
      <c r="CC32" s="50">
        <f>CPPIB.!C28</f>
        <v>448.79300000000001</v>
      </c>
      <c r="CD32" s="40">
        <f>CPPIB.!D28</f>
        <v>58579.779000000002</v>
      </c>
      <c r="CE32" s="40">
        <f>CPPIB.!E28</f>
        <v>50626.790999999997</v>
      </c>
      <c r="CF32" s="234">
        <f t="shared" si="45"/>
        <v>2.808409852286875E-2</v>
      </c>
      <c r="CG32" s="107">
        <f t="shared" si="46"/>
        <v>2.7696971588512767E-2</v>
      </c>
      <c r="CH32" s="393">
        <f t="shared" si="47"/>
        <v>1.0276969715885127</v>
      </c>
      <c r="CI32" s="107"/>
      <c r="CJ32" s="107"/>
      <c r="CK32" s="383"/>
      <c r="CL32" s="107"/>
      <c r="CM32" s="107"/>
      <c r="CN32" s="410">
        <v>1.2098500000000001</v>
      </c>
      <c r="CO32" s="327" t="str">
        <f t="shared" si="0"/>
        <v>1Q2005/05</v>
      </c>
      <c r="CP32" s="187">
        <f t="shared" si="34"/>
        <v>48789.992147786914</v>
      </c>
      <c r="CQ32" s="187"/>
      <c r="CR32" s="187">
        <f t="shared" si="35"/>
        <v>370.94929123445053</v>
      </c>
      <c r="CS32" s="40">
        <f t="shared" si="36"/>
        <v>48419.042856552463</v>
      </c>
      <c r="CU32" s="40">
        <f t="shared" si="37"/>
        <v>41845.510600487658</v>
      </c>
      <c r="CW32" s="76">
        <f t="shared" si="48"/>
        <v>1.7758504367298755E-2</v>
      </c>
      <c r="CX32" s="420">
        <f t="shared" si="49"/>
        <v>1.7758504367298755E-2</v>
      </c>
      <c r="CY32" s="205">
        <f>((CX29+1)*(1+CX30)*(1+CX31)*(1+CX32))-1</f>
        <v>0.20736379057923693</v>
      </c>
      <c r="CZ32" s="205"/>
      <c r="DA32" s="205"/>
      <c r="DB32" s="107"/>
      <c r="DC32" s="205"/>
      <c r="DD32" s="205"/>
      <c r="DE32" s="421">
        <f t="shared" si="29"/>
        <v>1.0097650544589576</v>
      </c>
      <c r="DF32" s="321">
        <v>1.2098500000000001</v>
      </c>
      <c r="DG32" s="40">
        <f>CPPIB.!K28</f>
        <v>9.8450000000000024</v>
      </c>
      <c r="DH32" s="40">
        <v>0</v>
      </c>
      <c r="DI32" s="40">
        <f>CPPIB.!M28</f>
        <v>8.5779999999999994</v>
      </c>
      <c r="DJ32" s="40">
        <f t="shared" si="22"/>
        <v>18.423000000000002</v>
      </c>
      <c r="DK32" s="40">
        <f t="shared" si="23"/>
        <v>3.1449418749087462E-4</v>
      </c>
      <c r="DL32" s="326" t="str">
        <f t="shared" si="1"/>
        <v>1Q2005/05</v>
      </c>
      <c r="DM32" s="40">
        <f t="shared" si="38"/>
        <v>8.1373724015373821</v>
      </c>
      <c r="DN32" s="40">
        <f t="shared" si="24"/>
        <v>0</v>
      </c>
      <c r="DO32" s="40">
        <f t="shared" si="25"/>
        <v>7.0901351407199229</v>
      </c>
      <c r="DP32" s="40">
        <f t="shared" si="39"/>
        <v>15.227507542257305</v>
      </c>
      <c r="DQ32" s="40">
        <f t="shared" si="30"/>
        <v>3.1449418749087462E-4</v>
      </c>
    </row>
    <row r="33" spans="1:121">
      <c r="A33" s="321" t="s">
        <v>7</v>
      </c>
      <c r="K33" s="321" t="s">
        <v>7</v>
      </c>
      <c r="O33" s="376"/>
      <c r="P33" s="376"/>
      <c r="Q33" s="376"/>
      <c r="R33" s="376"/>
      <c r="S33" s="396">
        <f>NBIM!P32</f>
        <v>-9.180332122891155E-4</v>
      </c>
      <c r="T33" s="384"/>
      <c r="U33" s="173"/>
      <c r="V33" s="107"/>
      <c r="W33" s="204"/>
      <c r="X33" s="321">
        <v>6.5378000000000007</v>
      </c>
      <c r="Y33" s="321" t="s">
        <v>7</v>
      </c>
      <c r="Z33" s="40">
        <f>NBIM!AL32</f>
        <v>166.07599999999996</v>
      </c>
      <c r="AA33" s="40">
        <f>NBIM!AM32</f>
        <v>93.405000000000086</v>
      </c>
      <c r="AB33" s="40">
        <f t="shared" si="42"/>
        <v>259.48100000000005</v>
      </c>
      <c r="AC33" s="76"/>
      <c r="AD33" s="173">
        <f>NBIM!AQ32</f>
        <v>52.368000000000009</v>
      </c>
      <c r="AE33" s="321" t="s">
        <v>7</v>
      </c>
      <c r="AF33" s="40">
        <f t="shared" si="43"/>
        <v>25.402428951635098</v>
      </c>
      <c r="AG33" s="40">
        <f t="shared" si="40"/>
        <v>14.286916087980678</v>
      </c>
      <c r="AH33" s="40">
        <f t="shared" si="41"/>
        <v>39.689345039615773</v>
      </c>
      <c r="AI33" s="76"/>
      <c r="AJ33" s="382">
        <f t="shared" si="44"/>
        <v>8.0100339563767626</v>
      </c>
      <c r="AL33" s="321" t="s">
        <v>7</v>
      </c>
      <c r="AM33" s="91">
        <v>177634467662.20999</v>
      </c>
      <c r="AN33" s="92">
        <f t="shared" si="14"/>
        <v>4.4476289859971319E-2</v>
      </c>
      <c r="AO33" s="92">
        <f t="shared" si="15"/>
        <v>4.3515601766381244E-2</v>
      </c>
      <c r="AP33" s="401">
        <f>APG!B33</f>
        <v>4.2966616164086202E-2</v>
      </c>
      <c r="AQ33" s="129">
        <f t="shared" si="4"/>
        <v>1.0429666161640863</v>
      </c>
      <c r="AR33" s="405">
        <f t="shared" si="21"/>
        <v>-2.8456134895318508E-2</v>
      </c>
      <c r="AS33" s="55"/>
      <c r="AT33" s="55"/>
      <c r="AU33" s="55"/>
      <c r="AV33" s="129"/>
      <c r="AW33" s="188"/>
      <c r="AX33" s="55"/>
      <c r="AY33" s="55"/>
      <c r="AZ33" s="55"/>
      <c r="BA33" s="55"/>
      <c r="BB33" s="55"/>
      <c r="BC33" s="92"/>
      <c r="BD33" s="92"/>
      <c r="BE33" s="92"/>
      <c r="BF33" s="92"/>
      <c r="BG33" s="58"/>
      <c r="BH33" s="92"/>
      <c r="BI33" s="92"/>
      <c r="BJ33" s="409">
        <f t="shared" si="26"/>
        <v>1.073514695141129</v>
      </c>
      <c r="BK33" s="410">
        <v>0.82600299999999993</v>
      </c>
      <c r="BL33" s="103">
        <f t="shared" si="18"/>
        <v>215053053877.78253</v>
      </c>
      <c r="BM33" s="107">
        <f t="shared" si="27"/>
        <v>-2.7049844229044551E-2</v>
      </c>
      <c r="BN33" s="107">
        <f t="shared" si="28"/>
        <v>-2.742242547627843E-2</v>
      </c>
      <c r="BO33" s="107"/>
      <c r="BP33" s="107"/>
      <c r="BQ33" s="107"/>
      <c r="BR33" s="107"/>
      <c r="BS33" s="107"/>
      <c r="BT33" s="107"/>
      <c r="BU33" s="76"/>
      <c r="BV33" s="76"/>
      <c r="BW33" s="76"/>
      <c r="CA33" s="321" t="str">
        <f>CPPIB.!A29</f>
        <v>2Q2005/06</v>
      </c>
      <c r="CB33" s="50">
        <f>CPPIB.!B29</f>
        <v>69103.322</v>
      </c>
      <c r="CC33" s="50">
        <f>CPPIB.!C29</f>
        <v>711.12599999999998</v>
      </c>
      <c r="CD33" s="40">
        <f>CPPIB.!D29</f>
        <v>68392.195999999996</v>
      </c>
      <c r="CE33" s="40">
        <f>CPPIB.!E29</f>
        <v>58244.07</v>
      </c>
      <c r="CF33" s="234">
        <f t="shared" si="45"/>
        <v>3.747262344571145E-2</v>
      </c>
      <c r="CG33" s="107">
        <f t="shared" si="46"/>
        <v>3.6787585734294116E-2</v>
      </c>
      <c r="CH33" s="393">
        <f t="shared" si="47"/>
        <v>1.0367875857342941</v>
      </c>
      <c r="CI33" s="107"/>
      <c r="CJ33" s="107"/>
      <c r="CK33" s="383"/>
      <c r="CL33" s="107"/>
      <c r="CM33" s="107"/>
      <c r="CN33" s="410">
        <v>1.2248000000000001</v>
      </c>
      <c r="CO33" s="327" t="str">
        <f t="shared" si="0"/>
        <v>2Q2005/06</v>
      </c>
      <c r="CP33" s="187">
        <f t="shared" si="34"/>
        <v>56420.086544741993</v>
      </c>
      <c r="CQ33" s="187"/>
      <c r="CR33" s="187">
        <f t="shared" si="35"/>
        <v>580.6058131939908</v>
      </c>
      <c r="CS33" s="40">
        <f t="shared" si="36"/>
        <v>55839.480731547999</v>
      </c>
      <c r="CU33" s="40">
        <f t="shared" si="37"/>
        <v>47553.943500979745</v>
      </c>
      <c r="CW33" s="76">
        <f t="shared" si="48"/>
        <v>2.4132479262439333E-2</v>
      </c>
      <c r="CX33" s="420">
        <f t="shared" si="49"/>
        <v>2.4132479262439333E-2</v>
      </c>
      <c r="CY33" s="205"/>
      <c r="CZ33" s="205"/>
      <c r="DA33" s="205"/>
      <c r="DB33" s="107"/>
      <c r="DC33" s="205"/>
      <c r="DD33" s="205"/>
      <c r="DE33" s="421">
        <f t="shared" si="29"/>
        <v>1.0123569037483986</v>
      </c>
      <c r="DF33" s="321">
        <v>1.2248000000000001</v>
      </c>
      <c r="DG33" s="40">
        <f>CPPIB.!K29</f>
        <v>8.0990000000000002</v>
      </c>
      <c r="DH33" s="40">
        <v>0</v>
      </c>
      <c r="DI33" s="40">
        <f>CPPIB.!M29</f>
        <v>10.217000000000001</v>
      </c>
      <c r="DJ33" s="40">
        <f t="shared" si="22"/>
        <v>18.316000000000003</v>
      </c>
      <c r="DK33" s="40">
        <f t="shared" si="23"/>
        <v>2.6780833298582784E-4</v>
      </c>
      <c r="DL33" s="326" t="str">
        <f t="shared" si="1"/>
        <v>2Q2005/06</v>
      </c>
      <c r="DM33" s="40">
        <f t="shared" si="38"/>
        <v>6.6125081645983013</v>
      </c>
      <c r="DN33" s="40">
        <f t="shared" si="24"/>
        <v>0</v>
      </c>
      <c r="DO33" s="40">
        <f t="shared" si="25"/>
        <v>8.3417700849118219</v>
      </c>
      <c r="DP33" s="40">
        <f t="shared" si="39"/>
        <v>14.954278249510123</v>
      </c>
      <c r="DQ33" s="40">
        <f t="shared" si="30"/>
        <v>2.6780833298582784E-4</v>
      </c>
    </row>
    <row r="34" spans="1:121">
      <c r="A34" s="321" t="s">
        <v>8</v>
      </c>
      <c r="K34" s="321" t="s">
        <v>8</v>
      </c>
      <c r="O34" s="376"/>
      <c r="P34" s="376"/>
      <c r="Q34" s="376"/>
      <c r="R34" s="376"/>
      <c r="S34" s="396">
        <f>NBIM!P33</f>
        <v>2.8312557165798058E-2</v>
      </c>
      <c r="T34" s="384"/>
      <c r="U34" s="173"/>
      <c r="V34" s="107"/>
      <c r="W34" s="204"/>
      <c r="X34" s="321">
        <v>6.5243000000000002</v>
      </c>
      <c r="Y34" s="321" t="s">
        <v>8</v>
      </c>
      <c r="Z34" s="40">
        <f>NBIM!AL33</f>
        <v>198.24400000000003</v>
      </c>
      <c r="AA34" s="40">
        <f>NBIM!AM33</f>
        <v>96.62399999999991</v>
      </c>
      <c r="AB34" s="40">
        <f t="shared" si="42"/>
        <v>294.86799999999994</v>
      </c>
      <c r="AC34" s="76"/>
      <c r="AD34" s="173">
        <f>NBIM!AQ33</f>
        <v>81.373000000000005</v>
      </c>
      <c r="AE34" s="321" t="s">
        <v>8</v>
      </c>
      <c r="AF34" s="40">
        <f t="shared" si="43"/>
        <v>30.385481967414133</v>
      </c>
      <c r="AG34" s="40">
        <f t="shared" si="40"/>
        <v>14.809864659810234</v>
      </c>
      <c r="AH34" s="40">
        <f t="shared" si="41"/>
        <v>45.195346627224367</v>
      </c>
      <c r="AI34" s="76"/>
      <c r="AJ34" s="382">
        <f t="shared" si="44"/>
        <v>12.472295878485049</v>
      </c>
      <c r="AL34" s="321" t="s">
        <v>8</v>
      </c>
      <c r="AM34" s="91">
        <v>186055045019.67999</v>
      </c>
      <c r="AN34" s="92">
        <f t="shared" si="14"/>
        <v>4.7403960888280805E-2</v>
      </c>
      <c r="AO34" s="92">
        <f t="shared" si="15"/>
        <v>4.6314684494710538E-2</v>
      </c>
      <c r="AP34" s="401">
        <f>APG!B34</f>
        <v>4.5746250579257401E-2</v>
      </c>
      <c r="AQ34" s="129">
        <f t="shared" si="4"/>
        <v>1.0457462505792574</v>
      </c>
      <c r="AR34" s="405">
        <f t="shared" si="21"/>
        <v>4.1427996423099245E-2</v>
      </c>
      <c r="AS34" s="55"/>
      <c r="AT34" s="55"/>
      <c r="AU34" s="55"/>
      <c r="AV34" s="129"/>
      <c r="AW34" s="188"/>
      <c r="AX34" s="55"/>
      <c r="AY34" s="55"/>
      <c r="AZ34" s="55"/>
      <c r="BA34" s="55"/>
      <c r="BB34" s="55"/>
      <c r="BC34" s="92"/>
      <c r="BD34" s="92"/>
      <c r="BE34" s="92"/>
      <c r="BF34" s="92"/>
      <c r="BG34" s="58"/>
      <c r="BH34" s="92"/>
      <c r="BI34" s="92"/>
      <c r="BJ34" s="409">
        <f t="shared" si="26"/>
        <v>1.0041464740442831</v>
      </c>
      <c r="BK34" s="410">
        <v>0.82942799999999994</v>
      </c>
      <c r="BL34" s="103">
        <f t="shared" si="18"/>
        <v>224317294592.99661</v>
      </c>
      <c r="BM34" s="107">
        <f t="shared" si="27"/>
        <v>4.3078861463083706E-2</v>
      </c>
      <c r="BN34" s="107">
        <f t="shared" si="28"/>
        <v>4.2176783383800834E-2</v>
      </c>
      <c r="BO34" s="107"/>
      <c r="BP34" s="107"/>
      <c r="BQ34" s="107"/>
      <c r="BR34" s="107"/>
      <c r="BS34" s="107"/>
      <c r="BT34" s="107"/>
      <c r="BU34" s="76"/>
      <c r="BV34" s="76"/>
      <c r="BW34" s="76"/>
      <c r="CA34" s="321" t="str">
        <f>CPPIB.!A30</f>
        <v>3Q2005/06</v>
      </c>
      <c r="CB34" s="50">
        <f>CPPIB.!B30</f>
        <v>78082.990999999995</v>
      </c>
      <c r="CC34" s="50">
        <f>CPPIB.!C30</f>
        <v>1083.75</v>
      </c>
      <c r="CD34" s="40">
        <f>CPPIB.!D30</f>
        <v>76999.240999999995</v>
      </c>
      <c r="CE34" s="40">
        <f>CPPIB.!E30</f>
        <v>62902.072</v>
      </c>
      <c r="CF34" s="234">
        <f t="shared" si="45"/>
        <v>5.7741134675658001E-2</v>
      </c>
      <c r="CG34" s="107">
        <f t="shared" si="46"/>
        <v>5.6135629278882444E-2</v>
      </c>
      <c r="CH34" s="393">
        <f t="shared" si="47"/>
        <v>1.0561356292788824</v>
      </c>
      <c r="CI34" s="107"/>
      <c r="CJ34" s="107"/>
      <c r="CK34" s="383"/>
      <c r="CL34" s="107"/>
      <c r="CM34" s="107"/>
      <c r="CN34" s="410">
        <v>1.1606000000000001</v>
      </c>
      <c r="CO34" s="327" t="str">
        <f t="shared" si="0"/>
        <v>3Q2005/06</v>
      </c>
      <c r="CP34" s="187">
        <f t="shared" si="34"/>
        <v>67278.124246079606</v>
      </c>
      <c r="CQ34" s="187"/>
      <c r="CR34" s="187">
        <f t="shared" si="35"/>
        <v>933.78424952610715</v>
      </c>
      <c r="CS34" s="40">
        <f t="shared" si="36"/>
        <v>66344.339996553492</v>
      </c>
      <c r="CU34" s="40">
        <f t="shared" si="37"/>
        <v>54197.890746165773</v>
      </c>
      <c r="CW34" s="76">
        <f t="shared" si="48"/>
        <v>0.11455705560983542</v>
      </c>
      <c r="CX34" s="420">
        <f t="shared" si="49"/>
        <v>0.11455705560983542</v>
      </c>
      <c r="CY34" s="205"/>
      <c r="CZ34" s="205"/>
      <c r="DA34" s="205"/>
      <c r="DB34" s="107"/>
      <c r="DC34" s="205"/>
      <c r="DD34" s="205"/>
      <c r="DE34" s="421">
        <f t="shared" si="29"/>
        <v>0.94758327890267802</v>
      </c>
      <c r="DF34" s="321">
        <v>1.1606000000000001</v>
      </c>
      <c r="DG34" s="40">
        <f>CPPIB.!K30</f>
        <v>16.96</v>
      </c>
      <c r="DH34" s="40">
        <v>0</v>
      </c>
      <c r="DI34" s="40">
        <f>CPPIB.!M30</f>
        <v>11.835000000000001</v>
      </c>
      <c r="DJ34" s="40">
        <f t="shared" si="22"/>
        <v>28.795000000000002</v>
      </c>
      <c r="DK34" s="40">
        <f t="shared" si="23"/>
        <v>3.7396472518475866E-4</v>
      </c>
      <c r="DL34" s="326" t="str">
        <f t="shared" si="1"/>
        <v>3Q2005/06</v>
      </c>
      <c r="DM34" s="40">
        <f t="shared" si="38"/>
        <v>14.613131139066001</v>
      </c>
      <c r="DN34" s="40">
        <f t="shared" si="24"/>
        <v>0</v>
      </c>
      <c r="DO34" s="40">
        <f t="shared" si="25"/>
        <v>10.197311735309324</v>
      </c>
      <c r="DP34" s="40">
        <f t="shared" si="39"/>
        <v>24.810442874375326</v>
      </c>
      <c r="DQ34" s="40">
        <f t="shared" si="30"/>
        <v>3.7396472518475877E-4</v>
      </c>
    </row>
    <row r="35" spans="1:121">
      <c r="A35" s="321" t="s">
        <v>9</v>
      </c>
      <c r="K35" s="321" t="s">
        <v>9</v>
      </c>
      <c r="O35" s="376"/>
      <c r="P35" s="376"/>
      <c r="Q35" s="376"/>
      <c r="R35" s="376"/>
      <c r="S35" s="396">
        <f>NBIM!P34</f>
        <v>9.4819269561665642E-3</v>
      </c>
      <c r="T35" s="384"/>
      <c r="U35" s="173"/>
      <c r="V35" s="107"/>
      <c r="W35" s="204"/>
      <c r="X35" s="321">
        <v>6.7712500000000002</v>
      </c>
      <c r="Y35" s="321" t="s">
        <v>9</v>
      </c>
      <c r="Z35" s="40">
        <f>NBIM!AL34</f>
        <v>255.62300000000005</v>
      </c>
      <c r="AA35" s="40">
        <f>NBIM!AM34</f>
        <v>150.346</v>
      </c>
      <c r="AB35" s="40">
        <f t="shared" si="42"/>
        <v>405.96900000000005</v>
      </c>
      <c r="AC35" s="76"/>
      <c r="AD35" s="173">
        <f>NBIM!AQ34</f>
        <v>122.76300000000001</v>
      </c>
      <c r="AE35" s="321" t="s">
        <v>9</v>
      </c>
      <c r="AF35" s="40">
        <f t="shared" si="43"/>
        <v>37.751227616762051</v>
      </c>
      <c r="AG35" s="40">
        <f t="shared" si="40"/>
        <v>22.203581318072732</v>
      </c>
      <c r="AH35" s="40">
        <f t="shared" si="41"/>
        <v>59.954808934834787</v>
      </c>
      <c r="AI35" s="76"/>
      <c r="AJ35" s="382">
        <f t="shared" si="44"/>
        <v>18.130035074764631</v>
      </c>
      <c r="AL35" s="321" t="s">
        <v>9</v>
      </c>
      <c r="AM35" s="91">
        <v>189714172101.51999</v>
      </c>
      <c r="AN35" s="92">
        <f t="shared" si="14"/>
        <v>1.9666906003290352E-2</v>
      </c>
      <c r="AO35" s="92">
        <f t="shared" si="15"/>
        <v>1.9476011221083906E-2</v>
      </c>
      <c r="AP35" s="401">
        <f>APG!B35</f>
        <v>1.8352620746716598E-2</v>
      </c>
      <c r="AQ35" s="129">
        <f t="shared" si="4"/>
        <v>1.0183526207467166</v>
      </c>
      <c r="AR35" s="405">
        <f t="shared" si="21"/>
        <v>-3.6929613653673421E-3</v>
      </c>
      <c r="AS35" s="55">
        <f>AR32+AR33+AR34+AR35</f>
        <v>-1.9730742936255208E-2</v>
      </c>
      <c r="AT35" s="55"/>
      <c r="AU35" s="55"/>
      <c r="AV35" s="129"/>
      <c r="AW35" s="188"/>
      <c r="AX35" s="55"/>
      <c r="AY35" s="55"/>
      <c r="AZ35" s="55"/>
      <c r="BA35" s="55"/>
      <c r="BB35" s="55"/>
      <c r="BC35" s="92"/>
      <c r="BD35" s="92"/>
      <c r="BE35" s="92"/>
      <c r="BF35" s="92"/>
      <c r="BG35" s="58"/>
      <c r="BH35" s="92"/>
      <c r="BI35" s="92"/>
      <c r="BJ35" s="409">
        <f t="shared" si="26"/>
        <v>1.022127297366378</v>
      </c>
      <c r="BK35" s="410">
        <v>0.84778100000000001</v>
      </c>
      <c r="BL35" s="103">
        <f t="shared" si="18"/>
        <v>223777334124.63831</v>
      </c>
      <c r="BM35" s="107">
        <f t="shared" si="27"/>
        <v>-2.4071281233041253E-3</v>
      </c>
      <c r="BN35" s="107">
        <f t="shared" si="28"/>
        <v>-2.4100299137947562E-3</v>
      </c>
      <c r="BO35" s="107"/>
      <c r="BP35" s="107"/>
      <c r="BQ35" s="107"/>
      <c r="BR35" s="107"/>
      <c r="BS35" s="107"/>
      <c r="BT35" s="107"/>
      <c r="BU35" s="76"/>
      <c r="BV35" s="76"/>
      <c r="BW35" s="76"/>
      <c r="CA35" s="321" t="str">
        <f>CPPIB.!A31</f>
        <v>4Q2005/06</v>
      </c>
      <c r="CB35" s="50">
        <f>CPPIB.!B31</f>
        <v>81516.377999999997</v>
      </c>
      <c r="CC35" s="50">
        <f>CPPIB.!C31</f>
        <v>940.75300000000004</v>
      </c>
      <c r="CD35" s="40">
        <f>CPPIB.!D31</f>
        <v>80575.625</v>
      </c>
      <c r="CE35" s="40">
        <f>CPPIB.!E31</f>
        <v>64378.661</v>
      </c>
      <c r="CF35" s="234">
        <f t="shared" si="45"/>
        <v>2.7270333742640318E-2</v>
      </c>
      <c r="CG35" s="107">
        <f t="shared" si="46"/>
        <v>2.6905122932169522E-2</v>
      </c>
      <c r="CH35" s="393">
        <f t="shared" si="47"/>
        <v>1.0269051229321695</v>
      </c>
      <c r="CI35" s="107">
        <f>((CG35+1)*(CG34+1)*(CG33+1)*(CG32+1))-1</f>
        <v>0.15559293925485629</v>
      </c>
      <c r="CJ35" s="107"/>
      <c r="CK35" s="383"/>
      <c r="CL35" s="107"/>
      <c r="CM35" s="107"/>
      <c r="CN35" s="410">
        <v>1.16815</v>
      </c>
      <c r="CO35" s="327" t="str">
        <f t="shared" ref="CO35:CO66" si="51">CA35</f>
        <v>4Q2005/06</v>
      </c>
      <c r="CP35" s="187">
        <f t="shared" si="34"/>
        <v>69782.45773231177</v>
      </c>
      <c r="CQ35" s="187">
        <f>CP35+CP34+CP33+CP32</f>
        <v>242270.6606709203</v>
      </c>
      <c r="CR35" s="187">
        <f t="shared" si="35"/>
        <v>805.33578735607591</v>
      </c>
      <c r="CS35" s="40">
        <f t="shared" si="36"/>
        <v>68977.121944955696</v>
      </c>
      <c r="CT35" s="40">
        <f>CS35+CS34+CS33+CS32</f>
        <v>239579.98552960966</v>
      </c>
      <c r="CU35" s="40">
        <f t="shared" si="37"/>
        <v>55111.638916235075</v>
      </c>
      <c r="CV35" s="40">
        <f>CU35+CU34+CU33+CU32</f>
        <v>198708.98376386822</v>
      </c>
      <c r="CW35" s="76">
        <f t="shared" si="48"/>
        <v>2.0268018383834407E-2</v>
      </c>
      <c r="CX35" s="420">
        <f t="shared" si="49"/>
        <v>2.0268018383834407E-2</v>
      </c>
      <c r="CY35" s="205"/>
      <c r="CZ35" s="205"/>
      <c r="DA35" s="205"/>
      <c r="DB35" s="107">
        <f>((CX47+1)*(CX46+1)*(CX45+1)*(CX44+1))-1</f>
        <v>-0.32111718322328797</v>
      </c>
      <c r="DC35" s="205"/>
      <c r="DD35" s="205"/>
      <c r="DE35" s="421">
        <f t="shared" si="29"/>
        <v>1.0065052559021195</v>
      </c>
      <c r="DF35" s="321">
        <v>1.16815</v>
      </c>
      <c r="DG35" s="40">
        <f>CPPIB.!K31</f>
        <v>5.2560000000000002</v>
      </c>
      <c r="DH35" s="40">
        <v>0</v>
      </c>
      <c r="DI35" s="40">
        <f>CPPIB.!M31</f>
        <v>15.813000000000001</v>
      </c>
      <c r="DJ35" s="40">
        <f t="shared" si="22"/>
        <v>21.069000000000003</v>
      </c>
      <c r="DK35" s="40">
        <f t="shared" si="23"/>
        <v>2.61481062045749E-4</v>
      </c>
      <c r="DL35" s="326" t="str">
        <f t="shared" ref="DL35:DL66" si="52">CA35</f>
        <v>4Q2005/06</v>
      </c>
      <c r="DM35" s="40">
        <f t="shared" si="38"/>
        <v>4.4994221632495828</v>
      </c>
      <c r="DN35" s="40">
        <f t="shared" si="24"/>
        <v>0</v>
      </c>
      <c r="DO35" s="40">
        <f t="shared" si="25"/>
        <v>13.536788939776571</v>
      </c>
      <c r="DP35" s="40">
        <f t="shared" si="39"/>
        <v>18.036211103026154</v>
      </c>
      <c r="DQ35" s="40">
        <f t="shared" si="30"/>
        <v>2.61481062045749E-4</v>
      </c>
    </row>
    <row r="36" spans="1:121">
      <c r="A36" s="321" t="s">
        <v>10</v>
      </c>
      <c r="K36" s="321" t="s">
        <v>10</v>
      </c>
      <c r="O36" s="376"/>
      <c r="P36" s="376"/>
      <c r="Q36" s="376"/>
      <c r="R36" s="376"/>
      <c r="S36" s="396">
        <f>NBIM!P35</f>
        <v>3.4367718014040927E-2</v>
      </c>
      <c r="T36" s="384"/>
      <c r="U36" s="173"/>
      <c r="V36" s="107"/>
      <c r="W36" s="204"/>
      <c r="X36" s="321">
        <v>6.562850000000001</v>
      </c>
      <c r="Y36" s="321" t="s">
        <v>10</v>
      </c>
      <c r="Z36" s="40">
        <f>NBIM!AL35</f>
        <v>247.619</v>
      </c>
      <c r="AA36" s="40">
        <f>NBIM!AM35</f>
        <v>137.96599999999998</v>
      </c>
      <c r="AB36" s="40">
        <f t="shared" ref="AB36:AB67" si="53">AA36+Z36</f>
        <v>385.58499999999998</v>
      </c>
      <c r="AC36" s="76"/>
      <c r="AD36" s="173">
        <f>NBIM!AQ35</f>
        <v>131.40600000000001</v>
      </c>
      <c r="AE36" s="321" t="s">
        <v>10</v>
      </c>
      <c r="AF36" s="40">
        <f t="shared" si="43"/>
        <v>37.73040675925855</v>
      </c>
      <c r="AG36" s="40">
        <f t="shared" si="40"/>
        <v>21.022269288495085</v>
      </c>
      <c r="AH36" s="40">
        <f t="shared" si="41"/>
        <v>58.752676047753638</v>
      </c>
      <c r="AI36" s="76"/>
      <c r="AJ36" s="382">
        <f t="shared" si="44"/>
        <v>20.022703551048703</v>
      </c>
      <c r="AL36" s="321" t="s">
        <v>10</v>
      </c>
      <c r="AM36" s="91">
        <v>195415977885.64999</v>
      </c>
      <c r="AN36" s="92">
        <f t="shared" si="14"/>
        <v>3.0054717161978051E-2</v>
      </c>
      <c r="AO36" s="92">
        <f t="shared" si="15"/>
        <v>2.9611924288774585E-2</v>
      </c>
      <c r="AP36" s="401">
        <f>APG!B36</f>
        <v>2.9559101110307101E-2</v>
      </c>
      <c r="AQ36" s="129">
        <f t="shared" si="4"/>
        <v>1.0295591011103071</v>
      </c>
      <c r="AR36" s="405">
        <f t="shared" si="21"/>
        <v>5.6267903316775225E-2</v>
      </c>
      <c r="AS36" s="55"/>
      <c r="AT36" s="55"/>
      <c r="AU36" s="55"/>
      <c r="AV36" s="129"/>
      <c r="AW36" s="188"/>
      <c r="AX36" s="55"/>
      <c r="AY36" s="55"/>
      <c r="AZ36" s="55"/>
      <c r="BA36" s="55"/>
      <c r="BB36" s="55"/>
      <c r="BC36" s="92"/>
      <c r="BD36" s="92"/>
      <c r="BE36" s="92"/>
      <c r="BF36" s="92"/>
      <c r="BG36" s="58"/>
      <c r="BH36" s="92"/>
      <c r="BI36" s="92"/>
      <c r="BJ36" s="409">
        <f t="shared" si="26"/>
        <v>0.97471398863621617</v>
      </c>
      <c r="BK36" s="410">
        <v>0.82634399999999997</v>
      </c>
      <c r="BL36" s="103">
        <f t="shared" si="18"/>
        <v>236482600328.25311</v>
      </c>
      <c r="BM36" s="107">
        <f t="shared" si="27"/>
        <v>5.6776376630433445E-2</v>
      </c>
      <c r="BN36" s="107">
        <f t="shared" si="28"/>
        <v>5.5223120295617878E-2</v>
      </c>
      <c r="BO36" s="107"/>
      <c r="BP36" s="107"/>
      <c r="BQ36" s="107"/>
      <c r="BR36" s="107"/>
      <c r="BS36" s="107"/>
      <c r="BT36" s="107"/>
      <c r="BU36" s="76"/>
      <c r="BV36" s="76"/>
      <c r="BW36" s="76"/>
      <c r="CA36" s="321" t="str">
        <f>CPPIB.!A32</f>
        <v>1Q2006/06</v>
      </c>
      <c r="CB36" s="50">
        <f>CPPIB.!B32</f>
        <v>90048</v>
      </c>
      <c r="CC36" s="50">
        <f>CPPIB.!C32</f>
        <v>1516</v>
      </c>
      <c r="CD36" s="40">
        <f>CPPIB.!D32</f>
        <v>88532</v>
      </c>
      <c r="CE36" s="40">
        <f>CPPIB.!E32</f>
        <v>68440</v>
      </c>
      <c r="CF36" s="234">
        <f t="shared" si="45"/>
        <v>4.8340127675087663E-2</v>
      </c>
      <c r="CG36" s="107">
        <f t="shared" si="46"/>
        <v>4.7208082552405814E-2</v>
      </c>
      <c r="CH36" s="393">
        <f t="shared" si="47"/>
        <v>1.0472080825524057</v>
      </c>
      <c r="CI36" s="107"/>
      <c r="CJ36" s="107"/>
      <c r="CK36" s="383"/>
      <c r="CL36" s="107"/>
      <c r="CM36" s="107"/>
      <c r="CN36" s="410">
        <v>1.1666000000000001</v>
      </c>
      <c r="CO36" s="327" t="str">
        <f t="shared" si="51"/>
        <v>1Q2006/06</v>
      </c>
      <c r="CP36" s="187">
        <f t="shared" si="34"/>
        <v>77188.4107663295</v>
      </c>
      <c r="CQ36" s="187"/>
      <c r="CR36" s="187">
        <f t="shared" si="35"/>
        <v>1299.5028287330704</v>
      </c>
      <c r="CS36" s="40">
        <f t="shared" si="36"/>
        <v>75888.907937596436</v>
      </c>
      <c r="CU36" s="40">
        <f t="shared" si="37"/>
        <v>58666.209497685581</v>
      </c>
      <c r="CW36" s="76">
        <f t="shared" si="48"/>
        <v>4.8599452797525089E-2</v>
      </c>
      <c r="CX36" s="420">
        <f t="shared" si="49"/>
        <v>4.8599452797525089E-2</v>
      </c>
      <c r="CY36" s="205">
        <f>((CX33+1)*(1+CX34)*(1+CX35)*(1+CX36))-1</f>
        <v>0.22118748558233836</v>
      </c>
      <c r="CZ36" s="205"/>
      <c r="DA36" s="205"/>
      <c r="DB36" s="107"/>
      <c r="DC36" s="205"/>
      <c r="DD36" s="205"/>
      <c r="DE36" s="421">
        <f t="shared" si="29"/>
        <v>0.99867311561015282</v>
      </c>
      <c r="DF36" s="321">
        <v>1.1666000000000001</v>
      </c>
      <c r="DG36" s="40">
        <f>CPPIB.!K32</f>
        <v>5.6849999999999987</v>
      </c>
      <c r="DH36" s="40">
        <v>0</v>
      </c>
      <c r="DI36" s="40">
        <f>CPPIB.!M32</f>
        <v>16.134999999999998</v>
      </c>
      <c r="DJ36" s="40">
        <f t="shared" si="22"/>
        <v>21.819999999999997</v>
      </c>
      <c r="DK36" s="40">
        <f t="shared" si="23"/>
        <v>2.4646455518908416E-4</v>
      </c>
      <c r="DL36" s="326" t="str">
        <f t="shared" si="52"/>
        <v>1Q2006/06</v>
      </c>
      <c r="DM36" s="40">
        <f t="shared" si="38"/>
        <v>4.8731356077490124</v>
      </c>
      <c r="DN36" s="40">
        <f t="shared" si="24"/>
        <v>0</v>
      </c>
      <c r="DO36" s="40">
        <f t="shared" si="25"/>
        <v>13.830790330876047</v>
      </c>
      <c r="DP36" s="40">
        <f t="shared" si="39"/>
        <v>18.703925938625058</v>
      </c>
      <c r="DQ36" s="40">
        <f t="shared" si="30"/>
        <v>2.4646455518908411E-4</v>
      </c>
    </row>
    <row r="37" spans="1:121">
      <c r="A37" s="321" t="s">
        <v>11</v>
      </c>
      <c r="K37" s="321" t="s">
        <v>11</v>
      </c>
      <c r="O37" s="376"/>
      <c r="P37" s="376"/>
      <c r="Q37" s="376"/>
      <c r="R37" s="376"/>
      <c r="S37" s="396">
        <f>NBIM!P36</f>
        <v>1.9907051977573698E-2</v>
      </c>
      <c r="T37" s="384"/>
      <c r="U37" s="173"/>
      <c r="V37" s="107"/>
      <c r="W37" s="204"/>
      <c r="X37" s="321">
        <v>6.2226000000000008</v>
      </c>
      <c r="Y37" s="321" t="s">
        <v>11</v>
      </c>
      <c r="Z37" s="40">
        <f>NBIM!AL36</f>
        <v>227.85900000000001</v>
      </c>
      <c r="AA37" s="40">
        <f>NBIM!AM36</f>
        <v>112.84700000000007</v>
      </c>
      <c r="AB37" s="40">
        <f t="shared" si="53"/>
        <v>340.70600000000007</v>
      </c>
      <c r="AC37" s="76"/>
      <c r="AD37" s="173">
        <f>NBIM!AQ36</f>
        <v>93.913999999999987</v>
      </c>
      <c r="AE37" s="321" t="s">
        <v>11</v>
      </c>
      <c r="AF37" s="40">
        <f t="shared" si="43"/>
        <v>36.61797319448462</v>
      </c>
      <c r="AG37" s="40">
        <f t="shared" si="40"/>
        <v>18.135023944974776</v>
      </c>
      <c r="AH37" s="40">
        <f t="shared" si="41"/>
        <v>54.752997139459396</v>
      </c>
      <c r="AI37" s="76"/>
      <c r="AJ37" s="382">
        <f t="shared" si="44"/>
        <v>15.092405103975826</v>
      </c>
      <c r="AL37" s="321" t="s">
        <v>11</v>
      </c>
      <c r="AM37" s="91">
        <v>192679760333.29999</v>
      </c>
      <c r="AN37" s="92">
        <f t="shared" si="14"/>
        <v>-1.4002015505360288E-2</v>
      </c>
      <c r="AO37" s="92">
        <f t="shared" si="15"/>
        <v>-1.4100968504674315E-2</v>
      </c>
      <c r="AP37" s="401">
        <f>APG!B37</f>
        <v>-1.46879215364841E-2</v>
      </c>
      <c r="AQ37" s="129">
        <f t="shared" si="4"/>
        <v>0.98531207846351587</v>
      </c>
      <c r="AR37" s="405">
        <f t="shared" si="21"/>
        <v>4.1085220938983591E-2</v>
      </c>
      <c r="AS37" s="55"/>
      <c r="AT37" s="55"/>
      <c r="AU37" s="55"/>
      <c r="AV37" s="129"/>
      <c r="AW37" s="188"/>
      <c r="AX37" s="55"/>
      <c r="AY37" s="55"/>
      <c r="AZ37" s="55"/>
      <c r="BA37" s="55"/>
      <c r="BB37" s="55"/>
      <c r="BC37" s="92"/>
      <c r="BD37" s="92"/>
      <c r="BE37" s="92"/>
      <c r="BF37" s="92"/>
      <c r="BG37" s="58"/>
      <c r="BH37" s="92"/>
      <c r="BI37" s="92"/>
      <c r="BJ37" s="409">
        <f t="shared" si="26"/>
        <v>0.94642787991441824</v>
      </c>
      <c r="BK37" s="410">
        <v>0.78207499999999996</v>
      </c>
      <c r="BL37" s="103">
        <f t="shared" si="18"/>
        <v>246369926584.15112</v>
      </c>
      <c r="BM37" s="107">
        <f t="shared" si="27"/>
        <v>4.1809952369323389E-2</v>
      </c>
      <c r="BN37" s="107">
        <f t="shared" si="28"/>
        <v>4.0959539335083832E-2</v>
      </c>
      <c r="BO37" s="107"/>
      <c r="BP37" s="107"/>
      <c r="BQ37" s="107"/>
      <c r="BR37" s="107"/>
      <c r="BS37" s="107"/>
      <c r="BT37" s="107"/>
      <c r="BU37" s="76"/>
      <c r="BV37" s="76"/>
      <c r="BW37" s="76"/>
      <c r="CA37" s="321" t="str">
        <f>CPPIB.!A33</f>
        <v>2Q2006/07</v>
      </c>
      <c r="CB37" s="50">
        <f>CPPIB.!B33</f>
        <v>94527</v>
      </c>
      <c r="CC37" s="50">
        <f>CPPIB.!C33</f>
        <v>2647</v>
      </c>
      <c r="CD37" s="40">
        <f>CPPIB.!D33</f>
        <v>91880</v>
      </c>
      <c r="CE37" s="40">
        <f>CPPIB.!E33</f>
        <v>74267</v>
      </c>
      <c r="CF37" s="234">
        <f t="shared" si="45"/>
        <v>-2.8001174716486665E-2</v>
      </c>
      <c r="CG37" s="107">
        <f t="shared" si="46"/>
        <v>-2.840068307848452E-2</v>
      </c>
      <c r="CH37" s="393">
        <f t="shared" si="47"/>
        <v>0.97159931692151547</v>
      </c>
      <c r="CI37" s="107"/>
      <c r="CJ37" s="107"/>
      <c r="CK37" s="383"/>
      <c r="CL37" s="107"/>
      <c r="CM37" s="107"/>
      <c r="CN37" s="410">
        <v>1.1121000000000001</v>
      </c>
      <c r="CO37" s="327" t="str">
        <f t="shared" si="51"/>
        <v>2Q2006/07</v>
      </c>
      <c r="CP37" s="187">
        <f t="shared" si="34"/>
        <v>84998.651200431603</v>
      </c>
      <c r="CQ37" s="187"/>
      <c r="CR37" s="187">
        <f t="shared" si="35"/>
        <v>2380.1816383418754</v>
      </c>
      <c r="CS37" s="40">
        <f t="shared" si="36"/>
        <v>82618.46956208974</v>
      </c>
      <c r="CU37" s="40">
        <f t="shared" si="37"/>
        <v>66780.865030123183</v>
      </c>
      <c r="CW37" s="76">
        <f t="shared" si="48"/>
        <v>1.9213886449635842E-2</v>
      </c>
      <c r="CX37" s="420">
        <f t="shared" si="49"/>
        <v>1.9213886449635842E-2</v>
      </c>
      <c r="CY37" s="205"/>
      <c r="CZ37" s="205"/>
      <c r="DA37" s="205"/>
      <c r="DB37" s="107"/>
      <c r="DC37" s="205"/>
      <c r="DD37" s="205"/>
      <c r="DE37" s="421">
        <f t="shared" si="29"/>
        <v>0.95328304474541403</v>
      </c>
      <c r="DF37" s="321">
        <v>1.1121000000000001</v>
      </c>
      <c r="DG37" s="40">
        <f>CPPIB.!K33</f>
        <v>7</v>
      </c>
      <c r="DH37" s="40">
        <v>0</v>
      </c>
      <c r="DI37" s="40">
        <f>CPPIB.!M33</f>
        <v>18</v>
      </c>
      <c r="DJ37" s="40">
        <f t="shared" si="22"/>
        <v>25</v>
      </c>
      <c r="DK37" s="40">
        <f t="shared" si="23"/>
        <v>2.7209403569873749E-4</v>
      </c>
      <c r="DL37" s="326" t="str">
        <f t="shared" si="52"/>
        <v>2Q2006/07</v>
      </c>
      <c r="DM37" s="40">
        <f t="shared" si="38"/>
        <v>6.294397985792644</v>
      </c>
      <c r="DN37" s="40">
        <f t="shared" si="24"/>
        <v>0</v>
      </c>
      <c r="DO37" s="40">
        <f t="shared" si="25"/>
        <v>16.185594820609655</v>
      </c>
      <c r="DP37" s="40">
        <f t="shared" si="39"/>
        <v>22.479992806402301</v>
      </c>
      <c r="DQ37" s="40">
        <f t="shared" si="30"/>
        <v>2.7209403569873749E-4</v>
      </c>
    </row>
    <row r="38" spans="1:121">
      <c r="A38" s="321" t="s">
        <v>12</v>
      </c>
      <c r="K38" s="321" t="s">
        <v>12</v>
      </c>
      <c r="O38" s="376"/>
      <c r="P38" s="376"/>
      <c r="Q38" s="376"/>
      <c r="R38" s="376"/>
      <c r="S38" s="396">
        <f>NBIM!P37</f>
        <v>3.3788384235323488E-2</v>
      </c>
      <c r="T38" s="384"/>
      <c r="U38" s="173"/>
      <c r="V38" s="107"/>
      <c r="W38" s="204"/>
      <c r="X38" s="321">
        <v>6.5186500000000009</v>
      </c>
      <c r="Y38" s="321" t="s">
        <v>12</v>
      </c>
      <c r="Z38" s="40">
        <f>NBIM!AL37</f>
        <v>228.44800000000004</v>
      </c>
      <c r="AA38" s="40">
        <f>NBIM!AM37</f>
        <v>152.89999999999981</v>
      </c>
      <c r="AB38" s="40">
        <f t="shared" si="53"/>
        <v>381.34799999999984</v>
      </c>
      <c r="AC38" s="75"/>
      <c r="AD38" s="173">
        <f>NBIM!AQ37</f>
        <v>90.537000000000035</v>
      </c>
      <c r="AE38" s="321" t="s">
        <v>12</v>
      </c>
      <c r="AF38" s="40">
        <f t="shared" si="43"/>
        <v>35.045293120508084</v>
      </c>
      <c r="AG38" s="40">
        <f t="shared" si="40"/>
        <v>23.455776886318453</v>
      </c>
      <c r="AH38" s="40">
        <f t="shared" si="41"/>
        <v>58.501070006826538</v>
      </c>
      <c r="AI38" s="75"/>
      <c r="AJ38" s="382">
        <f t="shared" si="44"/>
        <v>13.888918717832683</v>
      </c>
      <c r="AL38" s="321" t="s">
        <v>12</v>
      </c>
      <c r="AM38" s="91">
        <v>200042611656.62</v>
      </c>
      <c r="AN38" s="92">
        <f t="shared" si="14"/>
        <v>3.82128943412825E-2</v>
      </c>
      <c r="AO38" s="92">
        <f t="shared" si="15"/>
        <v>3.7500864234927198E-2</v>
      </c>
      <c r="AP38" s="401">
        <f>APG!B38</f>
        <v>3.7191941295608301E-2</v>
      </c>
      <c r="AQ38" s="129">
        <f t="shared" si="4"/>
        <v>1.0371919412956083</v>
      </c>
      <c r="AR38" s="405">
        <f t="shared" si="21"/>
        <v>2.753899370522106E-2</v>
      </c>
      <c r="AS38" s="55"/>
      <c r="AT38" s="55"/>
      <c r="AU38" s="55"/>
      <c r="AV38" s="129"/>
      <c r="AW38" s="188"/>
      <c r="AX38" s="55"/>
      <c r="AY38" s="55"/>
      <c r="AZ38" s="55"/>
      <c r="BA38" s="55"/>
      <c r="BB38" s="55"/>
      <c r="BC38" s="92"/>
      <c r="BD38" s="92"/>
      <c r="BE38" s="92"/>
      <c r="BF38" s="92"/>
      <c r="BG38" s="58"/>
      <c r="BH38" s="92"/>
      <c r="BI38" s="92"/>
      <c r="BJ38" s="409">
        <f t="shared" si="26"/>
        <v>1.0093942396828948</v>
      </c>
      <c r="BK38" s="410">
        <v>0.78942199999999996</v>
      </c>
      <c r="BL38" s="103">
        <f t="shared" si="18"/>
        <v>253403897606.88202</v>
      </c>
      <c r="BM38" s="107">
        <f t="shared" si="27"/>
        <v>2.855044493560932E-2</v>
      </c>
      <c r="BN38" s="107">
        <f t="shared" si="28"/>
        <v>2.8150476001551555E-2</v>
      </c>
      <c r="BO38" s="107"/>
      <c r="BP38" s="107"/>
      <c r="BQ38" s="107"/>
      <c r="BR38" s="107"/>
      <c r="BS38" s="107"/>
      <c r="BT38" s="107"/>
      <c r="BU38" s="76"/>
      <c r="BV38" s="76"/>
      <c r="BW38" s="76"/>
      <c r="CA38" s="321" t="str">
        <f>CPPIB.!A34</f>
        <v>3Q2006/07</v>
      </c>
      <c r="CB38" s="50">
        <f>CPPIB.!B34</f>
        <v>101554</v>
      </c>
      <c r="CC38" s="50">
        <f>CPPIB.!C34</f>
        <v>2983</v>
      </c>
      <c r="CD38" s="40">
        <f>CPPIB.!D34</f>
        <v>98571</v>
      </c>
      <c r="CE38" s="40">
        <f>CPPIB.!E34</f>
        <v>77302</v>
      </c>
      <c r="CF38" s="234">
        <f t="shared" si="45"/>
        <v>3.9791031780583408E-2</v>
      </c>
      <c r="CG38" s="107">
        <f t="shared" si="46"/>
        <v>3.9019761983739146E-2</v>
      </c>
      <c r="CH38" s="393">
        <f t="shared" si="47"/>
        <v>1.0390197619837391</v>
      </c>
      <c r="CI38" s="107"/>
      <c r="CJ38" s="107"/>
      <c r="CK38" s="383"/>
      <c r="CL38" s="107"/>
      <c r="CM38" s="107"/>
      <c r="CN38" s="410">
        <v>1.11565</v>
      </c>
      <c r="CO38" s="327" t="str">
        <f t="shared" si="51"/>
        <v>3Q2006/07</v>
      </c>
      <c r="CP38" s="187">
        <f t="shared" si="34"/>
        <v>91026.755702953436</v>
      </c>
      <c r="CQ38" s="187"/>
      <c r="CR38" s="187">
        <f t="shared" si="35"/>
        <v>2673.7776184287186</v>
      </c>
      <c r="CS38" s="40">
        <f t="shared" si="36"/>
        <v>88352.978084524715</v>
      </c>
      <c r="CU38" s="40">
        <f t="shared" si="37"/>
        <v>69288.755434051898</v>
      </c>
      <c r="CW38" s="76">
        <f t="shared" si="48"/>
        <v>3.5713599517874117E-2</v>
      </c>
      <c r="CX38" s="420">
        <f t="shared" si="49"/>
        <v>3.5713599517874117E-2</v>
      </c>
      <c r="CY38" s="205"/>
      <c r="CZ38" s="205"/>
      <c r="DA38" s="205"/>
      <c r="DB38" s="107"/>
      <c r="DC38" s="205"/>
      <c r="DD38" s="205"/>
      <c r="DE38" s="421">
        <f t="shared" si="29"/>
        <v>1.0031921589785091</v>
      </c>
      <c r="DF38" s="321">
        <v>1.11565</v>
      </c>
      <c r="DG38" s="40">
        <f>CPPIB.!K34</f>
        <v>0</v>
      </c>
      <c r="DH38" s="40">
        <v>0</v>
      </c>
      <c r="DI38" s="40">
        <f>CPPIB.!M34</f>
        <v>17</v>
      </c>
      <c r="DJ38" s="40">
        <f t="shared" si="22"/>
        <v>17</v>
      </c>
      <c r="DK38" s="40">
        <f t="shared" si="23"/>
        <v>1.724645179616723E-4</v>
      </c>
      <c r="DL38" s="326" t="str">
        <f t="shared" si="52"/>
        <v>3Q2006/07</v>
      </c>
      <c r="DM38" s="40">
        <f>DG38/DF38</f>
        <v>0</v>
      </c>
      <c r="DN38" s="40">
        <f t="shared" si="24"/>
        <v>0</v>
      </c>
      <c r="DO38" s="40">
        <f t="shared" si="25"/>
        <v>15.237753775825752</v>
      </c>
      <c r="DP38" s="40">
        <f t="shared" si="39"/>
        <v>15.237753775825752</v>
      </c>
      <c r="DQ38" s="40">
        <f t="shared" si="30"/>
        <v>1.724645179616723E-4</v>
      </c>
    </row>
    <row r="39" spans="1:121">
      <c r="A39" s="321" t="s">
        <v>13</v>
      </c>
      <c r="B39" s="74"/>
      <c r="C39" s="74"/>
      <c r="D39" s="74">
        <v>1782139</v>
      </c>
      <c r="E39" s="74">
        <f t="shared" ref="E39:E68" si="54">C39/D39</f>
        <v>0</v>
      </c>
      <c r="F39" s="74">
        <v>1447179</v>
      </c>
      <c r="G39" s="74"/>
      <c r="H39" s="74"/>
      <c r="I39" s="74"/>
      <c r="J39" s="74"/>
      <c r="K39" s="392" t="s">
        <v>13</v>
      </c>
      <c r="L39" s="53"/>
      <c r="M39" s="53"/>
      <c r="N39" s="53"/>
      <c r="O39" s="390">
        <f t="shared" ref="O39:O79" si="55">D39/$X39</f>
        <v>286225.31659800682</v>
      </c>
      <c r="P39" s="390"/>
      <c r="Q39" s="390">
        <f t="shared" ref="Q39:Q79" si="56">F39/X39</f>
        <v>232428.14811245751</v>
      </c>
      <c r="R39" s="390"/>
      <c r="S39" s="397">
        <f>NBIM!P38</f>
        <v>5.5911078756500698E-2</v>
      </c>
      <c r="T39" s="394"/>
      <c r="U39" s="108"/>
      <c r="V39" s="191"/>
      <c r="W39" s="391"/>
      <c r="X39" s="321">
        <v>6.2263500000000009</v>
      </c>
      <c r="Y39" s="321" t="s">
        <v>13</v>
      </c>
      <c r="Z39" s="40">
        <f>NBIM!AL38</f>
        <v>238.05899999999997</v>
      </c>
      <c r="AA39" s="40">
        <f>NBIM!AM38</f>
        <v>179.90100000000007</v>
      </c>
      <c r="AB39" s="40">
        <f t="shared" si="53"/>
        <v>417.96000000000004</v>
      </c>
      <c r="AC39" s="76">
        <f t="shared" ref="AC39:AC79" si="57">AB39/D39</f>
        <v>2.3452716090046851E-4</v>
      </c>
      <c r="AD39" s="173">
        <f>NBIM!AQ38</f>
        <v>71.958999999999946</v>
      </c>
      <c r="AE39" s="321" t="s">
        <v>13</v>
      </c>
      <c r="AF39" s="40">
        <f>Z39/X39</f>
        <v>38.234117902141691</v>
      </c>
      <c r="AG39" s="40">
        <f t="shared" si="40"/>
        <v>28.89349297742659</v>
      </c>
      <c r="AH39" s="40">
        <f t="shared" si="41"/>
        <v>67.12761087956828</v>
      </c>
      <c r="AI39" s="76">
        <f t="shared" ref="AI39:AI79" si="58">AH39/O39</f>
        <v>2.3452716090046849E-4</v>
      </c>
      <c r="AJ39" s="382">
        <f t="shared" si="44"/>
        <v>11.557172340135061</v>
      </c>
      <c r="AL39" s="321" t="s">
        <v>13</v>
      </c>
      <c r="AM39" s="91">
        <v>208319024969.98999</v>
      </c>
      <c r="AN39" s="92">
        <f t="shared" si="14"/>
        <v>4.1373251652886633E-2</v>
      </c>
      <c r="AO39" s="92">
        <f t="shared" si="15"/>
        <v>4.0540276428210772E-2</v>
      </c>
      <c r="AP39" s="401">
        <f>APG!B39</f>
        <v>4.11372360298429E-2</v>
      </c>
      <c r="AQ39" s="129">
        <f t="shared" si="4"/>
        <v>1.041137236029843</v>
      </c>
      <c r="AR39" s="405">
        <f t="shared" si="21"/>
        <v>8.379449508360981E-2</v>
      </c>
      <c r="AS39" s="55">
        <f>AR36+AR37+AR38+AR39</f>
        <v>0.20868661304458969</v>
      </c>
      <c r="AT39" s="55"/>
      <c r="AU39" s="55"/>
      <c r="AV39" s="129"/>
      <c r="AW39" s="188"/>
      <c r="AX39" s="55"/>
      <c r="AY39" s="55"/>
      <c r="AZ39" s="55"/>
      <c r="BA39" s="55"/>
      <c r="BB39" s="55"/>
      <c r="BC39" s="92"/>
      <c r="BD39" s="92"/>
      <c r="BE39" s="92"/>
      <c r="BF39" s="92"/>
      <c r="BG39" s="58"/>
      <c r="BH39" s="92"/>
      <c r="BI39" s="92"/>
      <c r="BJ39" s="409">
        <f t="shared" si="26"/>
        <v>0.96064082328589784</v>
      </c>
      <c r="BK39" s="410">
        <v>0.758351</v>
      </c>
      <c r="BL39" s="103">
        <f t="shared" ref="BL39:BL70" si="59">AM39/BK39</f>
        <v>274700006949.27545</v>
      </c>
      <c r="BM39" s="107">
        <f t="shared" si="27"/>
        <v>8.4040180689845423E-2</v>
      </c>
      <c r="BN39" s="107">
        <f t="shared" si="28"/>
        <v>8.069496938754106E-2</v>
      </c>
      <c r="BO39" s="107"/>
      <c r="BP39" s="107"/>
      <c r="BQ39" s="107"/>
      <c r="BR39" s="107"/>
      <c r="BS39" s="107"/>
      <c r="BT39" s="107"/>
      <c r="BU39" s="76"/>
      <c r="BV39" s="76"/>
      <c r="BW39" s="76"/>
      <c r="CA39" s="321" t="str">
        <f>CPPIB.!A35</f>
        <v>4Q2006/07</v>
      </c>
      <c r="CB39" s="50">
        <f>CPPIB.!B35</f>
        <v>109942</v>
      </c>
      <c r="CC39" s="50">
        <f>CPPIB.!C35</f>
        <v>1696</v>
      </c>
      <c r="CD39" s="40">
        <f>CPPIB.!D35</f>
        <v>108246</v>
      </c>
      <c r="CE39" s="40">
        <f>CPPIB.!E35</f>
        <v>78111</v>
      </c>
      <c r="CF39" s="234">
        <f t="shared" si="45"/>
        <v>8.9945318602834501E-2</v>
      </c>
      <c r="CG39" s="107">
        <f t="shared" si="46"/>
        <v>8.6127528563257533E-2</v>
      </c>
      <c r="CH39" s="393">
        <f t="shared" si="47"/>
        <v>1.0861275285632574</v>
      </c>
      <c r="CI39" s="107">
        <f>((CG39+1)*(CG38+1)*(CG37+1)*(CG36+1))-1</f>
        <v>0.14821922854969927</v>
      </c>
      <c r="CJ39" s="107"/>
      <c r="CK39" s="383"/>
      <c r="CL39" s="107"/>
      <c r="CM39" s="107"/>
      <c r="CN39" s="410">
        <v>1.1637000000000002</v>
      </c>
      <c r="CO39" s="327" t="str">
        <f t="shared" si="51"/>
        <v>4Q2006/07</v>
      </c>
      <c r="CP39" s="187">
        <f t="shared" ref="CP39:CP70" si="60">CB39/CN39</f>
        <v>94476.239580647918</v>
      </c>
      <c r="CQ39" s="187">
        <f>CP39+CP38+CP37+CP36</f>
        <v>347690.05725036247</v>
      </c>
      <c r="CR39" s="187">
        <f t="shared" ref="CR39:CR70" si="61">CC39/CN39</f>
        <v>1457.4202973274896</v>
      </c>
      <c r="CS39" s="40">
        <f t="shared" ref="CS39:CS70" si="62">CD39/CN39</f>
        <v>93018.819283320423</v>
      </c>
      <c r="CT39" s="40">
        <f>CS39+CS38+CS37+CS36</f>
        <v>339879.17486753128</v>
      </c>
      <c r="CU39" s="40">
        <f t="shared" ref="CU39:CU70" si="63">CE39/CN39</f>
        <v>67122.969837586992</v>
      </c>
      <c r="CV39" s="40">
        <f>CU39+CU38+CU37+CU36</f>
        <v>261858.79979944765</v>
      </c>
      <c r="CW39" s="76">
        <f t="shared" si="48"/>
        <v>4.1280551036863455E-2</v>
      </c>
      <c r="CX39" s="420">
        <f t="shared" si="49"/>
        <v>4.1280551036863455E-2</v>
      </c>
      <c r="CY39" s="205"/>
      <c r="CZ39" s="205"/>
      <c r="DA39" s="205"/>
      <c r="DB39" s="107">
        <f>((CX51+1)*(CX50+1)*(CX49+1)*(CX48+1))-1</f>
        <v>0.25901781745407937</v>
      </c>
      <c r="DC39" s="205"/>
      <c r="DD39" s="205"/>
      <c r="DE39" s="421">
        <f t="shared" si="29"/>
        <v>1.0430690628781429</v>
      </c>
      <c r="DF39" s="321">
        <v>1.1637000000000002</v>
      </c>
      <c r="DG39" s="40">
        <f>CPPIB.!K35</f>
        <v>6</v>
      </c>
      <c r="DH39" s="40">
        <v>0</v>
      </c>
      <c r="DI39" s="40">
        <f>CPPIB.!M35</f>
        <v>28</v>
      </c>
      <c r="DJ39" s="40">
        <f t="shared" si="22"/>
        <v>34</v>
      </c>
      <c r="DK39" s="40">
        <f t="shared" si="23"/>
        <v>3.1409936625833749E-4</v>
      </c>
      <c r="DL39" s="326" t="str">
        <f t="shared" si="52"/>
        <v>4Q2006/07</v>
      </c>
      <c r="DM39" s="40">
        <f t="shared" si="38"/>
        <v>5.1559680329981949</v>
      </c>
      <c r="DN39" s="40">
        <f t="shared" si="24"/>
        <v>0</v>
      </c>
      <c r="DO39" s="40">
        <f t="shared" si="25"/>
        <v>24.061184153991576</v>
      </c>
      <c r="DP39" s="40">
        <f t="shared" si="39"/>
        <v>29.217152186989772</v>
      </c>
      <c r="DQ39" s="40">
        <f t="shared" si="30"/>
        <v>3.1409936625833754E-4</v>
      </c>
    </row>
    <row r="40" spans="1:121">
      <c r="A40" s="321" t="s">
        <v>14</v>
      </c>
      <c r="B40" s="40">
        <f>NBIM!V39</f>
        <v>2636586</v>
      </c>
      <c r="C40" s="40">
        <f>NBIM!W39</f>
        <v>760783</v>
      </c>
      <c r="D40" s="40">
        <f>B40-C40</f>
        <v>1875803</v>
      </c>
      <c r="E40" s="40">
        <f t="shared" si="54"/>
        <v>0.40557723812148716</v>
      </c>
      <c r="F40" s="40">
        <f>NBIM!Z39</f>
        <v>1542129</v>
      </c>
      <c r="G40" s="40">
        <v>94949</v>
      </c>
      <c r="H40" s="107">
        <f>((D40-(F40-F39))/D39)-1</f>
        <v>-7.2160476820271047E-4</v>
      </c>
      <c r="I40" s="107">
        <f t="shared" ref="I40:I79" si="64">(1+H40)*X39/X40-1</f>
        <v>1.9291465760964188E-2</v>
      </c>
      <c r="J40" s="234">
        <f>LN(1+H40)</f>
        <v>-7.2186525024104916E-4</v>
      </c>
      <c r="K40" s="321" t="s">
        <v>14</v>
      </c>
      <c r="L40" s="50">
        <f t="shared" ref="L40:L79" si="65">B40/X40</f>
        <v>431936.89487393713</v>
      </c>
      <c r="N40" s="50">
        <f t="shared" ref="N40:N79" si="66">C40/X40</f>
        <v>124634.75369014268</v>
      </c>
      <c r="O40" s="384">
        <f t="shared" si="55"/>
        <v>307302.14118379448</v>
      </c>
      <c r="P40" s="384"/>
      <c r="Q40" s="384">
        <f t="shared" si="56"/>
        <v>252638.22676561653</v>
      </c>
      <c r="R40" s="384"/>
      <c r="S40" s="396">
        <f>V40</f>
        <v>1.9291200062115932E-2</v>
      </c>
      <c r="T40" s="384">
        <f t="shared" ref="T40:T79" si="67">J40+1</f>
        <v>0.99927813474975891</v>
      </c>
      <c r="U40" s="382">
        <f>(X40/X39)</f>
        <v>0.98036570382326726</v>
      </c>
      <c r="V40" s="107">
        <f>(T40/U40)-1</f>
        <v>1.9291200062115932E-2</v>
      </c>
      <c r="W40" s="107"/>
      <c r="X40" s="321">
        <v>6.1041000000000007</v>
      </c>
      <c r="Y40" s="321" t="s">
        <v>14</v>
      </c>
      <c r="Z40" s="40">
        <f>NBIM!AL39</f>
        <v>206.68299999999999</v>
      </c>
      <c r="AA40" s="40">
        <f>NBIM!AM39</f>
        <v>179.488</v>
      </c>
      <c r="AB40" s="40">
        <f t="shared" si="53"/>
        <v>386.17099999999999</v>
      </c>
      <c r="AC40" s="76">
        <f t="shared" si="57"/>
        <v>2.0586969953667841E-4</v>
      </c>
      <c r="AD40" s="173">
        <f>NBIM!AQ39</f>
        <v>42.905000000000001</v>
      </c>
      <c r="AE40" s="321" t="s">
        <v>14</v>
      </c>
      <c r="AF40" s="40">
        <f t="shared" ref="AF40:AF70" si="68">Z40/X40</f>
        <v>33.859700856801162</v>
      </c>
      <c r="AG40" s="40">
        <f t="shared" si="40"/>
        <v>29.404498615684535</v>
      </c>
      <c r="AH40" s="40">
        <f t="shared" si="41"/>
        <v>63.2641994724857</v>
      </c>
      <c r="AI40" s="76">
        <f t="shared" si="58"/>
        <v>2.0586969953667841E-4</v>
      </c>
      <c r="AJ40" s="382">
        <f t="shared" si="44"/>
        <v>7.0288822267000866</v>
      </c>
      <c r="AL40" s="321" t="s">
        <v>14</v>
      </c>
      <c r="AM40" s="91">
        <v>211727937338.09</v>
      </c>
      <c r="AN40" s="92">
        <f t="shared" si="14"/>
        <v>1.6363903242111899E-2</v>
      </c>
      <c r="AO40" s="92">
        <f t="shared" si="15"/>
        <v>1.623145751023242E-2</v>
      </c>
      <c r="AP40" s="401">
        <f>APG!B40</f>
        <v>1.7276799782970899E-2</v>
      </c>
      <c r="AQ40" s="129">
        <f t="shared" si="4"/>
        <v>1.0172767997829708</v>
      </c>
      <c r="AR40" s="405">
        <f t="shared" ref="AR40:AR71" si="69">(AQ40/BJ40)-1</f>
        <v>2.6919689565400473E-2</v>
      </c>
      <c r="AS40" s="55"/>
      <c r="AT40" s="55"/>
      <c r="AU40" s="55"/>
      <c r="AV40" s="129"/>
      <c r="AW40" s="188"/>
      <c r="AX40" s="55"/>
      <c r="AY40" s="55"/>
      <c r="AZ40" s="55"/>
      <c r="BA40" s="55"/>
      <c r="BB40" s="55"/>
      <c r="BC40" s="92"/>
      <c r="BD40" s="92"/>
      <c r="BE40" s="92"/>
      <c r="BF40" s="92"/>
      <c r="BG40" s="58"/>
      <c r="BH40" s="92"/>
      <c r="BI40" s="92"/>
      <c r="BJ40" s="409">
        <f t="shared" si="26"/>
        <v>0.99060988908829806</v>
      </c>
      <c r="BK40" s="410">
        <v>0.75122999999999995</v>
      </c>
      <c r="BL40" s="103">
        <f t="shared" si="59"/>
        <v>281841696069.23315</v>
      </c>
      <c r="BM40" s="107">
        <f t="shared" si="27"/>
        <v>2.5998139567853906E-2</v>
      </c>
      <c r="BN40" s="107">
        <f t="shared" si="28"/>
        <v>2.5665933460241687E-2</v>
      </c>
      <c r="BO40" s="107"/>
      <c r="BP40" s="107"/>
      <c r="BQ40" s="107"/>
      <c r="BR40" s="107"/>
      <c r="BS40" s="107"/>
      <c r="BT40" s="107"/>
      <c r="BU40" s="76"/>
      <c r="BV40" s="76"/>
      <c r="BW40" s="76"/>
      <c r="CA40" s="321" t="str">
        <f>CPPIB.!A36</f>
        <v>1Q2007/07</v>
      </c>
      <c r="CB40" s="50">
        <f>CPPIB.!B36</f>
        <v>119959</v>
      </c>
      <c r="CC40" s="50">
        <f>CPPIB.!C36</f>
        <v>4024</v>
      </c>
      <c r="CD40" s="40">
        <f>CPPIB.!D36</f>
        <v>115935</v>
      </c>
      <c r="CE40" s="40">
        <f>CPPIB.!E36</f>
        <v>83169</v>
      </c>
      <c r="CF40" s="234">
        <f t="shared" si="45"/>
        <v>2.4305748018402573E-2</v>
      </c>
      <c r="CG40" s="107">
        <f t="shared" si="46"/>
        <v>2.4015064099788246E-2</v>
      </c>
      <c r="CH40" s="393">
        <f t="shared" si="47"/>
        <v>1.0240150640997883</v>
      </c>
      <c r="CI40" s="107"/>
      <c r="CJ40" s="107"/>
      <c r="CK40" s="383"/>
      <c r="CL40" s="107"/>
      <c r="CM40" s="107"/>
      <c r="CN40" s="410">
        <v>1.1536500000000001</v>
      </c>
      <c r="CO40" s="327" t="str">
        <f t="shared" si="51"/>
        <v>1Q2007/07</v>
      </c>
      <c r="CP40" s="187">
        <f t="shared" si="60"/>
        <v>103982.14363108395</v>
      </c>
      <c r="CQ40" s="187"/>
      <c r="CR40" s="187">
        <f t="shared" si="61"/>
        <v>3488.0596368049232</v>
      </c>
      <c r="CS40" s="40">
        <f t="shared" si="62"/>
        <v>100494.08399427902</v>
      </c>
      <c r="CU40" s="40">
        <f t="shared" si="63"/>
        <v>72092.05564946041</v>
      </c>
      <c r="CW40" s="76">
        <f t="shared" si="48"/>
        <v>3.2935751825010851E-2</v>
      </c>
      <c r="CX40" s="420">
        <f t="shared" si="49"/>
        <v>3.2935751825010851E-2</v>
      </c>
      <c r="CY40" s="205">
        <f>((CX37+1)*(1+CX38)*(1+CX39)*(1+CX40))-1</f>
        <v>0.13539264649738736</v>
      </c>
      <c r="CZ40" s="205"/>
      <c r="DA40" s="205"/>
      <c r="DB40" s="107"/>
      <c r="DC40" s="205"/>
      <c r="DD40" s="205"/>
      <c r="DE40" s="421">
        <f t="shared" si="29"/>
        <v>0.99136375354472794</v>
      </c>
      <c r="DF40" s="321">
        <v>1.1536500000000001</v>
      </c>
      <c r="DG40" s="40">
        <f>CPPIB.!K36</f>
        <v>12</v>
      </c>
      <c r="DH40" s="40">
        <v>0</v>
      </c>
      <c r="DI40" s="40">
        <f>CPPIB.!M36</f>
        <v>51</v>
      </c>
      <c r="DJ40" s="40">
        <f t="shared" si="22"/>
        <v>63</v>
      </c>
      <c r="DK40" s="40">
        <f t="shared" ref="DK40:DK71" si="70">DJ40/CD40</f>
        <v>5.4340794410661145E-4</v>
      </c>
      <c r="DL40" s="326" t="str">
        <f t="shared" si="52"/>
        <v>1Q2007/07</v>
      </c>
      <c r="DM40" s="40">
        <f t="shared" si="38"/>
        <v>10.401768300611103</v>
      </c>
      <c r="DN40" s="40">
        <f t="shared" si="24"/>
        <v>0</v>
      </c>
      <c r="DO40" s="40">
        <f t="shared" si="25"/>
        <v>44.207515277597189</v>
      </c>
      <c r="DP40" s="40">
        <f t="shared" si="39"/>
        <v>54.609283578208291</v>
      </c>
      <c r="DQ40" s="40">
        <f t="shared" si="30"/>
        <v>5.4340794410661145E-4</v>
      </c>
    </row>
    <row r="41" spans="1:121">
      <c r="A41" s="321" t="s">
        <v>15</v>
      </c>
      <c r="B41" s="40">
        <f>NBIM!V40</f>
        <v>2673453</v>
      </c>
      <c r="C41" s="40">
        <f>NBIM!W40</f>
        <v>734764</v>
      </c>
      <c r="D41" s="40">
        <f t="shared" ref="D41:D67" si="71">B41-C41</f>
        <v>1938689</v>
      </c>
      <c r="E41" s="40">
        <f t="shared" si="54"/>
        <v>0.37900044824105361</v>
      </c>
      <c r="F41" s="40">
        <f>NBIM!Z40</f>
        <v>1609671</v>
      </c>
      <c r="G41" s="40">
        <f>162491-G40</f>
        <v>67542</v>
      </c>
      <c r="H41" s="107">
        <f t="shared" ref="H41:H68" si="72">((D41-(F41-F40))/D40)-1</f>
        <v>-2.4821369834678864E-3</v>
      </c>
      <c r="I41" s="107">
        <f t="shared" si="64"/>
        <v>3.0915673408994371E-2</v>
      </c>
      <c r="J41" s="234">
        <f t="shared" ref="J41:J79" si="73">LN(1+H41)</f>
        <v>-2.4852225924639096E-3</v>
      </c>
      <c r="K41" s="321" t="s">
        <v>15</v>
      </c>
      <c r="L41" s="50">
        <f t="shared" si="65"/>
        <v>452640.46323025215</v>
      </c>
      <c r="N41" s="50">
        <f t="shared" si="66"/>
        <v>124402.38048879594</v>
      </c>
      <c r="O41" s="384">
        <f t="shared" si="55"/>
        <v>328238.08274145616</v>
      </c>
      <c r="P41" s="384"/>
      <c r="Q41" s="384">
        <f t="shared" si="56"/>
        <v>272532.27458582708</v>
      </c>
      <c r="R41" s="384"/>
      <c r="S41" s="396">
        <f t="shared" ref="S41:S78" si="74">V41</f>
        <v>3.0912484490987158E-2</v>
      </c>
      <c r="T41" s="384">
        <f t="shared" si="67"/>
        <v>0.99751477740753614</v>
      </c>
      <c r="U41" s="382">
        <f t="shared" ref="U41:U72" si="75">(X41/X40)</f>
        <v>0.96760374174735009</v>
      </c>
      <c r="V41" s="107">
        <f t="shared" ref="V41:V78" si="76">(T41/U41)-1</f>
        <v>3.0912484490987158E-2</v>
      </c>
      <c r="W41" s="76"/>
      <c r="X41" s="321">
        <v>5.9063500000000007</v>
      </c>
      <c r="Y41" s="321" t="s">
        <v>15</v>
      </c>
      <c r="Z41" s="40">
        <f>NBIM!AL40</f>
        <v>264.65400000000005</v>
      </c>
      <c r="AA41" s="40">
        <f>NBIM!AM40</f>
        <v>187.59999999999991</v>
      </c>
      <c r="AB41" s="40">
        <f t="shared" si="53"/>
        <v>452.25399999999996</v>
      </c>
      <c r="AC41" s="76">
        <f t="shared" si="57"/>
        <v>2.3327826175317443E-4</v>
      </c>
      <c r="AD41" s="173">
        <f>NBIM!AQ40</f>
        <v>91.36099999999999</v>
      </c>
      <c r="AE41" s="321" t="s">
        <v>15</v>
      </c>
      <c r="AF41" s="40">
        <f>Z41/X41</f>
        <v>44.808384196669692</v>
      </c>
      <c r="AG41" s="40">
        <f t="shared" si="40"/>
        <v>31.76242518645185</v>
      </c>
      <c r="AH41" s="40">
        <f t="shared" si="41"/>
        <v>76.570809383121542</v>
      </c>
      <c r="AI41" s="76">
        <f t="shared" si="58"/>
        <v>2.3327826175317443E-4</v>
      </c>
      <c r="AJ41" s="382">
        <f t="shared" si="44"/>
        <v>15.468267203941517</v>
      </c>
      <c r="AL41" s="321" t="s">
        <v>15</v>
      </c>
      <c r="AM41" s="91">
        <v>214586250637.22</v>
      </c>
      <c r="AN41" s="92">
        <f t="shared" si="14"/>
        <v>1.3499934562559934E-2</v>
      </c>
      <c r="AO41" s="92">
        <f t="shared" si="15"/>
        <v>1.3409622344113848E-2</v>
      </c>
      <c r="AP41" s="401">
        <f>APG!B41</f>
        <v>1.3587908499660401E-2</v>
      </c>
      <c r="AQ41" s="129">
        <f t="shared" si="4"/>
        <v>1.0135879084996604</v>
      </c>
      <c r="AR41" s="405">
        <f t="shared" si="69"/>
        <v>2.8359722410894017E-2</v>
      </c>
      <c r="AS41" s="55"/>
      <c r="AT41" s="55"/>
      <c r="AU41" s="55"/>
      <c r="AV41" s="129"/>
      <c r="AW41" s="188"/>
      <c r="AX41" s="55"/>
      <c r="AY41" s="55"/>
      <c r="AZ41" s="55"/>
      <c r="BA41" s="55"/>
      <c r="BB41" s="55"/>
      <c r="BC41" s="92"/>
      <c r="BD41" s="92"/>
      <c r="BE41" s="92"/>
      <c r="BF41" s="92"/>
      <c r="BG41" s="58"/>
      <c r="BH41" s="92"/>
      <c r="BI41" s="92"/>
      <c r="BJ41" s="409">
        <f t="shared" si="26"/>
        <v>0.9856355576853959</v>
      </c>
      <c r="BK41" s="410">
        <v>0.74043899999999996</v>
      </c>
      <c r="BL41" s="103">
        <f t="shared" si="59"/>
        <v>289809492256.91785</v>
      </c>
      <c r="BM41" s="107">
        <f t="shared" si="27"/>
        <v>2.8270466360404756E-2</v>
      </c>
      <c r="BN41" s="107">
        <f t="shared" si="28"/>
        <v>2.7878232000728548E-2</v>
      </c>
      <c r="BO41" s="107"/>
      <c r="BP41" s="107"/>
      <c r="BQ41" s="107"/>
      <c r="BR41" s="107"/>
      <c r="BS41" s="107"/>
      <c r="BT41" s="107"/>
      <c r="BU41" s="76"/>
      <c r="BV41" s="76"/>
      <c r="BW41" s="76"/>
      <c r="CA41" s="321" t="str">
        <f>CPPIB.!A37</f>
        <v>2Q2007/08</v>
      </c>
      <c r="CB41" s="50">
        <f>CPPIB.!B37</f>
        <v>124078</v>
      </c>
      <c r="CC41" s="50">
        <f>CPPIB.!C37</f>
        <v>3611</v>
      </c>
      <c r="CD41" s="40">
        <f>CPPIB.!D37</f>
        <v>120467</v>
      </c>
      <c r="CE41" s="40">
        <f>CPPIB.!E37</f>
        <v>86928</v>
      </c>
      <c r="CF41" s="234">
        <f t="shared" si="45"/>
        <v>6.6675292189588564E-3</v>
      </c>
      <c r="CG41" s="107">
        <f t="shared" si="46"/>
        <v>6.6453995583268454E-3</v>
      </c>
      <c r="CH41" s="393">
        <f t="shared" si="47"/>
        <v>1.0066453995583269</v>
      </c>
      <c r="CI41" s="107"/>
      <c r="CJ41" s="107"/>
      <c r="CK41" s="383"/>
      <c r="CL41" s="107"/>
      <c r="CM41" s="107"/>
      <c r="CN41" s="410">
        <v>1.0637500000000002</v>
      </c>
      <c r="CO41" s="327" t="str">
        <f t="shared" si="51"/>
        <v>2Q2007/08</v>
      </c>
      <c r="CP41" s="187">
        <f t="shared" si="60"/>
        <v>116642.06815511161</v>
      </c>
      <c r="CQ41" s="187"/>
      <c r="CR41" s="187">
        <f t="shared" si="61"/>
        <v>3394.5945945945941</v>
      </c>
      <c r="CS41" s="40">
        <f t="shared" si="62"/>
        <v>113247.47356051701</v>
      </c>
      <c r="CU41" s="40">
        <f t="shared" si="63"/>
        <v>81718.448883666264</v>
      </c>
      <c r="CW41" s="76">
        <f t="shared" si="48"/>
        <v>9.1719356240153926E-2</v>
      </c>
      <c r="CX41" s="420">
        <f t="shared" si="49"/>
        <v>9.1719356240153926E-2</v>
      </c>
      <c r="CY41" s="205"/>
      <c r="CZ41" s="205"/>
      <c r="DA41" s="205"/>
      <c r="DB41" s="107"/>
      <c r="DC41" s="205"/>
      <c r="DD41" s="205"/>
      <c r="DE41" s="421">
        <f t="shared" si="29"/>
        <v>0.92207341914792196</v>
      </c>
      <c r="DF41" s="321">
        <v>1.0637500000000002</v>
      </c>
      <c r="DG41" s="40">
        <f>CPPIB.!K37</f>
        <v>58</v>
      </c>
      <c r="DH41" s="40">
        <f>CPPIB.!L37</f>
        <v>17</v>
      </c>
      <c r="DI41" s="40">
        <f>CPPIB.!M37</f>
        <v>32</v>
      </c>
      <c r="DJ41" s="40">
        <f t="shared" si="22"/>
        <v>107</v>
      </c>
      <c r="DK41" s="40">
        <f t="shared" si="70"/>
        <v>8.8821004922509899E-4</v>
      </c>
      <c r="DL41" s="326" t="str">
        <f t="shared" si="52"/>
        <v>2Q2007/08</v>
      </c>
      <c r="DM41" s="40">
        <f t="shared" si="38"/>
        <v>54.524089306697995</v>
      </c>
      <c r="DN41" s="40">
        <f>DH41/DF41</f>
        <v>15.981198589894239</v>
      </c>
      <c r="DO41" s="40">
        <f t="shared" si="25"/>
        <v>30.082256169212684</v>
      </c>
      <c r="DP41" s="40">
        <f>DO41+DN41+DM41</f>
        <v>100.58754406580492</v>
      </c>
      <c r="DQ41" s="40">
        <f t="shared" si="30"/>
        <v>8.882100492250991E-4</v>
      </c>
    </row>
    <row r="42" spans="1:121">
      <c r="A42" s="321" t="s">
        <v>16</v>
      </c>
      <c r="B42" s="40">
        <f>NBIM!V41</f>
        <v>2712955</v>
      </c>
      <c r="C42" s="40">
        <f>NBIM!W41</f>
        <v>781970</v>
      </c>
      <c r="D42" s="40">
        <f t="shared" si="71"/>
        <v>1930985</v>
      </c>
      <c r="E42" s="40">
        <f t="shared" si="54"/>
        <v>0.40495912707763138</v>
      </c>
      <c r="F42" s="40">
        <f>NBIM!Z41</f>
        <v>1685549</v>
      </c>
      <c r="G42" s="40">
        <f>238369-(G41+G40)</f>
        <v>75878</v>
      </c>
      <c r="H42" s="107">
        <f t="shared" si="72"/>
        <v>-4.3112639520830776E-2</v>
      </c>
      <c r="I42" s="107">
        <f t="shared" si="64"/>
        <v>4.2318532263569963E-2</v>
      </c>
      <c r="J42" s="234">
        <f t="shared" si="73"/>
        <v>-4.4069595105173706E-2</v>
      </c>
      <c r="K42" s="321" t="s">
        <v>16</v>
      </c>
      <c r="L42" s="50">
        <f t="shared" si="65"/>
        <v>500337.49827101297</v>
      </c>
      <c r="N42" s="50">
        <f t="shared" si="66"/>
        <v>144215.03988196782</v>
      </c>
      <c r="O42" s="384">
        <f t="shared" si="55"/>
        <v>356122.45838904515</v>
      </c>
      <c r="P42" s="384"/>
      <c r="Q42" s="384">
        <f t="shared" si="56"/>
        <v>310857.85421181243</v>
      </c>
      <c r="R42" s="384"/>
      <c r="S42" s="396">
        <f>V42</f>
        <v>4.127613941639674E-2</v>
      </c>
      <c r="T42" s="384">
        <f t="shared" si="67"/>
        <v>0.95593040489482628</v>
      </c>
      <c r="U42" s="382">
        <f t="shared" si="75"/>
        <v>0.91803736656310575</v>
      </c>
      <c r="V42" s="107">
        <f>(T42/U42)-1</f>
        <v>4.127613941639674E-2</v>
      </c>
      <c r="W42" s="76"/>
      <c r="X42" s="321">
        <v>5.42225</v>
      </c>
      <c r="Y42" s="321" t="s">
        <v>16</v>
      </c>
      <c r="Z42" s="40">
        <f>NBIM!AL41</f>
        <v>247.25799999999998</v>
      </c>
      <c r="AA42" s="40">
        <f>NBIM!AM41</f>
        <v>233.88600000000002</v>
      </c>
      <c r="AB42" s="40">
        <f t="shared" si="53"/>
        <v>481.14400000000001</v>
      </c>
      <c r="AC42" s="76">
        <f t="shared" si="57"/>
        <v>2.4917024213031173E-4</v>
      </c>
      <c r="AD42" s="173">
        <f>NBIM!AQ41</f>
        <v>64.128000000000014</v>
      </c>
      <c r="AE42" s="321" t="s">
        <v>16</v>
      </c>
      <c r="AF42" s="40">
        <f t="shared" si="68"/>
        <v>45.600627045967997</v>
      </c>
      <c r="AG42" s="40">
        <f t="shared" si="40"/>
        <v>43.134492138872247</v>
      </c>
      <c r="AH42" s="40">
        <f t="shared" si="41"/>
        <v>88.735119184840244</v>
      </c>
      <c r="AI42" s="76">
        <f t="shared" si="58"/>
        <v>2.4917024213031173E-4</v>
      </c>
      <c r="AJ42" s="382">
        <f t="shared" si="44"/>
        <v>11.826824657660568</v>
      </c>
      <c r="AL42" s="321" t="s">
        <v>16</v>
      </c>
      <c r="AM42" s="91">
        <v>218288874348.92999</v>
      </c>
      <c r="AN42" s="92">
        <f t="shared" si="14"/>
        <v>1.7254710871339451E-2</v>
      </c>
      <c r="AO42" s="92">
        <f t="shared" si="15"/>
        <v>1.7107538875756157E-2</v>
      </c>
      <c r="AP42" s="401">
        <f>APG!B42</f>
        <v>1.7014308856727198E-2</v>
      </c>
      <c r="AQ42" s="129">
        <f t="shared" si="4"/>
        <v>1.0170143088567272</v>
      </c>
      <c r="AR42" s="405">
        <f>(AQ42/BJ42)-1</f>
        <v>7.0931206132829105E-2</v>
      </c>
      <c r="AS42" s="55"/>
      <c r="AT42" s="55"/>
      <c r="AU42" s="55"/>
      <c r="AV42" s="129"/>
      <c r="AW42" s="188"/>
      <c r="AX42" s="55"/>
      <c r="AY42" s="55"/>
      <c r="AZ42" s="55"/>
      <c r="BA42" s="55"/>
      <c r="BB42" s="55"/>
      <c r="BC42" s="92"/>
      <c r="BD42" s="92"/>
      <c r="BE42" s="92"/>
      <c r="BF42" s="92"/>
      <c r="BG42" s="58"/>
      <c r="BH42" s="92"/>
      <c r="BI42" s="92"/>
      <c r="BJ42" s="409">
        <f t="shared" si="26"/>
        <v>0.94965419163496245</v>
      </c>
      <c r="BK42" s="410">
        <v>0.70316099999999992</v>
      </c>
      <c r="BL42" s="103">
        <f t="shared" si="59"/>
        <v>310439393465.97723</v>
      </c>
      <c r="BM42" s="107">
        <f t="shared" si="27"/>
        <v>7.1184353032753167E-2</v>
      </c>
      <c r="BN42" s="107">
        <f t="shared" si="28"/>
        <v>6.8764908335896283E-2</v>
      </c>
      <c r="BO42" s="107"/>
      <c r="BP42" s="107"/>
      <c r="BQ42" s="107"/>
      <c r="BR42" s="107"/>
      <c r="BS42" s="107"/>
      <c r="BT42" s="107"/>
      <c r="BU42" s="76"/>
      <c r="BV42" s="76"/>
      <c r="BW42" s="76"/>
      <c r="CA42" s="321" t="str">
        <f>CPPIB.!A38</f>
        <v>3Q2007/08</v>
      </c>
      <c r="CB42" s="50">
        <f>CPPIB.!B38</f>
        <v>123148</v>
      </c>
      <c r="CC42" s="50">
        <f>CPPIB.!C38</f>
        <v>1893</v>
      </c>
      <c r="CD42" s="40">
        <f>CPPIB.!D38</f>
        <v>121255</v>
      </c>
      <c r="CE42" s="40">
        <f>CPPIB.!E38</f>
        <v>87810</v>
      </c>
      <c r="CF42" s="234">
        <f t="shared" si="45"/>
        <v>-7.8029667875845199E-4</v>
      </c>
      <c r="CG42" s="107">
        <f t="shared" si="46"/>
        <v>-7.8060126866919715E-4</v>
      </c>
      <c r="CH42" s="393">
        <f t="shared" si="47"/>
        <v>0.99921939873133081</v>
      </c>
      <c r="CI42" s="107"/>
      <c r="CJ42" s="107"/>
      <c r="CK42" s="383"/>
      <c r="CL42" s="107"/>
      <c r="CM42" s="107"/>
      <c r="CN42" s="410">
        <v>0.99370000000000003</v>
      </c>
      <c r="CO42" s="327" t="str">
        <f t="shared" si="51"/>
        <v>3Q2007/08</v>
      </c>
      <c r="CP42" s="187">
        <f t="shared" si="60"/>
        <v>123928.75113213243</v>
      </c>
      <c r="CQ42" s="187"/>
      <c r="CR42" s="187">
        <f t="shared" si="61"/>
        <v>1905.0015095099125</v>
      </c>
      <c r="CS42" s="40">
        <f t="shared" si="62"/>
        <v>122023.74962262252</v>
      </c>
      <c r="CU42" s="40">
        <f t="shared" si="63"/>
        <v>88366.710274730794</v>
      </c>
      <c r="CW42" s="76">
        <f t="shared" si="48"/>
        <v>6.9658483848700214E-2</v>
      </c>
      <c r="CX42" s="420">
        <f t="shared" si="49"/>
        <v>6.9658483848700214E-2</v>
      </c>
      <c r="CY42" s="205"/>
      <c r="CZ42" s="205"/>
      <c r="DA42" s="205"/>
      <c r="DB42" s="107"/>
      <c r="DC42" s="205"/>
      <c r="DD42" s="205"/>
      <c r="DE42" s="421">
        <f t="shared" si="29"/>
        <v>0.93414806110458271</v>
      </c>
      <c r="DF42" s="321">
        <v>0.99370000000000003</v>
      </c>
      <c r="DG42" s="40">
        <f>CPPIB.!K38</f>
        <v>53</v>
      </c>
      <c r="DH42" s="40">
        <f>CPPIB.!L38</f>
        <v>16</v>
      </c>
      <c r="DI42" s="40">
        <f>CPPIB.!M38</f>
        <v>38</v>
      </c>
      <c r="DJ42" s="40">
        <f t="shared" si="22"/>
        <v>107</v>
      </c>
      <c r="DK42" s="40">
        <f t="shared" si="70"/>
        <v>8.8243783761494368E-4</v>
      </c>
      <c r="DL42" s="326" t="str">
        <f t="shared" si="52"/>
        <v>3Q2007/08</v>
      </c>
      <c r="DM42" s="40">
        <f t="shared" si="38"/>
        <v>53.33601690651102</v>
      </c>
      <c r="DN42" s="40">
        <f t="shared" ref="DN42:DN79" si="77">DH42/DF42</f>
        <v>16.101439066116534</v>
      </c>
      <c r="DO42" s="40">
        <f t="shared" si="25"/>
        <v>38.24091778202677</v>
      </c>
      <c r="DP42" s="40">
        <f>DO42+DN42+DM42</f>
        <v>107.67837375465433</v>
      </c>
      <c r="DQ42" s="40">
        <f>DP42/CS42</f>
        <v>8.8243783761494379E-4</v>
      </c>
    </row>
    <row r="43" spans="1:121">
      <c r="A43" s="321" t="s">
        <v>17</v>
      </c>
      <c r="B43" s="40">
        <f>NBIM!V42</f>
        <v>2766488</v>
      </c>
      <c r="C43" s="40">
        <f>NBIM!W42</f>
        <v>749533</v>
      </c>
      <c r="D43" s="40">
        <f t="shared" si="71"/>
        <v>2016955</v>
      </c>
      <c r="E43" s="40">
        <f t="shared" si="54"/>
        <v>0.37161612430619423</v>
      </c>
      <c r="F43" s="40">
        <f>NBIM!Z42</f>
        <v>1762359</v>
      </c>
      <c r="G43" s="40">
        <f>315179-(G42+G41+G40)</f>
        <v>76810</v>
      </c>
      <c r="H43" s="107">
        <f t="shared" si="72"/>
        <v>4.7436929857040955E-3</v>
      </c>
      <c r="I43" s="107">
        <f t="shared" si="64"/>
        <v>3.3373830385248215E-3</v>
      </c>
      <c r="J43" s="234">
        <f t="shared" si="73"/>
        <v>4.7324771298644808E-3</v>
      </c>
      <c r="K43" s="321" t="s">
        <v>17</v>
      </c>
      <c r="L43" s="50">
        <f t="shared" si="65"/>
        <v>509496.21076088655</v>
      </c>
      <c r="M43" s="50">
        <f>L43+L42+L41+L40</f>
        <v>1894411.0671360889</v>
      </c>
      <c r="N43" s="50">
        <f t="shared" si="66"/>
        <v>138039.35651997753</v>
      </c>
      <c r="O43" s="384">
        <f t="shared" si="55"/>
        <v>371456.85424090904</v>
      </c>
      <c r="P43" s="384">
        <f>(O43+O42+O41+O40)</f>
        <v>1363119.5365552048</v>
      </c>
      <c r="Q43" s="384">
        <f t="shared" si="56"/>
        <v>324568.63449266553</v>
      </c>
      <c r="R43" s="384">
        <f>Q43+Q42+Q41+Q40</f>
        <v>1160596.9900559215</v>
      </c>
      <c r="S43" s="396">
        <f t="shared" si="74"/>
        <v>3.3261828811859129E-3</v>
      </c>
      <c r="T43" s="384">
        <f t="shared" si="67"/>
        <v>1.0047324771298645</v>
      </c>
      <c r="U43" s="382">
        <f t="shared" si="75"/>
        <v>1.0014016321637698</v>
      </c>
      <c r="V43" s="107">
        <f>(T43/U43)-1</f>
        <v>3.3261828811859129E-3</v>
      </c>
      <c r="W43" s="205">
        <f>((1+V43)*(1+V42)*(1+V41)*(1+V40))-1</f>
        <v>9.7812411217770734E-2</v>
      </c>
      <c r="X43" s="321">
        <v>5.4298500000000001</v>
      </c>
      <c r="Y43" s="321" t="s">
        <v>17</v>
      </c>
      <c r="Z43" s="40">
        <f>NBIM!AL42</f>
        <v>232.82600000000002</v>
      </c>
      <c r="AA43" s="40">
        <f>NBIM!AM42</f>
        <v>230.88000000000011</v>
      </c>
      <c r="AB43" s="40">
        <f t="shared" si="53"/>
        <v>463.70600000000013</v>
      </c>
      <c r="AC43" s="76">
        <f t="shared" si="57"/>
        <v>2.2990398893381366E-4</v>
      </c>
      <c r="AD43" s="173">
        <f>NBIM!AQ42</f>
        <v>70.146000000000015</v>
      </c>
      <c r="AE43" s="321" t="s">
        <v>17</v>
      </c>
      <c r="AF43" s="40">
        <f t="shared" si="68"/>
        <v>42.878900890448172</v>
      </c>
      <c r="AG43" s="40">
        <f t="shared" si="40"/>
        <v>42.520511616343015</v>
      </c>
      <c r="AH43" s="40">
        <f t="shared" si="41"/>
        <v>85.39941250679118</v>
      </c>
      <c r="AI43" s="76">
        <f t="shared" si="58"/>
        <v>2.2990398893381363E-4</v>
      </c>
      <c r="AJ43" s="382">
        <f t="shared" si="44"/>
        <v>12.918588911295895</v>
      </c>
      <c r="AL43" s="321" t="s">
        <v>17</v>
      </c>
      <c r="AM43" s="91">
        <v>216058649100.98001</v>
      </c>
      <c r="AN43" s="92">
        <f t="shared" si="14"/>
        <v>-1.0216852574836288E-2</v>
      </c>
      <c r="AO43" s="92">
        <f t="shared" si="15"/>
        <v>-1.0269402851809366E-2</v>
      </c>
      <c r="AP43" s="401">
        <f>APG!B43</f>
        <v>-1.0386437945226101E-2</v>
      </c>
      <c r="AQ43" s="129">
        <f t="shared" si="4"/>
        <v>0.98961356205477391</v>
      </c>
      <c r="AR43" s="405">
        <f t="shared" si="69"/>
        <v>1.7378897508807833E-2</v>
      </c>
      <c r="AS43" s="55">
        <f>AR40+AR41+AR42+AR43</f>
        <v>0.14358951561793143</v>
      </c>
      <c r="AT43" s="55"/>
      <c r="AU43" s="55"/>
      <c r="AV43" s="129"/>
      <c r="AW43" s="188"/>
      <c r="AX43" s="55"/>
      <c r="AY43" s="55"/>
      <c r="AZ43" s="55"/>
      <c r="BA43" s="55"/>
      <c r="BB43" s="55"/>
      <c r="BC43" s="92"/>
      <c r="BD43" s="92"/>
      <c r="BE43" s="92"/>
      <c r="BF43" s="92"/>
      <c r="BG43" s="58"/>
      <c r="BH43" s="92"/>
      <c r="BI43" s="92"/>
      <c r="BJ43" s="409">
        <f t="shared" si="26"/>
        <v>0.97270895285716941</v>
      </c>
      <c r="BK43" s="410">
        <v>0.683971</v>
      </c>
      <c r="BL43" s="103">
        <f t="shared" si="59"/>
        <v>315888610922.07129</v>
      </c>
      <c r="BM43" s="107">
        <f t="shared" si="27"/>
        <v>1.7553240892706601E-2</v>
      </c>
      <c r="BN43" s="107">
        <f t="shared" si="28"/>
        <v>1.7400962167374637E-2</v>
      </c>
      <c r="BO43" s="107"/>
      <c r="BP43" s="107"/>
      <c r="BQ43" s="107"/>
      <c r="BR43" s="107"/>
      <c r="BS43" s="107"/>
      <c r="BT43" s="107"/>
      <c r="BU43" s="76"/>
      <c r="BV43" s="76"/>
      <c r="BW43" s="76"/>
      <c r="CA43" s="321" t="str">
        <f>CPPIB.!A39</f>
        <v>4Q2007/08</v>
      </c>
      <c r="CB43" s="50">
        <f>CPPIB.!B39</f>
        <v>121678</v>
      </c>
      <c r="CC43" s="50">
        <f>CPPIB.!C39</f>
        <v>2241</v>
      </c>
      <c r="CD43" s="40">
        <f>CPPIB.!D39</f>
        <v>119437</v>
      </c>
      <c r="CE43" s="40">
        <f>CPPIB.!E39</f>
        <v>86138</v>
      </c>
      <c r="CF43" s="234">
        <f t="shared" si="45"/>
        <v>-1.2040740588017407E-3</v>
      </c>
      <c r="CG43" s="107">
        <f t="shared" si="46"/>
        <v>-1.2047995383838476E-3</v>
      </c>
      <c r="CH43" s="393">
        <f t="shared" si="47"/>
        <v>0.99879520046161618</v>
      </c>
      <c r="CI43" s="107">
        <f>((CG43+1)*(CG42+1)*(CG41+1)*(CG40+1))-1</f>
        <v>2.8774431841944281E-2</v>
      </c>
      <c r="CJ43" s="107"/>
      <c r="CK43" s="383"/>
      <c r="CL43" s="107"/>
      <c r="CM43" s="107"/>
      <c r="CN43" s="410">
        <v>0.9869500000000001</v>
      </c>
      <c r="CO43" s="327" t="str">
        <f t="shared" si="51"/>
        <v>4Q2007/08</v>
      </c>
      <c r="CP43" s="187">
        <f t="shared" si="60"/>
        <v>123286.89396625968</v>
      </c>
      <c r="CQ43" s="187">
        <f>CP43+CP42+CP41+CP40</f>
        <v>467839.85688458767</v>
      </c>
      <c r="CR43" s="187">
        <f t="shared" si="61"/>
        <v>2270.6317442626269</v>
      </c>
      <c r="CS43" s="40">
        <f t="shared" si="62"/>
        <v>121016.26222199705</v>
      </c>
      <c r="CT43" s="40">
        <f>CS43+CS42+CS41+CS40</f>
        <v>456781.56939941563</v>
      </c>
      <c r="CU43" s="40">
        <f t="shared" si="63"/>
        <v>87276.964385227213</v>
      </c>
      <c r="CV43" s="40">
        <f>CU43+CU42+CU41+CU40</f>
        <v>329454.17919308465</v>
      </c>
      <c r="CW43" s="76">
        <f t="shared" si="48"/>
        <v>5.6262127754271862E-3</v>
      </c>
      <c r="CX43" s="420">
        <f t="shared" si="49"/>
        <v>5.6262127754271862E-3</v>
      </c>
      <c r="CY43" s="205"/>
      <c r="CZ43" s="205"/>
      <c r="DA43" s="205"/>
      <c r="DB43" s="107">
        <f>((CX55+1)*(CX54+1)*(CX53+1)*(CX52+1))-1</f>
        <v>0.14541199550368389</v>
      </c>
      <c r="DC43" s="205"/>
      <c r="DD43" s="205"/>
      <c r="DE43" s="421">
        <f t="shared" si="29"/>
        <v>0.99320720539398222</v>
      </c>
      <c r="DF43" s="321">
        <v>0.9869500000000001</v>
      </c>
      <c r="DG43" s="40">
        <f>CPPIB.!K39</f>
        <v>41</v>
      </c>
      <c r="DH43" s="40">
        <f>CPPIB.!L39</f>
        <v>38</v>
      </c>
      <c r="DI43" s="40">
        <f>CPPIB.!M39</f>
        <v>31</v>
      </c>
      <c r="DJ43" s="40">
        <f t="shared" si="22"/>
        <v>110</v>
      </c>
      <c r="DK43" s="40">
        <f t="shared" si="70"/>
        <v>9.209876336478646E-4</v>
      </c>
      <c r="DL43" s="326" t="str">
        <f t="shared" si="52"/>
        <v>4Q2007/08</v>
      </c>
      <c r="DM43" s="40">
        <f t="shared" si="38"/>
        <v>41.542124727696432</v>
      </c>
      <c r="DN43" s="40">
        <f t="shared" si="77"/>
        <v>38.502457064694255</v>
      </c>
      <c r="DO43" s="40">
        <f t="shared" si="25"/>
        <v>31.40989918435584</v>
      </c>
      <c r="DP43" s="40">
        <f t="shared" ref="DP43:DP79" si="78">DO43+DN43+DM43</f>
        <v>111.45448097674652</v>
      </c>
      <c r="DQ43" s="40">
        <f t="shared" si="30"/>
        <v>9.2098763364786449E-4</v>
      </c>
    </row>
    <row r="44" spans="1:121">
      <c r="A44" s="321" t="s">
        <v>18</v>
      </c>
      <c r="B44" s="40">
        <f>NBIM!V43</f>
        <v>2913436</v>
      </c>
      <c r="C44" s="40">
        <f>NBIM!W43</f>
        <v>968046</v>
      </c>
      <c r="D44" s="40">
        <f t="shared" si="71"/>
        <v>1945390</v>
      </c>
      <c r="E44" s="40">
        <f t="shared" si="54"/>
        <v>0.49761024781663316</v>
      </c>
      <c r="F44" s="40">
        <f>NBIM!Z43</f>
        <v>1852207</v>
      </c>
      <c r="G44" s="40">
        <v>89848</v>
      </c>
      <c r="H44" s="107">
        <f>((D44-(F44-F43))/D43)-1</f>
        <v>-8.0028062103517428E-2</v>
      </c>
      <c r="I44" s="107">
        <f t="shared" si="64"/>
        <v>-1.7009961728299272E-2</v>
      </c>
      <c r="J44" s="234">
        <f t="shared" si="73"/>
        <v>-8.3412111690687241E-2</v>
      </c>
      <c r="K44" s="321" t="s">
        <v>18</v>
      </c>
      <c r="L44" s="50">
        <f t="shared" si="65"/>
        <v>573313.52388448862</v>
      </c>
      <c r="N44" s="50">
        <f t="shared" si="66"/>
        <v>190494.61307620406</v>
      </c>
      <c r="O44" s="384">
        <f t="shared" si="55"/>
        <v>382818.91080828453</v>
      </c>
      <c r="P44" s="384"/>
      <c r="Q44" s="384">
        <f t="shared" si="56"/>
        <v>364482.11738082353</v>
      </c>
      <c r="R44" s="384"/>
      <c r="S44" s="396">
        <f t="shared" si="74"/>
        <v>-2.0625818795430351E-2</v>
      </c>
      <c r="T44" s="384">
        <f t="shared" si="67"/>
        <v>0.91658788830931281</v>
      </c>
      <c r="U44" s="382">
        <f t="shared" si="75"/>
        <v>0.93589141504829787</v>
      </c>
      <c r="V44" s="107">
        <f t="shared" si="76"/>
        <v>-2.0625818795430351E-2</v>
      </c>
      <c r="W44" s="205"/>
      <c r="X44" s="321">
        <v>5.0817500000000004</v>
      </c>
      <c r="Y44" s="321" t="s">
        <v>18</v>
      </c>
      <c r="Z44" s="40">
        <f>NBIM!AL43</f>
        <v>237.91</v>
      </c>
      <c r="AA44" s="40">
        <f>NBIM!AM43</f>
        <v>240.72600000000003</v>
      </c>
      <c r="AB44" s="40">
        <f t="shared" si="53"/>
        <v>478.63600000000002</v>
      </c>
      <c r="AC44" s="76">
        <f t="shared" si="57"/>
        <v>2.4603601334436797E-4</v>
      </c>
      <c r="AD44" s="173">
        <f>NBIM!AQ43</f>
        <v>74.909000000000006</v>
      </c>
      <c r="AE44" s="321" t="s">
        <v>18</v>
      </c>
      <c r="AF44" s="40">
        <f t="shared" si="68"/>
        <v>46.816549417031531</v>
      </c>
      <c r="AG44" s="40">
        <f t="shared" si="40"/>
        <v>47.370689231071978</v>
      </c>
      <c r="AH44" s="40">
        <f t="shared" si="41"/>
        <v>94.187238648103516</v>
      </c>
      <c r="AI44" s="76">
        <f t="shared" si="58"/>
        <v>2.4603601334436802E-4</v>
      </c>
      <c r="AJ44" s="382">
        <f t="shared" si="44"/>
        <v>14.740788114330693</v>
      </c>
      <c r="AL44" s="321" t="s">
        <v>18</v>
      </c>
      <c r="AM44" s="91">
        <v>206062316609.70999</v>
      </c>
      <c r="AN44" s="92">
        <f t="shared" si="14"/>
        <v>-4.6266754572727109E-2</v>
      </c>
      <c r="AO44" s="92">
        <f t="shared" si="15"/>
        <v>-4.7371263586503613E-2</v>
      </c>
      <c r="AP44" s="401">
        <f>APG!B44</f>
        <v>-4.5103711398185503E-2</v>
      </c>
      <c r="AQ44" s="129">
        <f t="shared" si="4"/>
        <v>0.95489628860181452</v>
      </c>
      <c r="AR44" s="405">
        <f t="shared" si="69"/>
        <v>3.4903468280908623E-2</v>
      </c>
      <c r="AS44" s="55"/>
      <c r="AT44" s="55"/>
      <c r="AU44" s="55"/>
      <c r="AV44" s="129"/>
      <c r="AW44" s="188"/>
      <c r="AX44" s="55"/>
      <c r="AY44" s="55"/>
      <c r="AZ44" s="55"/>
      <c r="BA44" s="55"/>
      <c r="BB44" s="55"/>
      <c r="BC44" s="92"/>
      <c r="BD44" s="92"/>
      <c r="BE44" s="92"/>
      <c r="BF44" s="92"/>
      <c r="BG44" s="58"/>
      <c r="BH44" s="92"/>
      <c r="BI44" s="92"/>
      <c r="BJ44" s="409">
        <f t="shared" si="26"/>
        <v>0.92269116673075313</v>
      </c>
      <c r="BK44" s="410">
        <v>0.63109399999999993</v>
      </c>
      <c r="BL44" s="103">
        <f t="shared" si="59"/>
        <v>326516044534.90289</v>
      </c>
      <c r="BM44" s="107">
        <f t="shared" si="27"/>
        <v>3.3642978079552632E-2</v>
      </c>
      <c r="BN44" s="107">
        <f t="shared" si="28"/>
        <v>3.3089434141055724E-2</v>
      </c>
      <c r="BO44" s="107"/>
      <c r="BP44" s="107"/>
      <c r="BQ44" s="107"/>
      <c r="BR44" s="107"/>
      <c r="BS44" s="107"/>
      <c r="BT44" s="107"/>
      <c r="BU44" s="76"/>
      <c r="BV44" s="76"/>
      <c r="BW44" s="76"/>
      <c r="CA44" s="321" t="str">
        <f>CPPIB.!A40</f>
        <v>1Q2008/08</v>
      </c>
      <c r="CB44" s="50">
        <f>CPPIB.!B40</f>
        <v>130707</v>
      </c>
      <c r="CC44" s="50">
        <f>CPPIB.!C40</f>
        <v>8004</v>
      </c>
      <c r="CD44" s="40">
        <f>CPPIB.!D40</f>
        <v>122703</v>
      </c>
      <c r="CE44" s="40">
        <f>CPPIB.!E40</f>
        <v>90359</v>
      </c>
      <c r="CF44" s="234">
        <f t="shared" si="45"/>
        <v>-7.9958471830336997E-3</v>
      </c>
      <c r="CG44" s="107">
        <f t="shared" si="46"/>
        <v>-8.0279853986011136E-3</v>
      </c>
      <c r="CH44" s="393">
        <f t="shared" si="47"/>
        <v>0.99197201460139883</v>
      </c>
      <c r="CI44" s="107"/>
      <c r="CJ44" s="107"/>
      <c r="CK44" s="383"/>
      <c r="CL44" s="107"/>
      <c r="CM44" s="107"/>
      <c r="CN44" s="410">
        <v>1.0260500000000001</v>
      </c>
      <c r="CO44" s="327" t="str">
        <f t="shared" si="51"/>
        <v>1Q2008/08</v>
      </c>
      <c r="CP44" s="187">
        <f t="shared" si="60"/>
        <v>127388.52882413137</v>
      </c>
      <c r="CQ44" s="187"/>
      <c r="CR44" s="187">
        <f t="shared" si="61"/>
        <v>7800.7894352127078</v>
      </c>
      <c r="CS44" s="40">
        <f t="shared" si="62"/>
        <v>119587.73938891865</v>
      </c>
      <c r="CU44" s="40">
        <f t="shared" si="63"/>
        <v>88064.909117489384</v>
      </c>
      <c r="CW44" s="76">
        <f t="shared" si="48"/>
        <v>-4.5829365225037222E-2</v>
      </c>
      <c r="CX44" s="420">
        <f t="shared" si="49"/>
        <v>-4.5829365225037222E-2</v>
      </c>
      <c r="CY44" s="205">
        <f>((CX41+1)*(1+CX42)*(1+CX43)*(1+CX44))-1</f>
        <v>0.12051785809166837</v>
      </c>
      <c r="CZ44" s="205"/>
      <c r="DA44" s="205"/>
      <c r="DB44" s="107"/>
      <c r="DC44" s="205"/>
      <c r="DD44" s="205"/>
      <c r="DE44" s="421">
        <f t="shared" si="29"/>
        <v>1.0396170018744617</v>
      </c>
      <c r="DF44" s="321">
        <v>1.0260500000000001</v>
      </c>
      <c r="DG44" s="40">
        <f>CPPIB.!K40</f>
        <v>81</v>
      </c>
      <c r="DH44" s="40">
        <f>CPPIB.!L40</f>
        <v>42</v>
      </c>
      <c r="DI44" s="40">
        <f>CPPIB.!M40</f>
        <v>53</v>
      </c>
      <c r="DJ44" s="40">
        <f t="shared" si="22"/>
        <v>176</v>
      </c>
      <c r="DK44" s="40">
        <f t="shared" si="70"/>
        <v>1.4343577581640221E-3</v>
      </c>
      <c r="DL44" s="326" t="str">
        <f t="shared" si="52"/>
        <v>1Q2008/08</v>
      </c>
      <c r="DM44" s="40">
        <f t="shared" si="38"/>
        <v>78.943521270893228</v>
      </c>
      <c r="DN44" s="40">
        <f t="shared" si="77"/>
        <v>40.933677696018705</v>
      </c>
      <c r="DO44" s="40">
        <f t="shared" si="25"/>
        <v>51.654402806880746</v>
      </c>
      <c r="DP44" s="40">
        <f t="shared" si="78"/>
        <v>171.53160177379269</v>
      </c>
      <c r="DQ44" s="40">
        <f t="shared" si="30"/>
        <v>1.4343577581640223E-3</v>
      </c>
    </row>
    <row r="45" spans="1:121">
      <c r="A45" s="321" t="s">
        <v>19</v>
      </c>
      <c r="B45" s="40">
        <f>NBIM!V44</f>
        <v>2836710</v>
      </c>
      <c r="C45" s="40">
        <f>NBIM!W44</f>
        <v>846113</v>
      </c>
      <c r="D45" s="40">
        <f t="shared" si="71"/>
        <v>1990597</v>
      </c>
      <c r="E45" s="40">
        <f t="shared" si="54"/>
        <v>0.42505489559162402</v>
      </c>
      <c r="F45" s="40">
        <f>NBIM!Z44</f>
        <v>1942857</v>
      </c>
      <c r="G45" s="40">
        <f>180498-G44</f>
        <v>90650</v>
      </c>
      <c r="H45" s="107">
        <f t="shared" si="72"/>
        <v>-2.3359326407558334E-2</v>
      </c>
      <c r="I45" s="107">
        <f t="shared" si="64"/>
        <v>-2.5602736253739655E-2</v>
      </c>
      <c r="J45" s="234">
        <f t="shared" si="73"/>
        <v>-2.3636480062466731E-2</v>
      </c>
      <c r="K45" s="321" t="s">
        <v>19</v>
      </c>
      <c r="L45" s="50">
        <f t="shared" si="65"/>
        <v>556932.92365685338</v>
      </c>
      <c r="N45" s="50">
        <f t="shared" si="66"/>
        <v>166117.85724803421</v>
      </c>
      <c r="O45" s="384">
        <f t="shared" si="55"/>
        <v>390815.06640881911</v>
      </c>
      <c r="P45" s="384"/>
      <c r="Q45" s="384">
        <f t="shared" si="56"/>
        <v>381442.24445120688</v>
      </c>
      <c r="R45" s="384"/>
      <c r="S45" s="396">
        <f t="shared" si="74"/>
        <v>-2.5879253267910962E-2</v>
      </c>
      <c r="T45" s="384">
        <f t="shared" si="67"/>
        <v>0.97636351993753323</v>
      </c>
      <c r="U45" s="382">
        <f t="shared" si="75"/>
        <v>1.002302356471688</v>
      </c>
      <c r="V45" s="107">
        <f t="shared" si="76"/>
        <v>-2.5879253267910962E-2</v>
      </c>
      <c r="W45" s="205"/>
      <c r="X45" s="321">
        <v>5.0934500000000007</v>
      </c>
      <c r="Y45" s="321" t="s">
        <v>19</v>
      </c>
      <c r="Z45" s="40">
        <f>NBIM!AL44</f>
        <v>172.36499999999998</v>
      </c>
      <c r="AA45" s="40">
        <f>NBIM!AM44</f>
        <v>310.476</v>
      </c>
      <c r="AB45" s="40">
        <f t="shared" si="53"/>
        <v>482.84100000000001</v>
      </c>
      <c r="AC45" s="76">
        <f t="shared" si="57"/>
        <v>2.4256090007168703E-4</v>
      </c>
      <c r="AD45" s="173">
        <f>NBIM!AQ44</f>
        <v>147.09199999999998</v>
      </c>
      <c r="AE45" s="321" t="s">
        <v>19</v>
      </c>
      <c r="AF45" s="40">
        <f t="shared" si="68"/>
        <v>33.840520668701949</v>
      </c>
      <c r="AG45" s="40">
        <f t="shared" si="40"/>
        <v>60.955933600997348</v>
      </c>
      <c r="AH45" s="40">
        <f t="shared" si="41"/>
        <v>94.796454269699296</v>
      </c>
      <c r="AI45" s="76">
        <f t="shared" si="58"/>
        <v>2.42560900071687E-4</v>
      </c>
      <c r="AJ45" s="382">
        <f t="shared" si="44"/>
        <v>28.878657884145316</v>
      </c>
      <c r="AL45" s="321" t="s">
        <v>19</v>
      </c>
      <c r="AM45" s="91">
        <v>204635481931.51001</v>
      </c>
      <c r="AN45" s="92">
        <f t="shared" si="14"/>
        <v>-6.9242872819995638E-3</v>
      </c>
      <c r="AO45" s="92">
        <f t="shared" si="15"/>
        <v>-6.9483714004746067E-3</v>
      </c>
      <c r="AP45" s="401">
        <f>APG!B45</f>
        <v>-6.1458007436288901E-3</v>
      </c>
      <c r="AQ45" s="129">
        <f t="shared" si="4"/>
        <v>0.99385419925637108</v>
      </c>
      <c r="AR45" s="405">
        <f t="shared" si="69"/>
        <v>-1.1790751166300684E-2</v>
      </c>
      <c r="AS45" s="55"/>
      <c r="AT45" s="55"/>
      <c r="AU45" s="55"/>
      <c r="AV45" s="129"/>
      <c r="AW45" s="188"/>
      <c r="AX45" s="55"/>
      <c r="AY45" s="55"/>
      <c r="AZ45" s="55"/>
      <c r="BA45" s="55"/>
      <c r="BB45" s="55"/>
      <c r="BC45" s="92"/>
      <c r="BD45" s="92"/>
      <c r="BE45" s="92"/>
      <c r="BF45" s="92"/>
      <c r="BG45" s="58"/>
      <c r="BH45" s="92"/>
      <c r="BI45" s="92"/>
      <c r="BJ45" s="409">
        <f t="shared" si="26"/>
        <v>1.0057123027631385</v>
      </c>
      <c r="BK45" s="410">
        <v>0.63469900000000001</v>
      </c>
      <c r="BL45" s="103">
        <f t="shared" si="59"/>
        <v>322413430510.38367</v>
      </c>
      <c r="BM45" s="107">
        <f t="shared" si="27"/>
        <v>-1.2564816011914726E-2</v>
      </c>
      <c r="BN45" s="107">
        <f t="shared" si="28"/>
        <v>-1.2644420828789077E-2</v>
      </c>
      <c r="BO45" s="107"/>
      <c r="BP45" s="107"/>
      <c r="BQ45" s="107"/>
      <c r="BR45" s="107"/>
      <c r="BS45" s="107"/>
      <c r="BT45" s="107"/>
      <c r="BU45" s="76"/>
      <c r="BV45" s="76"/>
      <c r="BW45" s="76"/>
      <c r="CA45" s="321" t="str">
        <f>CPPIB.!A41</f>
        <v>2Q2008/09</v>
      </c>
      <c r="CB45" s="50">
        <f>CPPIB.!B41</f>
        <v>136923</v>
      </c>
      <c r="CC45" s="50">
        <f>CPPIB.!C41</f>
        <v>9220</v>
      </c>
      <c r="CD45" s="40">
        <f>CPPIB.!D41</f>
        <v>127703</v>
      </c>
      <c r="CE45" s="40">
        <f>CPPIB.!E41</f>
        <v>94146</v>
      </c>
      <c r="CF45" s="234">
        <f t="shared" si="45"/>
        <v>9.8856588673463808E-3</v>
      </c>
      <c r="CG45" s="107">
        <f t="shared" si="46"/>
        <v>9.8371154023094744E-3</v>
      </c>
      <c r="CH45" s="393">
        <f t="shared" si="47"/>
        <v>1.0098371154023096</v>
      </c>
      <c r="CI45" s="107"/>
      <c r="CJ45" s="107"/>
      <c r="CK45" s="383"/>
      <c r="CL45" s="107"/>
      <c r="CM45" s="107"/>
      <c r="CN45" s="410">
        <v>1.0145500000000001</v>
      </c>
      <c r="CO45" s="327" t="str">
        <f t="shared" si="51"/>
        <v>2Q2008/09</v>
      </c>
      <c r="CP45" s="187">
        <f t="shared" si="60"/>
        <v>134959.34158001083</v>
      </c>
      <c r="CQ45" s="187"/>
      <c r="CR45" s="187">
        <f t="shared" si="61"/>
        <v>9087.7729042432602</v>
      </c>
      <c r="CS45" s="40">
        <f t="shared" si="62"/>
        <v>125871.56867576757</v>
      </c>
      <c r="CU45" s="40">
        <f t="shared" si="63"/>
        <v>92795.820807254437</v>
      </c>
      <c r="CW45" s="76">
        <f t="shared" si="48"/>
        <v>2.128369450351375E-2</v>
      </c>
      <c r="CX45" s="420">
        <f t="shared" si="49"/>
        <v>2.128369450351375E-2</v>
      </c>
      <c r="CY45" s="205"/>
      <c r="CZ45" s="205"/>
      <c r="DA45" s="205"/>
      <c r="DB45" s="107"/>
      <c r="DC45" s="205"/>
      <c r="DD45" s="205"/>
      <c r="DE45" s="421">
        <f t="shared" si="29"/>
        <v>0.98879196920228052</v>
      </c>
      <c r="DF45" s="321">
        <v>1.0145500000000001</v>
      </c>
      <c r="DG45" s="40">
        <f>CPPIB.!K41</f>
        <v>74</v>
      </c>
      <c r="DH45" s="40">
        <f>CPPIB.!L41</f>
        <v>19</v>
      </c>
      <c r="DI45" s="40">
        <f>CPPIB.!M41</f>
        <v>46</v>
      </c>
      <c r="DJ45" s="40">
        <f t="shared" si="22"/>
        <v>139</v>
      </c>
      <c r="DK45" s="40">
        <f t="shared" si="70"/>
        <v>1.0884630744774986E-3</v>
      </c>
      <c r="DL45" s="326" t="str">
        <f t="shared" si="52"/>
        <v>2Q2008/09</v>
      </c>
      <c r="DM45" s="40">
        <f t="shared" si="38"/>
        <v>72.938741313883</v>
      </c>
      <c r="DN45" s="40">
        <f t="shared" si="77"/>
        <v>18.727514661672661</v>
      </c>
      <c r="DO45" s="40">
        <f t="shared" si="25"/>
        <v>45.340298654575918</v>
      </c>
      <c r="DP45" s="40">
        <f t="shared" si="78"/>
        <v>137.00655463013157</v>
      </c>
      <c r="DQ45" s="40">
        <f t="shared" si="30"/>
        <v>1.0884630744774986E-3</v>
      </c>
    </row>
    <row r="46" spans="1:121">
      <c r="A46" s="321" t="s">
        <v>20</v>
      </c>
      <c r="B46" s="40">
        <f>NBIM!V45</f>
        <v>3002305</v>
      </c>
      <c r="C46" s="40">
        <f>NBIM!W45</f>
        <v>883725</v>
      </c>
      <c r="D46" s="40">
        <f>B46-C46</f>
        <v>2118580</v>
      </c>
      <c r="E46" s="40">
        <f t="shared" si="54"/>
        <v>0.41713081403581642</v>
      </c>
      <c r="F46" s="40">
        <f>NBIM!Z45</f>
        <v>2071165</v>
      </c>
      <c r="G46" s="40">
        <f>308806-(G45+G44)</f>
        <v>128308</v>
      </c>
      <c r="H46" s="107">
        <f t="shared" si="72"/>
        <v>-1.6326760263374318E-4</v>
      </c>
      <c r="I46" s="107">
        <f t="shared" si="64"/>
        <v>-0.13864005469455787</v>
      </c>
      <c r="J46" s="234">
        <f t="shared" si="73"/>
        <v>-1.6328093223965968E-4</v>
      </c>
      <c r="K46" s="321" t="s">
        <v>20</v>
      </c>
      <c r="L46" s="50">
        <f t="shared" si="65"/>
        <v>507806.60656597262</v>
      </c>
      <c r="N46" s="50">
        <f t="shared" si="66"/>
        <v>149472.28658897552</v>
      </c>
      <c r="O46" s="384">
        <f t="shared" si="55"/>
        <v>358334.3199769971</v>
      </c>
      <c r="P46" s="384"/>
      <c r="Q46" s="384">
        <f t="shared" si="56"/>
        <v>350314.59837964922</v>
      </c>
      <c r="R46" s="384"/>
      <c r="S46" s="396">
        <f t="shared" si="74"/>
        <v>-0.13864006617802127</v>
      </c>
      <c r="T46" s="384">
        <f t="shared" si="67"/>
        <v>0.99983671906776039</v>
      </c>
      <c r="U46" s="382">
        <f t="shared" si="75"/>
        <v>1.1607652966064257</v>
      </c>
      <c r="V46" s="107">
        <f t="shared" si="76"/>
        <v>-0.13864006617802127</v>
      </c>
      <c r="W46" s="205"/>
      <c r="X46" s="321">
        <v>5.9123000000000001</v>
      </c>
      <c r="Y46" s="321" t="s">
        <v>20</v>
      </c>
      <c r="Z46" s="40">
        <f>NBIM!AL45</f>
        <v>247.91199999999992</v>
      </c>
      <c r="AA46" s="40">
        <f>NBIM!AM45</f>
        <v>160.40200000000004</v>
      </c>
      <c r="AB46" s="40">
        <f t="shared" si="53"/>
        <v>408.31399999999996</v>
      </c>
      <c r="AC46" s="76">
        <f t="shared" si="57"/>
        <v>1.9273003615629335E-4</v>
      </c>
      <c r="AD46" s="173">
        <f>NBIM!AQ45</f>
        <v>37.720000000000027</v>
      </c>
      <c r="AE46" s="321" t="s">
        <v>20</v>
      </c>
      <c r="AF46" s="40">
        <f t="shared" si="68"/>
        <v>41.931566395480594</v>
      </c>
      <c r="AG46" s="40">
        <f t="shared" si="40"/>
        <v>27.130220049726848</v>
      </c>
      <c r="AH46" s="40">
        <f t="shared" si="41"/>
        <v>69.061786445207446</v>
      </c>
      <c r="AI46" s="76">
        <f t="shared" si="58"/>
        <v>1.9273003615629335E-4</v>
      </c>
      <c r="AJ46" s="382">
        <f t="shared" si="44"/>
        <v>6.3799198281548684</v>
      </c>
      <c r="AL46" s="321" t="s">
        <v>20</v>
      </c>
      <c r="AM46" s="91">
        <v>194787633441.04001</v>
      </c>
      <c r="AN46" s="92">
        <f t="shared" si="14"/>
        <v>-4.812385612464809E-2</v>
      </c>
      <c r="AO46" s="92">
        <f t="shared" si="15"/>
        <v>-4.9320353625906213E-2</v>
      </c>
      <c r="AP46" s="401">
        <f>APG!B46</f>
        <v>-4.9167472716617498E-2</v>
      </c>
      <c r="AQ46" s="129">
        <f t="shared" si="4"/>
        <v>0.95083252728338252</v>
      </c>
      <c r="AR46" s="405">
        <f t="shared" si="69"/>
        <v>-0.15230418229798581</v>
      </c>
      <c r="AS46" s="55"/>
      <c r="AT46" s="55"/>
      <c r="AU46" s="55"/>
      <c r="AV46" s="129"/>
      <c r="AW46" s="188"/>
      <c r="AX46" s="55"/>
      <c r="AY46" s="55"/>
      <c r="AZ46" s="55"/>
      <c r="BA46" s="55"/>
      <c r="BB46" s="55"/>
      <c r="BC46" s="92"/>
      <c r="BD46" s="92"/>
      <c r="BE46" s="92"/>
      <c r="BF46" s="92"/>
      <c r="BG46" s="58"/>
      <c r="BH46" s="92"/>
      <c r="BI46" s="92"/>
      <c r="BJ46" s="409">
        <f t="shared" si="26"/>
        <v>1.1216671209502456</v>
      </c>
      <c r="BK46" s="410">
        <v>0.71192099999999991</v>
      </c>
      <c r="BL46" s="103">
        <f t="shared" si="59"/>
        <v>273608495101.33853</v>
      </c>
      <c r="BM46" s="107">
        <f t="shared" si="27"/>
        <v>-0.15137376669385771</v>
      </c>
      <c r="BN46" s="107">
        <f t="shared" si="28"/>
        <v>-0.16413643306205389</v>
      </c>
      <c r="BO46" s="107"/>
      <c r="BP46" s="107"/>
      <c r="BQ46" s="107"/>
      <c r="BR46" s="107"/>
      <c r="BS46" s="107"/>
      <c r="BT46" s="107"/>
      <c r="BU46" s="76"/>
      <c r="BV46" s="76"/>
      <c r="BW46" s="76"/>
      <c r="CA46" s="321" t="str">
        <f>CPPIB.!A42</f>
        <v>3Q2008/09</v>
      </c>
      <c r="CB46" s="50">
        <f>CPPIB.!B42</f>
        <v>129212</v>
      </c>
      <c r="CC46" s="50">
        <f>CPPIB.!C42</f>
        <v>11791</v>
      </c>
      <c r="CD46" s="40">
        <f>CPPIB.!D42</f>
        <v>117421</v>
      </c>
      <c r="CE46" s="40">
        <f>CPPIB.!E42</f>
        <v>94695</v>
      </c>
      <c r="CF46" s="234">
        <f t="shared" si="45"/>
        <v>-8.4813982443638802E-2</v>
      </c>
      <c r="CG46" s="107">
        <f t="shared" si="46"/>
        <v>-8.8627936493023959E-2</v>
      </c>
      <c r="CH46" s="393">
        <f t="shared" si="47"/>
        <v>0.91137206350697608</v>
      </c>
      <c r="CI46" s="107"/>
      <c r="CJ46" s="107"/>
      <c r="CK46" s="383"/>
      <c r="CL46" s="107"/>
      <c r="CM46" s="107"/>
      <c r="CN46" s="410">
        <v>1.0632000000000001</v>
      </c>
      <c r="CO46" s="327" t="str">
        <f t="shared" si="51"/>
        <v>3Q2008/09</v>
      </c>
      <c r="CP46" s="187">
        <f t="shared" si="60"/>
        <v>121531.22648607974</v>
      </c>
      <c r="CQ46" s="187"/>
      <c r="CR46" s="187">
        <f t="shared" si="61"/>
        <v>11090.105342362676</v>
      </c>
      <c r="CS46" s="40">
        <f t="shared" si="62"/>
        <v>110441.12114371707</v>
      </c>
      <c r="CU46" s="40">
        <f t="shared" si="63"/>
        <v>89066.027088036106</v>
      </c>
      <c r="CW46" s="76">
        <f t="shared" si="48"/>
        <v>-0.13033058029439193</v>
      </c>
      <c r="CX46" s="420">
        <f t="shared" si="49"/>
        <v>-0.13033058029439193</v>
      </c>
      <c r="CY46" s="205"/>
      <c r="CZ46" s="205"/>
      <c r="DA46" s="205"/>
      <c r="DB46" s="107"/>
      <c r="DC46" s="205"/>
      <c r="DD46" s="205"/>
      <c r="DE46" s="421">
        <f t="shared" si="29"/>
        <v>1.0479522941205461</v>
      </c>
      <c r="DF46" s="321">
        <v>1.0632000000000001</v>
      </c>
      <c r="DG46" s="40">
        <f>CPPIB.!K42</f>
        <v>99</v>
      </c>
      <c r="DH46" s="40">
        <f>CPPIB.!L42</f>
        <v>17</v>
      </c>
      <c r="DI46" s="40">
        <f>CPPIB.!M42</f>
        <v>45</v>
      </c>
      <c r="DJ46" s="40">
        <f t="shared" si="22"/>
        <v>161</v>
      </c>
      <c r="DK46" s="40">
        <f t="shared" si="70"/>
        <v>1.3711346352015398E-3</v>
      </c>
      <c r="DL46" s="326" t="str">
        <f t="shared" si="52"/>
        <v>3Q2008/09</v>
      </c>
      <c r="DM46" s="40">
        <f t="shared" si="38"/>
        <v>93.115124153498854</v>
      </c>
      <c r="DN46" s="40">
        <f t="shared" si="77"/>
        <v>15.989465763732127</v>
      </c>
      <c r="DO46" s="40">
        <f t="shared" si="25"/>
        <v>42.325056433408569</v>
      </c>
      <c r="DP46" s="40">
        <f t="shared" si="78"/>
        <v>151.42964635063956</v>
      </c>
      <c r="DQ46" s="40">
        <f t="shared" si="30"/>
        <v>1.3711346352015398E-3</v>
      </c>
    </row>
    <row r="47" spans="1:121">
      <c r="A47" s="321" t="s">
        <v>21</v>
      </c>
      <c r="B47" s="40">
        <f>NBIM!V46</f>
        <v>3048617</v>
      </c>
      <c r="C47" s="40">
        <f>NBIM!W46</f>
        <v>775228</v>
      </c>
      <c r="D47" s="40">
        <f t="shared" si="71"/>
        <v>2273389</v>
      </c>
      <c r="E47" s="40">
        <f t="shared" si="54"/>
        <v>0.34100103413890009</v>
      </c>
      <c r="F47" s="40">
        <f>NBIM!Z46</f>
        <v>2147904</v>
      </c>
      <c r="G47" s="40">
        <f>385545-(G46+G45+G44)</f>
        <v>76739</v>
      </c>
      <c r="H47" s="107">
        <f t="shared" si="72"/>
        <v>3.6850154348667452E-2</v>
      </c>
      <c r="I47" s="107">
        <f t="shared" si="64"/>
        <v>-0.12452419023498285</v>
      </c>
      <c r="J47" s="234">
        <f t="shared" si="73"/>
        <v>3.6187419624764836E-2</v>
      </c>
      <c r="K47" s="321" t="s">
        <v>21</v>
      </c>
      <c r="L47" s="50">
        <f t="shared" si="65"/>
        <v>435386.09845617739</v>
      </c>
      <c r="M47" s="50">
        <f>L47+L46+L45+L44</f>
        <v>2073439.1525634918</v>
      </c>
      <c r="N47" s="50">
        <f t="shared" si="66"/>
        <v>110713.64304994215</v>
      </c>
      <c r="O47" s="384">
        <f t="shared" si="55"/>
        <v>324672.45540623524</v>
      </c>
      <c r="P47" s="384">
        <f>(O47+O46+O45+O44)</f>
        <v>1456640.752600336</v>
      </c>
      <c r="Q47" s="384">
        <f t="shared" si="56"/>
        <v>306751.40315048338</v>
      </c>
      <c r="R47" s="384">
        <f>Q47+Q46+Q45+Q44</f>
        <v>1402990.3633621631</v>
      </c>
      <c r="S47" s="396">
        <f t="shared" si="74"/>
        <v>-0.12508377757422806</v>
      </c>
      <c r="T47" s="384">
        <f t="shared" si="67"/>
        <v>1.0361874196247649</v>
      </c>
      <c r="U47" s="382">
        <f t="shared" si="75"/>
        <v>1.1843275882482283</v>
      </c>
      <c r="V47" s="107">
        <f t="shared" si="76"/>
        <v>-0.12508377757422806</v>
      </c>
      <c r="W47" s="205">
        <f>((1+V47)*(1+V46)*(1+V45)*(1+V44))-1</f>
        <v>-0.28102700300051109</v>
      </c>
      <c r="X47" s="321">
        <v>7.0021000000000004</v>
      </c>
      <c r="Y47" s="321" t="s">
        <v>21</v>
      </c>
      <c r="Z47" s="40">
        <f>NBIM!AL46</f>
        <v>507.47800000000007</v>
      </c>
      <c r="AA47" s="40">
        <f>NBIM!AM46</f>
        <v>287.95399999999995</v>
      </c>
      <c r="AB47" s="40">
        <f t="shared" si="53"/>
        <v>795.43200000000002</v>
      </c>
      <c r="AC47" s="76">
        <f t="shared" si="57"/>
        <v>3.4988820654978099E-4</v>
      </c>
      <c r="AD47" s="173">
        <f>NBIM!AQ46</f>
        <v>227.13799999999998</v>
      </c>
      <c r="AE47" s="321" t="s">
        <v>21</v>
      </c>
      <c r="AF47" s="40">
        <f t="shared" si="68"/>
        <v>72.475114608474598</v>
      </c>
      <c r="AG47" s="40">
        <f t="shared" si="40"/>
        <v>41.123948529726789</v>
      </c>
      <c r="AH47" s="40">
        <f t="shared" si="41"/>
        <v>113.59906313820139</v>
      </c>
      <c r="AI47" s="76">
        <f t="shared" si="58"/>
        <v>3.4988820654978099E-4</v>
      </c>
      <c r="AJ47" s="382">
        <f t="shared" si="44"/>
        <v>32.438554148041298</v>
      </c>
      <c r="AL47" s="321" t="s">
        <v>21</v>
      </c>
      <c r="AM47" s="91">
        <v>172065252518.12</v>
      </c>
      <c r="AN47" s="92">
        <f t="shared" si="14"/>
        <v>-0.11665207139444922</v>
      </c>
      <c r="AO47" s="92">
        <f t="shared" si="15"/>
        <v>-0.12403612585680115</v>
      </c>
      <c r="AP47" s="401">
        <f>APG!B47</f>
        <v>-0.116156606192563</v>
      </c>
      <c r="AQ47" s="129">
        <f t="shared" si="4"/>
        <v>0.88384339380743704</v>
      </c>
      <c r="AR47" s="405">
        <f t="shared" si="69"/>
        <v>-0.12534397078285586</v>
      </c>
      <c r="AS47" s="55">
        <f>AR44+AR45+AR46+AR47</f>
        <v>-0.25453543596623374</v>
      </c>
      <c r="AT47" s="55"/>
      <c r="AU47" s="55"/>
      <c r="AV47" s="129"/>
      <c r="AW47" s="188"/>
      <c r="AX47" s="55"/>
      <c r="AY47" s="55"/>
      <c r="AZ47" s="55"/>
      <c r="BA47" s="55"/>
      <c r="BB47" s="55"/>
      <c r="BC47" s="92"/>
      <c r="BD47" s="92"/>
      <c r="BE47" s="92"/>
      <c r="BF47" s="92"/>
      <c r="BG47" s="58"/>
      <c r="BH47" s="92"/>
      <c r="BI47" s="92"/>
      <c r="BJ47" s="409">
        <f t="shared" si="26"/>
        <v>1.0105039744578403</v>
      </c>
      <c r="BK47" s="410">
        <v>0.71939900000000001</v>
      </c>
      <c r="BL47" s="103">
        <f t="shared" si="59"/>
        <v>239179165550.85562</v>
      </c>
      <c r="BM47" s="107">
        <f t="shared" si="27"/>
        <v>-0.12583428572907085</v>
      </c>
      <c r="BN47" s="107">
        <f t="shared" si="28"/>
        <v>-0.13448531687026885</v>
      </c>
      <c r="BO47" s="107"/>
      <c r="BP47" s="107"/>
      <c r="BQ47" s="107"/>
      <c r="BR47" s="107"/>
      <c r="BS47" s="107"/>
      <c r="BT47" s="107"/>
      <c r="BU47" s="76"/>
      <c r="BV47" s="76"/>
      <c r="BW47" s="76"/>
      <c r="CA47" s="321" t="str">
        <f>CPPIB.!A43</f>
        <v>4Q2008/09</v>
      </c>
      <c r="CB47" s="50">
        <f>CPPIB.!B43</f>
        <v>116450</v>
      </c>
      <c r="CC47" s="50">
        <f>CPPIB.!C43</f>
        <v>7585</v>
      </c>
      <c r="CD47" s="40">
        <f>CPPIB.!D43</f>
        <v>108865</v>
      </c>
      <c r="CE47" s="40">
        <f>CPPIB.!E43</f>
        <v>94063</v>
      </c>
      <c r="CF47" s="234">
        <f t="shared" si="45"/>
        <v>-6.7483669871658436E-2</v>
      </c>
      <c r="CG47" s="107">
        <f t="shared" si="46"/>
        <v>-6.9868615415528398E-2</v>
      </c>
      <c r="CH47" s="393">
        <f t="shared" si="47"/>
        <v>0.93013138458447164</v>
      </c>
      <c r="CI47" s="107">
        <f>((CG47+1)*(CG46+1)*(CG45+1)*(CG44+1))-1</f>
        <v>-0.15083759328147228</v>
      </c>
      <c r="CJ47" s="107"/>
      <c r="CK47" s="383"/>
      <c r="CL47" s="107"/>
      <c r="CM47" s="107"/>
      <c r="CN47" s="410">
        <v>1.2345000000000002</v>
      </c>
      <c r="CO47" s="327" t="str">
        <f t="shared" si="51"/>
        <v>4Q2008/09</v>
      </c>
      <c r="CP47" s="187">
        <f t="shared" si="60"/>
        <v>94329.688132847295</v>
      </c>
      <c r="CQ47" s="187">
        <f>CP47+CP46+CP45+CP44</f>
        <v>478208.78502306924</v>
      </c>
      <c r="CR47" s="187">
        <f t="shared" si="61"/>
        <v>6144.1879303361675</v>
      </c>
      <c r="CS47" s="40">
        <f t="shared" si="62"/>
        <v>88185.500202511132</v>
      </c>
      <c r="CT47" s="40">
        <f>CS47+CS46+CS45+CS44</f>
        <v>444085.92941091442</v>
      </c>
      <c r="CU47" s="40">
        <f t="shared" si="63"/>
        <v>76195.220737140538</v>
      </c>
      <c r="CV47" s="40">
        <f>CU47+CU46+CU45+CU44</f>
        <v>346121.97774992045</v>
      </c>
      <c r="CW47" s="76">
        <f t="shared" si="48"/>
        <v>-0.19893423402980126</v>
      </c>
      <c r="CX47" s="420">
        <f t="shared" si="49"/>
        <v>-0.19893423402980126</v>
      </c>
      <c r="CY47" s="205"/>
      <c r="CZ47" s="205"/>
      <c r="DA47" s="205"/>
      <c r="DB47" s="107">
        <f>((CX59+1)*(CX58+1)*(CX57+1)*(CX56+1))-1</f>
        <v>2.7237956981805533E-2</v>
      </c>
      <c r="DC47" s="205"/>
      <c r="DD47" s="205"/>
      <c r="DE47" s="421">
        <f t="shared" si="29"/>
        <v>1.1611173814898419</v>
      </c>
      <c r="DF47" s="321">
        <v>1.2345000000000002</v>
      </c>
      <c r="DG47" s="40">
        <f>CPPIB.!K43</f>
        <v>93</v>
      </c>
      <c r="DH47" s="40">
        <f>CPPIB.!L43</f>
        <v>20</v>
      </c>
      <c r="DI47" s="40">
        <f>CPPIB.!M43</f>
        <v>48</v>
      </c>
      <c r="DJ47" s="40">
        <f t="shared" si="22"/>
        <v>161</v>
      </c>
      <c r="DK47" s="40">
        <f t="shared" si="70"/>
        <v>1.4788958802186194E-3</v>
      </c>
      <c r="DL47" s="326" t="str">
        <f t="shared" si="52"/>
        <v>4Q2008/09</v>
      </c>
      <c r="DM47" s="40">
        <f t="shared" si="38"/>
        <v>75.334143377885781</v>
      </c>
      <c r="DN47" s="40">
        <f t="shared" si="77"/>
        <v>16.200891049007694</v>
      </c>
      <c r="DO47" s="40">
        <f t="shared" si="25"/>
        <v>38.882138517618465</v>
      </c>
      <c r="DP47" s="40">
        <f t="shared" si="78"/>
        <v>130.41717294451195</v>
      </c>
      <c r="DQ47" s="40">
        <f t="shared" si="30"/>
        <v>1.4788958802186194E-3</v>
      </c>
    </row>
    <row r="48" spans="1:121">
      <c r="A48" s="321" t="s">
        <v>22</v>
      </c>
      <c r="B48" s="40">
        <f>NBIM!V47</f>
        <v>2704159</v>
      </c>
      <c r="C48" s="40">
        <f>NBIM!W47</f>
        <v>628537</v>
      </c>
      <c r="D48" s="40">
        <f t="shared" si="71"/>
        <v>2075622</v>
      </c>
      <c r="E48" s="40">
        <f t="shared" si="54"/>
        <v>0.30281862497121342</v>
      </c>
      <c r="F48" s="40">
        <f>NBIM!Z47</f>
        <v>2194248</v>
      </c>
      <c r="G48" s="40">
        <v>46344</v>
      </c>
      <c r="H48" s="107">
        <f t="shared" si="72"/>
        <v>-0.10737757594498787</v>
      </c>
      <c r="I48" s="107">
        <f t="shared" si="64"/>
        <v>-7.4327768327542509E-2</v>
      </c>
      <c r="J48" s="234">
        <f t="shared" si="73"/>
        <v>-0.11359160492572361</v>
      </c>
      <c r="K48" s="321" t="s">
        <v>22</v>
      </c>
      <c r="L48" s="50">
        <f t="shared" si="65"/>
        <v>400491.55077679537</v>
      </c>
      <c r="N48" s="50">
        <f t="shared" si="66"/>
        <v>93087.63199597162</v>
      </c>
      <c r="O48" s="384">
        <f t="shared" si="55"/>
        <v>307403.9187808237</v>
      </c>
      <c r="P48" s="384"/>
      <c r="Q48" s="384">
        <f t="shared" si="56"/>
        <v>324972.6751677256</v>
      </c>
      <c r="R48" s="384"/>
      <c r="S48" s="396">
        <f t="shared" si="74"/>
        <v>-8.0771874950076206E-2</v>
      </c>
      <c r="T48" s="384">
        <f t="shared" si="67"/>
        <v>0.88640839507427638</v>
      </c>
      <c r="U48" s="382">
        <f t="shared" si="75"/>
        <v>0.96429642535810689</v>
      </c>
      <c r="V48" s="107">
        <f t="shared" si="76"/>
        <v>-8.0771874950076206E-2</v>
      </c>
      <c r="W48" s="205"/>
      <c r="X48" s="321">
        <v>6.7521000000000004</v>
      </c>
      <c r="Y48" s="321" t="s">
        <v>22</v>
      </c>
      <c r="Z48" s="40">
        <f>NBIM!AL47</f>
        <v>536.44200000000001</v>
      </c>
      <c r="AA48" s="40">
        <f>NBIM!AM47</f>
        <v>321.95600000000002</v>
      </c>
      <c r="AB48" s="40">
        <f t="shared" si="53"/>
        <v>858.39800000000002</v>
      </c>
      <c r="AC48" s="76">
        <f t="shared" si="57"/>
        <v>4.1356181424170683E-4</v>
      </c>
      <c r="AD48" s="173">
        <f>NBIM!AQ47</f>
        <v>414.50099999999998</v>
      </c>
      <c r="AE48" s="321" t="s">
        <v>22</v>
      </c>
      <c r="AF48" s="40">
        <f t="shared" si="68"/>
        <v>79.448171679921799</v>
      </c>
      <c r="AG48" s="40">
        <f t="shared" ref="AG48:AG77" si="79">AA48/X48</f>
        <v>47.68235067608596</v>
      </c>
      <c r="AH48" s="40">
        <f t="shared" si="41"/>
        <v>127.13052235600776</v>
      </c>
      <c r="AI48" s="76">
        <f t="shared" si="58"/>
        <v>4.1356181424170689E-4</v>
      </c>
      <c r="AJ48" s="382">
        <f t="shared" si="44"/>
        <v>61.388456924512369</v>
      </c>
      <c r="AL48" s="321" t="s">
        <v>22</v>
      </c>
      <c r="AM48" s="91">
        <v>164773727670.89999</v>
      </c>
      <c r="AN48" s="92">
        <f t="shared" si="14"/>
        <v>-4.2376509728204059E-2</v>
      </c>
      <c r="AO48" s="92">
        <f t="shared" si="15"/>
        <v>-4.3300594680219677E-2</v>
      </c>
      <c r="AP48" s="401">
        <f>APG!B48</f>
        <v>-4.2183108675103401E-2</v>
      </c>
      <c r="AQ48" s="129">
        <f t="shared" si="4"/>
        <v>0.95781689132489656</v>
      </c>
      <c r="AR48" s="405">
        <f t="shared" si="69"/>
        <v>-8.5144740843196898E-2</v>
      </c>
      <c r="AS48" s="55"/>
      <c r="AT48" s="55"/>
      <c r="AU48" s="55"/>
      <c r="AV48" s="129"/>
      <c r="AW48" s="188"/>
      <c r="AX48" s="55"/>
      <c r="AY48" s="55"/>
      <c r="AZ48" s="55"/>
      <c r="BA48" s="55"/>
      <c r="BB48" s="55"/>
      <c r="BC48" s="92"/>
      <c r="BD48" s="92"/>
      <c r="BE48" s="92"/>
      <c r="BF48" s="92"/>
      <c r="BG48" s="58"/>
      <c r="BH48" s="92"/>
      <c r="BI48" s="92"/>
      <c r="BJ48" s="409">
        <f t="shared" si="26"/>
        <v>1.0469600319155294</v>
      </c>
      <c r="BK48" s="410">
        <v>0.75318200000000002</v>
      </c>
      <c r="BL48" s="103">
        <f t="shared" si="59"/>
        <v>218770134802.61078</v>
      </c>
      <c r="BM48" s="107">
        <f t="shared" si="27"/>
        <v>-8.5329467143346771E-2</v>
      </c>
      <c r="BN48" s="107">
        <f t="shared" si="28"/>
        <v>-8.9191351929308049E-2</v>
      </c>
      <c r="BO48" s="107"/>
      <c r="BP48" s="107"/>
      <c r="BQ48" s="107"/>
      <c r="BR48" s="107"/>
      <c r="BS48" s="107"/>
      <c r="BT48" s="107"/>
      <c r="BU48" s="76"/>
      <c r="BV48" s="76"/>
      <c r="BW48" s="76"/>
      <c r="CA48" s="321" t="str">
        <f>CPPIB.!A44</f>
        <v>1Q2009/09</v>
      </c>
      <c r="CB48" s="50">
        <f>CPPIB.!B44</f>
        <v>112486</v>
      </c>
      <c r="CC48" s="50">
        <f>CPPIB.!C44</f>
        <v>6985</v>
      </c>
      <c r="CD48" s="40">
        <f>CPPIB.!D44</f>
        <v>105501</v>
      </c>
      <c r="CE48" s="40">
        <f>CPPIB.!E44</f>
        <v>96922</v>
      </c>
      <c r="CF48" s="234">
        <f t="shared" si="45"/>
        <v>-5.716254076149363E-2</v>
      </c>
      <c r="CG48" s="107">
        <f t="shared" si="46"/>
        <v>-5.886137680607248E-2</v>
      </c>
      <c r="CH48" s="393">
        <f t="shared" si="47"/>
        <v>0.94113862319392749</v>
      </c>
      <c r="CI48" s="107"/>
      <c r="CJ48" s="107"/>
      <c r="CK48" s="383"/>
      <c r="CL48" s="107"/>
      <c r="CM48" s="107"/>
      <c r="CN48" s="410">
        <v>1.2581500000000001</v>
      </c>
      <c r="CO48" s="327" t="str">
        <f t="shared" si="51"/>
        <v>1Q2009/09</v>
      </c>
      <c r="CP48" s="187">
        <f t="shared" si="60"/>
        <v>89405.873703453472</v>
      </c>
      <c r="CQ48" s="187"/>
      <c r="CR48" s="187">
        <f t="shared" si="61"/>
        <v>5551.8022493343396</v>
      </c>
      <c r="CS48" s="40">
        <f t="shared" si="62"/>
        <v>83854.071454119141</v>
      </c>
      <c r="CU48" s="40">
        <f t="shared" si="63"/>
        <v>77035.329650677581</v>
      </c>
      <c r="CW48" s="76">
        <f t="shared" si="48"/>
        <v>-7.6552374253544109E-2</v>
      </c>
      <c r="CX48" s="420">
        <f t="shared" si="49"/>
        <v>-7.6552374253544109E-2</v>
      </c>
      <c r="CY48" s="205">
        <f>((CX45+1)*(1+CX46)*(1+CX47)*(1+CX48))-1</f>
        <v>-0.34297629536631491</v>
      </c>
      <c r="CZ48" s="205"/>
      <c r="DA48" s="205"/>
      <c r="DB48" s="107"/>
      <c r="DC48" s="205"/>
      <c r="DD48" s="205"/>
      <c r="DE48" s="421">
        <f t="shared" si="29"/>
        <v>1.0191575536654516</v>
      </c>
      <c r="DF48" s="321">
        <v>1.2581500000000001</v>
      </c>
      <c r="DG48" s="40">
        <f>CPPIB.!K44</f>
        <v>117</v>
      </c>
      <c r="DH48" s="40">
        <f>CPPIB.!L44</f>
        <v>37</v>
      </c>
      <c r="DI48" s="40">
        <f>CPPIB.!M44</f>
        <v>50</v>
      </c>
      <c r="DJ48" s="40">
        <f t="shared" si="22"/>
        <v>204</v>
      </c>
      <c r="DK48" s="40">
        <f t="shared" si="70"/>
        <v>1.9336309608439729E-3</v>
      </c>
      <c r="DL48" s="326" t="str">
        <f t="shared" si="52"/>
        <v>1Q2009/09</v>
      </c>
      <c r="DM48" s="40">
        <f t="shared" si="38"/>
        <v>92.993681198585222</v>
      </c>
      <c r="DN48" s="40">
        <f t="shared" si="77"/>
        <v>29.408258156817546</v>
      </c>
      <c r="DO48" s="40">
        <f t="shared" si="25"/>
        <v>39.740889401104795</v>
      </c>
      <c r="DP48" s="40">
        <f t="shared" si="78"/>
        <v>162.14282875650755</v>
      </c>
      <c r="DQ48" s="40">
        <f t="shared" si="30"/>
        <v>1.9336309608439729E-3</v>
      </c>
    </row>
    <row r="49" spans="1:121">
      <c r="A49" s="321" t="s">
        <v>23</v>
      </c>
      <c r="B49" s="40">
        <f>NBIM!V48</f>
        <v>2907506</v>
      </c>
      <c r="C49" s="40">
        <f>NBIM!W48</f>
        <v>523732</v>
      </c>
      <c r="D49" s="40">
        <f t="shared" si="71"/>
        <v>2383774</v>
      </c>
      <c r="E49" s="40">
        <f t="shared" si="54"/>
        <v>0.2197070695460224</v>
      </c>
      <c r="F49" s="40">
        <f>NBIM!Z48</f>
        <v>2234622</v>
      </c>
      <c r="G49" s="40">
        <f>86718-G48</f>
        <v>40374</v>
      </c>
      <c r="H49" s="107">
        <f t="shared" si="72"/>
        <v>0.12901096635129128</v>
      </c>
      <c r="I49" s="107">
        <f t="shared" si="64"/>
        <v>0.18436040206330317</v>
      </c>
      <c r="J49" s="234">
        <f t="shared" si="73"/>
        <v>0.12134199845187547</v>
      </c>
      <c r="K49" s="321" t="s">
        <v>23</v>
      </c>
      <c r="L49" s="50">
        <f t="shared" si="65"/>
        <v>451718.07878444192</v>
      </c>
      <c r="N49" s="50">
        <f t="shared" si="66"/>
        <v>81368.434953507691</v>
      </c>
      <c r="O49" s="384">
        <f t="shared" si="55"/>
        <v>370349.64383093425</v>
      </c>
      <c r="P49" s="384"/>
      <c r="Q49" s="384">
        <f t="shared" si="56"/>
        <v>347176.98145745776</v>
      </c>
      <c r="R49" s="384"/>
      <c r="S49" s="396">
        <f>V49</f>
        <v>0.17631546523322417</v>
      </c>
      <c r="T49" s="384">
        <f t="shared" si="67"/>
        <v>1.1213419984518755</v>
      </c>
      <c r="U49" s="382">
        <f t="shared" si="75"/>
        <v>0.95326639119681289</v>
      </c>
      <c r="V49" s="107">
        <f t="shared" si="76"/>
        <v>0.17631546523322417</v>
      </c>
      <c r="W49" s="205"/>
      <c r="X49" s="321">
        <v>6.4365500000000004</v>
      </c>
      <c r="Y49" s="321" t="s">
        <v>23</v>
      </c>
      <c r="Z49" s="40">
        <f>NBIM!AL48</f>
        <v>462.13199999999995</v>
      </c>
      <c r="AA49" s="40">
        <f>NBIM!AM48</f>
        <v>300.04199999999992</v>
      </c>
      <c r="AB49" s="40">
        <f t="shared" si="53"/>
        <v>762.17399999999986</v>
      </c>
      <c r="AC49" s="76">
        <f t="shared" si="57"/>
        <v>3.1973416943049124E-4</v>
      </c>
      <c r="AD49" s="173">
        <f>NBIM!AQ48</f>
        <v>356.81200000000001</v>
      </c>
      <c r="AE49" s="321" t="s">
        <v>23</v>
      </c>
      <c r="AF49" s="40">
        <f t="shared" si="68"/>
        <v>71.798090592009686</v>
      </c>
      <c r="AG49" s="40">
        <f t="shared" si="79"/>
        <v>46.615345177152342</v>
      </c>
      <c r="AH49" s="40">
        <f t="shared" si="41"/>
        <v>118.41343576916202</v>
      </c>
      <c r="AI49" s="76">
        <f t="shared" si="58"/>
        <v>3.1973416943049124E-4</v>
      </c>
      <c r="AJ49" s="382">
        <f t="shared" si="44"/>
        <v>55.435287537578361</v>
      </c>
      <c r="AL49" s="321" t="s">
        <v>23</v>
      </c>
      <c r="AM49" s="91">
        <v>179766470856.51999</v>
      </c>
      <c r="AN49" s="92">
        <f t="shared" si="14"/>
        <v>9.0989888968008081E-2</v>
      </c>
      <c r="AO49" s="92">
        <f t="shared" si="15"/>
        <v>8.7085439134302167E-2</v>
      </c>
      <c r="AP49" s="401">
        <f>APG!B49</f>
        <v>9.0773147940176005E-2</v>
      </c>
      <c r="AQ49" s="129">
        <f t="shared" si="4"/>
        <v>1.0907731479401761</v>
      </c>
      <c r="AR49" s="405">
        <f t="shared" si="69"/>
        <v>0.15234845920514273</v>
      </c>
      <c r="AS49" s="55"/>
      <c r="AT49" s="55"/>
      <c r="AU49" s="55"/>
      <c r="AV49" s="129"/>
      <c r="AW49" s="188"/>
      <c r="AX49" s="55"/>
      <c r="AY49" s="55"/>
      <c r="AZ49" s="55"/>
      <c r="BA49" s="55"/>
      <c r="BB49" s="55"/>
      <c r="BC49" s="92"/>
      <c r="BD49" s="92"/>
      <c r="BE49" s="92"/>
      <c r="BF49" s="92"/>
      <c r="BG49" s="58"/>
      <c r="BH49" s="92"/>
      <c r="BI49" s="92"/>
      <c r="BJ49" s="409">
        <f t="shared" si="26"/>
        <v>0.94656537198180524</v>
      </c>
      <c r="BK49" s="410">
        <v>0.71293600000000001</v>
      </c>
      <c r="BL49" s="103">
        <f t="shared" si="59"/>
        <v>252149520933.88464</v>
      </c>
      <c r="BM49" s="107">
        <f t="shared" si="27"/>
        <v>0.1525774354958962</v>
      </c>
      <c r="BN49" s="107">
        <f t="shared" si="28"/>
        <v>0.1420006827820289</v>
      </c>
      <c r="BO49" s="107"/>
      <c r="BP49" s="107"/>
      <c r="BQ49" s="107"/>
      <c r="BR49" s="107"/>
      <c r="BS49" s="107"/>
      <c r="BT49" s="107"/>
      <c r="BU49" s="76"/>
      <c r="BV49" s="76"/>
      <c r="BW49" s="76"/>
      <c r="CA49" s="321" t="str">
        <f>CPPIB.!A45</f>
        <v>2Q2009/10</v>
      </c>
      <c r="CB49" s="50">
        <f>CPPIB.!B45</f>
        <v>120720</v>
      </c>
      <c r="CC49" s="50">
        <f>CPPIB.!C45</f>
        <v>4117</v>
      </c>
      <c r="CD49" s="40">
        <f>CPPIB.!D45</f>
        <v>116603</v>
      </c>
      <c r="CE49" s="40">
        <f>CPPIB.!E45</f>
        <v>100443</v>
      </c>
      <c r="CF49" s="234">
        <f t="shared" si="45"/>
        <v>7.1857138794892972E-2</v>
      </c>
      <c r="CG49" s="107">
        <f t="shared" si="46"/>
        <v>6.9392787718361118E-2</v>
      </c>
      <c r="CH49" s="393">
        <f t="shared" si="47"/>
        <v>1.0693927877183611</v>
      </c>
      <c r="CI49" s="107"/>
      <c r="CJ49" s="107"/>
      <c r="CK49" s="383"/>
      <c r="CL49" s="107"/>
      <c r="CM49" s="107"/>
      <c r="CN49" s="410">
        <v>1.1613500000000001</v>
      </c>
      <c r="CO49" s="327" t="str">
        <f t="shared" si="51"/>
        <v>2Q2009/10</v>
      </c>
      <c r="CP49" s="187">
        <f t="shared" si="60"/>
        <v>103947.99156154474</v>
      </c>
      <c r="CQ49" s="187"/>
      <c r="CR49" s="187">
        <f t="shared" si="61"/>
        <v>3545.0122702027811</v>
      </c>
      <c r="CS49" s="40">
        <f t="shared" si="62"/>
        <v>100402.97929134197</v>
      </c>
      <c r="CU49" s="40">
        <f t="shared" si="63"/>
        <v>86488.138803978116</v>
      </c>
      <c r="CW49" s="76">
        <f t="shared" si="48"/>
        <v>0.15852803708430363</v>
      </c>
      <c r="CX49" s="420">
        <f t="shared" si="49"/>
        <v>0.15852803708430363</v>
      </c>
      <c r="CY49" s="205"/>
      <c r="CZ49" s="205"/>
      <c r="DA49" s="205"/>
      <c r="DB49" s="107"/>
      <c r="DC49" s="205"/>
      <c r="DD49" s="205"/>
      <c r="DE49" s="421">
        <f t="shared" si="29"/>
        <v>0.92306163811946107</v>
      </c>
      <c r="DF49" s="321">
        <v>1.1613500000000001</v>
      </c>
      <c r="DG49" s="40">
        <f>CPPIB.!K45</f>
        <v>94</v>
      </c>
      <c r="DH49" s="40">
        <f>CPPIB.!L45</f>
        <v>29</v>
      </c>
      <c r="DI49" s="40">
        <f>CPPIB.!M45</f>
        <v>60</v>
      </c>
      <c r="DJ49" s="40">
        <f t="shared" si="22"/>
        <v>183</v>
      </c>
      <c r="DK49" s="40">
        <f t="shared" si="70"/>
        <v>1.569427887790194E-3</v>
      </c>
      <c r="DL49" s="326" t="str">
        <f t="shared" si="52"/>
        <v>2Q2009/10</v>
      </c>
      <c r="DM49" s="40">
        <f t="shared" si="38"/>
        <v>80.940285013131259</v>
      </c>
      <c r="DN49" s="40">
        <f t="shared" si="77"/>
        <v>24.970938993412837</v>
      </c>
      <c r="DO49" s="40">
        <f t="shared" si="25"/>
        <v>51.664011710509314</v>
      </c>
      <c r="DP49" s="40">
        <f t="shared" si="78"/>
        <v>157.57523571705343</v>
      </c>
      <c r="DQ49" s="40">
        <f t="shared" si="30"/>
        <v>1.5694278877901942E-3</v>
      </c>
    </row>
    <row r="50" spans="1:121">
      <c r="A50" s="321" t="s">
        <v>24</v>
      </c>
      <c r="B50" s="40">
        <f>NBIM!V49</f>
        <v>2978498</v>
      </c>
      <c r="C50" s="40">
        <f>NBIM!W49</f>
        <v>432459</v>
      </c>
      <c r="D50" s="40">
        <f t="shared" si="71"/>
        <v>2546039</v>
      </c>
      <c r="E50" s="40">
        <f t="shared" si="54"/>
        <v>0.16985560708221673</v>
      </c>
      <c r="F50" s="40">
        <f>NBIM!Z49</f>
        <v>2283554</v>
      </c>
      <c r="G50" s="40">
        <f>135650-(G49+G48)</f>
        <v>48932</v>
      </c>
      <c r="H50" s="107">
        <f t="shared" si="72"/>
        <v>4.7543517128721069E-2</v>
      </c>
      <c r="I50" s="107">
        <f t="shared" si="64"/>
        <v>0.16205060496266466</v>
      </c>
      <c r="J50" s="234">
        <f t="shared" si="73"/>
        <v>4.6447915749537792E-2</v>
      </c>
      <c r="K50" s="321" t="s">
        <v>24</v>
      </c>
      <c r="L50" s="50">
        <f t="shared" si="65"/>
        <v>513330.57580614579</v>
      </c>
      <c r="N50" s="50">
        <f t="shared" si="66"/>
        <v>74532.340623545824</v>
      </c>
      <c r="O50" s="384">
        <f t="shared" si="55"/>
        <v>438798.23518259998</v>
      </c>
      <c r="P50" s="384"/>
      <c r="Q50" s="384">
        <f t="shared" si="56"/>
        <v>393560.13994450471</v>
      </c>
      <c r="R50" s="384"/>
      <c r="S50" s="396">
        <f t="shared" si="74"/>
        <v>0.16083524328588461</v>
      </c>
      <c r="T50" s="384">
        <f t="shared" si="67"/>
        <v>1.0464479157495379</v>
      </c>
      <c r="U50" s="382">
        <f t="shared" si="75"/>
        <v>0.90146118650519302</v>
      </c>
      <c r="V50" s="107">
        <f t="shared" si="76"/>
        <v>0.16083524328588461</v>
      </c>
      <c r="W50" s="205"/>
      <c r="X50" s="321">
        <v>5.8023000000000007</v>
      </c>
      <c r="Y50" s="321" t="s">
        <v>24</v>
      </c>
      <c r="Z50" s="40">
        <f>NBIM!AL49</f>
        <v>560.13600000000008</v>
      </c>
      <c r="AA50" s="40">
        <f>NBIM!AM49</f>
        <v>323.67499999999984</v>
      </c>
      <c r="AB50" s="40">
        <f t="shared" si="53"/>
        <v>883.81099999999992</v>
      </c>
      <c r="AC50" s="76">
        <f t="shared" si="57"/>
        <v>3.4713176035402441E-4</v>
      </c>
      <c r="AD50" s="173">
        <f>NBIM!AQ49</f>
        <v>469.56200000000001</v>
      </c>
      <c r="AE50" s="321" t="s">
        <v>24</v>
      </c>
      <c r="AF50" s="40">
        <f t="shared" si="68"/>
        <v>96.536890543405207</v>
      </c>
      <c r="AG50" s="40">
        <f t="shared" si="79"/>
        <v>55.783913275769919</v>
      </c>
      <c r="AH50" s="40">
        <f t="shared" si="41"/>
        <v>152.32080381917513</v>
      </c>
      <c r="AI50" s="76">
        <f t="shared" si="58"/>
        <v>3.4713176035402441E-4</v>
      </c>
      <c r="AJ50" s="382">
        <f t="shared" si="44"/>
        <v>80.926873825896621</v>
      </c>
      <c r="AL50" s="321" t="s">
        <v>24</v>
      </c>
      <c r="AM50" s="91">
        <v>198986783970.79001</v>
      </c>
      <c r="AN50" s="92">
        <f t="shared" si="14"/>
        <v>0.10691823131806744</v>
      </c>
      <c r="AO50" s="92">
        <f t="shared" si="15"/>
        <v>0.10157978588367433</v>
      </c>
      <c r="AP50" s="401">
        <f>APG!B50</f>
        <v>0.10711201238290401</v>
      </c>
      <c r="AQ50" s="129">
        <f t="shared" si="4"/>
        <v>1.1071120123829039</v>
      </c>
      <c r="AR50" s="405">
        <f t="shared" si="69"/>
        <v>0.1537196747136429</v>
      </c>
      <c r="AS50" s="55"/>
      <c r="AT50" s="55"/>
      <c r="AU50" s="55"/>
      <c r="AV50" s="129"/>
      <c r="AW50" s="188"/>
      <c r="AX50" s="55"/>
      <c r="AY50" s="55"/>
      <c r="AZ50" s="55"/>
      <c r="BA50" s="55"/>
      <c r="BB50" s="55"/>
      <c r="BC50" s="92"/>
      <c r="BD50" s="92"/>
      <c r="BE50" s="92"/>
      <c r="BF50" s="92"/>
      <c r="BG50" s="58"/>
      <c r="BH50" s="92"/>
      <c r="BI50" s="92"/>
      <c r="BJ50" s="409">
        <f t="shared" si="26"/>
        <v>0.95960226443888363</v>
      </c>
      <c r="BK50" s="410">
        <v>0.68413499999999994</v>
      </c>
      <c r="BL50" s="103">
        <f t="shared" si="59"/>
        <v>290858944463.87048</v>
      </c>
      <c r="BM50" s="107">
        <f t="shared" si="27"/>
        <v>0.15351773577287786</v>
      </c>
      <c r="BN50" s="107">
        <f t="shared" si="28"/>
        <v>0.1428161741293133</v>
      </c>
      <c r="BO50" s="107"/>
      <c r="BP50" s="107"/>
      <c r="BQ50" s="107"/>
      <c r="BR50" s="107"/>
      <c r="BS50" s="107"/>
      <c r="BT50" s="107"/>
      <c r="BU50" s="76"/>
      <c r="BV50" s="76"/>
      <c r="BW50" s="76"/>
      <c r="CA50" s="321" t="str">
        <f>CPPIB.!A46</f>
        <v>3Q2009/10</v>
      </c>
      <c r="CB50" s="50">
        <f>CPPIB.!B46</f>
        <v>128173</v>
      </c>
      <c r="CC50" s="50">
        <f>CPPIB.!C46</f>
        <v>4347</v>
      </c>
      <c r="CD50" s="40">
        <f>CPPIB.!D46</f>
        <v>123826</v>
      </c>
      <c r="CE50" s="40">
        <f>CPPIB.!E46</f>
        <v>102365</v>
      </c>
      <c r="CF50" s="234">
        <f t="shared" si="45"/>
        <v>4.5461952093856839E-2</v>
      </c>
      <c r="CG50" s="107">
        <f t="shared" si="46"/>
        <v>4.4458847157253331E-2</v>
      </c>
      <c r="CH50" s="393">
        <f t="shared" si="47"/>
        <v>1.0444588471572533</v>
      </c>
      <c r="CI50" s="107"/>
      <c r="CJ50" s="107"/>
      <c r="CK50" s="107"/>
      <c r="CL50" s="107"/>
      <c r="CM50" s="107"/>
      <c r="CN50" s="410">
        <v>1.0733000000000001</v>
      </c>
      <c r="CO50" s="327" t="str">
        <f t="shared" si="51"/>
        <v>3Q2009/10</v>
      </c>
      <c r="CP50" s="187">
        <f t="shared" si="60"/>
        <v>119419.54719090654</v>
      </c>
      <c r="CQ50" s="187"/>
      <c r="CR50" s="187">
        <f t="shared" si="61"/>
        <v>4050.1257803037356</v>
      </c>
      <c r="CS50" s="40">
        <f t="shared" si="62"/>
        <v>115369.42141060279</v>
      </c>
      <c r="CU50" s="40">
        <f t="shared" si="63"/>
        <v>95374.079940370808</v>
      </c>
      <c r="CW50" s="76">
        <f t="shared" si="48"/>
        <v>0.1301428138880798</v>
      </c>
      <c r="CX50" s="420">
        <f t="shared" si="49"/>
        <v>0.1301428138880798</v>
      </c>
      <c r="CY50" s="205"/>
      <c r="CZ50" s="205"/>
      <c r="DA50" s="205"/>
      <c r="DB50" s="107"/>
      <c r="DC50" s="205"/>
      <c r="DD50" s="205"/>
      <c r="DE50" s="421">
        <f t="shared" si="29"/>
        <v>0.92418306281482765</v>
      </c>
      <c r="DF50" s="321">
        <v>1.0733000000000001</v>
      </c>
      <c r="DG50" s="40">
        <f>CPPIB.!K46</f>
        <v>132</v>
      </c>
      <c r="DH50" s="40">
        <f>CPPIB.!L46</f>
        <v>53</v>
      </c>
      <c r="DI50" s="40">
        <f>CPPIB.!M46</f>
        <v>64</v>
      </c>
      <c r="DJ50" s="40">
        <f t="shared" si="22"/>
        <v>249</v>
      </c>
      <c r="DK50" s="40">
        <f t="shared" si="70"/>
        <v>2.0108862435998902E-3</v>
      </c>
      <c r="DL50" s="326" t="str">
        <f t="shared" si="52"/>
        <v>3Q2009/10</v>
      </c>
      <c r="DM50" s="40">
        <f t="shared" si="38"/>
        <v>122.98518587533772</v>
      </c>
      <c r="DN50" s="40">
        <f t="shared" si="77"/>
        <v>49.380415540855303</v>
      </c>
      <c r="DO50" s="40">
        <f t="shared" si="25"/>
        <v>59.629181030466775</v>
      </c>
      <c r="DP50" s="40">
        <f t="shared" si="78"/>
        <v>231.9947824466598</v>
      </c>
      <c r="DQ50" s="40">
        <f t="shared" si="30"/>
        <v>2.0108862435998902E-3</v>
      </c>
    </row>
    <row r="51" spans="1:121">
      <c r="A51" s="321" t="s">
        <v>25</v>
      </c>
      <c r="B51" s="40">
        <f>NBIM!V50</f>
        <v>2934161</v>
      </c>
      <c r="C51" s="40">
        <f>NBIM!W50</f>
        <v>297346</v>
      </c>
      <c r="D51" s="40">
        <f t="shared" si="71"/>
        <v>2636815</v>
      </c>
      <c r="E51" s="40">
        <f t="shared" si="54"/>
        <v>0.11276710728663179</v>
      </c>
      <c r="F51" s="40">
        <f>NBIM!Z50</f>
        <v>2319481</v>
      </c>
      <c r="G51" s="40">
        <f>171577-(G50+G49+G48)</f>
        <v>35927</v>
      </c>
      <c r="H51" s="107">
        <f t="shared" si="72"/>
        <v>2.1542875030586828E-2</v>
      </c>
      <c r="I51" s="107">
        <f t="shared" si="64"/>
        <v>2.6052178332290232E-2</v>
      </c>
      <c r="J51" s="234">
        <f t="shared" si="73"/>
        <v>2.1314107013986429E-2</v>
      </c>
      <c r="K51" s="321" t="s">
        <v>25</v>
      </c>
      <c r="L51" s="50">
        <f t="shared" si="65"/>
        <v>507921.51364076993</v>
      </c>
      <c r="M51" s="50">
        <f>L51+L50+L49+L48</f>
        <v>1873461.7190081533</v>
      </c>
      <c r="N51" s="50">
        <f t="shared" si="66"/>
        <v>51472.441490098317</v>
      </c>
      <c r="O51" s="384">
        <f t="shared" si="55"/>
        <v>456449.07215067162</v>
      </c>
      <c r="P51" s="384">
        <f>(O51+O50+O49+O48)</f>
        <v>1573000.8699450295</v>
      </c>
      <c r="Q51" s="384">
        <f t="shared" si="56"/>
        <v>401516.58357568202</v>
      </c>
      <c r="R51" s="384">
        <f>Q51+Q50+Q49+Q48</f>
        <v>1467226.3801453703</v>
      </c>
      <c r="S51" s="396">
        <f t="shared" si="74"/>
        <v>2.5822400485953079E-2</v>
      </c>
      <c r="T51" s="384">
        <f t="shared" si="67"/>
        <v>1.0213141070139864</v>
      </c>
      <c r="U51" s="382">
        <f t="shared" si="75"/>
        <v>0.99560519104493039</v>
      </c>
      <c r="V51" s="107">
        <f t="shared" si="76"/>
        <v>2.5822400485953079E-2</v>
      </c>
      <c r="W51" s="205">
        <f>((1+V51)*(1+V50)*(1+V49)*(1+V48))-1</f>
        <v>0.28762640426230202</v>
      </c>
      <c r="X51" s="321">
        <v>5.7768000000000006</v>
      </c>
      <c r="Y51" s="321" t="s">
        <v>25</v>
      </c>
      <c r="Z51" s="40">
        <f>NBIM!AL50</f>
        <v>274.98299999999995</v>
      </c>
      <c r="AA51" s="40">
        <f>NBIM!AM50</f>
        <v>448.61300000000006</v>
      </c>
      <c r="AB51" s="40">
        <f t="shared" si="53"/>
        <v>723.596</v>
      </c>
      <c r="AC51" s="76">
        <f t="shared" si="57"/>
        <v>2.7442046559959647E-4</v>
      </c>
      <c r="AD51" s="173">
        <f>NBIM!AQ50</f>
        <v>160.88699999999994</v>
      </c>
      <c r="AE51" s="321" t="s">
        <v>25</v>
      </c>
      <c r="AF51" s="40">
        <f t="shared" si="68"/>
        <v>47.601267137515563</v>
      </c>
      <c r="AG51" s="40">
        <f t="shared" si="79"/>
        <v>77.65769976457554</v>
      </c>
      <c r="AH51" s="40">
        <f t="shared" si="41"/>
        <v>125.2589669020911</v>
      </c>
      <c r="AI51" s="76">
        <f t="shared" si="58"/>
        <v>2.7442046559959647E-4</v>
      </c>
      <c r="AJ51" s="382">
        <f t="shared" si="44"/>
        <v>27.85054009140007</v>
      </c>
      <c r="AL51" s="321" t="s">
        <v>25</v>
      </c>
      <c r="AM51" s="91">
        <v>206839123929.57001</v>
      </c>
      <c r="AN51" s="92">
        <f t="shared" si="14"/>
        <v>3.9461615500719249E-2</v>
      </c>
      <c r="AO51" s="92">
        <f t="shared" si="15"/>
        <v>3.870290170891779E-2</v>
      </c>
      <c r="AP51" s="401">
        <f>APG!B51</f>
        <v>3.9364489786038397E-2</v>
      </c>
      <c r="AQ51" s="129">
        <f t="shared" si="4"/>
        <v>1.0393644897860383</v>
      </c>
      <c r="AR51" s="405">
        <f t="shared" si="69"/>
        <v>2.0200728880883201E-2</v>
      </c>
      <c r="AS51" s="55">
        <f>AR48+AR49+AR50+AR51</f>
        <v>0.24112412195647193</v>
      </c>
      <c r="AT51" s="55"/>
      <c r="AU51" s="55"/>
      <c r="AV51" s="129"/>
      <c r="AW51" s="188"/>
      <c r="AX51" s="55"/>
      <c r="AY51" s="55"/>
      <c r="AZ51" s="55"/>
      <c r="BA51" s="55"/>
      <c r="BB51" s="55"/>
      <c r="BC51" s="92"/>
      <c r="BD51" s="92"/>
      <c r="BE51" s="92"/>
      <c r="BF51" s="92"/>
      <c r="BG51" s="58"/>
      <c r="BH51" s="92"/>
      <c r="BI51" s="92"/>
      <c r="BJ51" s="409">
        <f t="shared" si="26"/>
        <v>1.0187843042674327</v>
      </c>
      <c r="BK51" s="410">
        <v>0.69698599999999999</v>
      </c>
      <c r="BL51" s="103">
        <f t="shared" si="59"/>
        <v>296762236156.20691</v>
      </c>
      <c r="BM51" s="107">
        <f t="shared" si="27"/>
        <v>2.0296063795520292E-2</v>
      </c>
      <c r="BN51" s="107">
        <f t="shared" si="28"/>
        <v>2.0092843802354356E-2</v>
      </c>
      <c r="BO51" s="107"/>
      <c r="BP51" s="107"/>
      <c r="BQ51" s="107"/>
      <c r="BR51" s="107"/>
      <c r="BS51" s="107"/>
      <c r="BT51" s="107"/>
      <c r="BU51" s="76"/>
      <c r="BV51" s="76"/>
      <c r="BW51" s="76"/>
      <c r="CA51" s="321" t="str">
        <f>CPPIB.!A47</f>
        <v>4Q2009/10</v>
      </c>
      <c r="CB51" s="50">
        <f>CPPIB.!B47</f>
        <v>127944</v>
      </c>
      <c r="CC51" s="50">
        <f>CPPIB.!C47</f>
        <v>4005</v>
      </c>
      <c r="CD51" s="40">
        <f>CPPIB.!D47</f>
        <v>123939</v>
      </c>
      <c r="CE51" s="40">
        <f>CPPIB.!E47</f>
        <v>100342</v>
      </c>
      <c r="CF51" s="234">
        <f t="shared" si="45"/>
        <v>1.7250012113772639E-2</v>
      </c>
      <c r="CG51" s="107">
        <f t="shared" si="46"/>
        <v>1.7102919808015753E-2</v>
      </c>
      <c r="CH51" s="393">
        <f t="shared" si="47"/>
        <v>1.0171029198080157</v>
      </c>
      <c r="CI51" s="107">
        <f>((CG51+1)*(CG50+1)*(CG49+1)*(CG48+1))-1</f>
        <v>6.9170780824612477E-2</v>
      </c>
      <c r="CJ51" s="107"/>
      <c r="CK51" s="107"/>
      <c r="CL51" s="107"/>
      <c r="CM51" s="107"/>
      <c r="CN51" s="410">
        <v>1.0483500000000001</v>
      </c>
      <c r="CO51" s="327" t="str">
        <f t="shared" si="51"/>
        <v>4Q2009/10</v>
      </c>
      <c r="CP51" s="187">
        <f t="shared" si="60"/>
        <v>122043.21075976534</v>
      </c>
      <c r="CQ51" s="187">
        <f>CP51+CP50+CP49+CP48</f>
        <v>434816.62321567012</v>
      </c>
      <c r="CR51" s="187">
        <f t="shared" si="61"/>
        <v>3820.2890256116752</v>
      </c>
      <c r="CS51" s="40">
        <f t="shared" si="62"/>
        <v>118222.92173415366</v>
      </c>
      <c r="CT51" s="40">
        <f>CS51+CS50+CS49+CS48</f>
        <v>417849.39389021753</v>
      </c>
      <c r="CU51" s="40">
        <f t="shared" si="63"/>
        <v>95714.217580006662</v>
      </c>
      <c r="CV51" s="40">
        <f>CU51+CU50+CU49+CU48</f>
        <v>354611.76597503317</v>
      </c>
      <c r="CW51" s="76">
        <f t="shared" si="48"/>
        <v>4.1309261057798752E-2</v>
      </c>
      <c r="CX51" s="420">
        <f t="shared" si="49"/>
        <v>4.1309261057798752E-2</v>
      </c>
      <c r="CY51" s="205"/>
      <c r="CZ51" s="205"/>
      <c r="DA51" s="205"/>
      <c r="DB51" s="107">
        <f>((CX63+1)*(CX62+1)*(CX61+1)*(CX60+1))-1</f>
        <v>0.12039747139089818</v>
      </c>
      <c r="DC51" s="205"/>
      <c r="DD51" s="205"/>
      <c r="DE51" s="421">
        <f t="shared" si="29"/>
        <v>0.97675393645765396</v>
      </c>
      <c r="DF51" s="321">
        <v>1.0483500000000001</v>
      </c>
      <c r="DG51" s="40">
        <f>CPPIB.!K47</f>
        <v>113</v>
      </c>
      <c r="DH51" s="40">
        <f>CPPIB.!L47</f>
        <v>22</v>
      </c>
      <c r="DI51" s="40">
        <f>CPPIB.!M47</f>
        <v>51</v>
      </c>
      <c r="DJ51" s="40">
        <f t="shared" si="22"/>
        <v>186</v>
      </c>
      <c r="DK51" s="40">
        <f t="shared" si="70"/>
        <v>1.5007382664052478E-3</v>
      </c>
      <c r="DL51" s="326" t="str">
        <f t="shared" si="52"/>
        <v>4Q2009/10</v>
      </c>
      <c r="DM51" s="40">
        <f t="shared" si="38"/>
        <v>107.78842943673391</v>
      </c>
      <c r="DN51" s="40">
        <f t="shared" si="77"/>
        <v>20.98535794343492</v>
      </c>
      <c r="DO51" s="40">
        <f t="shared" si="25"/>
        <v>48.64787523250822</v>
      </c>
      <c r="DP51" s="40">
        <f t="shared" si="78"/>
        <v>177.42166261267704</v>
      </c>
      <c r="DQ51" s="40">
        <f t="shared" si="30"/>
        <v>1.5007382664052476E-3</v>
      </c>
    </row>
    <row r="52" spans="1:121">
      <c r="A52" s="321" t="s">
        <v>26</v>
      </c>
      <c r="B52" s="40">
        <f>NBIM!V51</f>
        <v>3063870</v>
      </c>
      <c r="C52" s="40">
        <f>NBIM!W51</f>
        <v>301515</v>
      </c>
      <c r="D52" s="40">
        <f t="shared" si="71"/>
        <v>2762355</v>
      </c>
      <c r="E52" s="40">
        <f t="shared" si="54"/>
        <v>0.10915143057282645</v>
      </c>
      <c r="F52" s="40">
        <f>NBIM!Z51</f>
        <v>2342046</v>
      </c>
      <c r="G52" s="40">
        <v>22565</v>
      </c>
      <c r="H52" s="107">
        <f t="shared" si="72"/>
        <v>3.905279665050454E-2</v>
      </c>
      <c r="I52" s="107">
        <f t="shared" si="64"/>
        <v>1.1237123791740578E-2</v>
      </c>
      <c r="J52" s="234">
        <f t="shared" si="73"/>
        <v>3.8309525696611516E-2</v>
      </c>
      <c r="K52" s="321" t="s">
        <v>26</v>
      </c>
      <c r="L52" s="50">
        <f t="shared" si="65"/>
        <v>516176.69356604945</v>
      </c>
      <c r="N52" s="50">
        <f t="shared" si="66"/>
        <v>50796.873157336115</v>
      </c>
      <c r="O52" s="384">
        <f t="shared" si="55"/>
        <v>465379.82040871331</v>
      </c>
      <c r="P52" s="384"/>
      <c r="Q52" s="384">
        <f t="shared" si="56"/>
        <v>394569.46948127425</v>
      </c>
      <c r="R52" s="384"/>
      <c r="S52" s="396">
        <f t="shared" si="74"/>
        <v>1.0513750365447327E-2</v>
      </c>
      <c r="T52" s="384">
        <f t="shared" si="67"/>
        <v>1.0383095256966115</v>
      </c>
      <c r="U52" s="382">
        <f t="shared" si="75"/>
        <v>1.0275065780362831</v>
      </c>
      <c r="V52" s="107">
        <f t="shared" si="76"/>
        <v>1.0513750365447327E-2</v>
      </c>
      <c r="W52" s="205"/>
      <c r="X52" s="321">
        <v>5.9357000000000006</v>
      </c>
      <c r="Y52" s="321" t="s">
        <v>26</v>
      </c>
      <c r="Z52" s="40">
        <f>NBIM!AL51</f>
        <v>292.72300000000001</v>
      </c>
      <c r="AA52" s="40">
        <f>NBIM!AM51</f>
        <v>350.06900000000002</v>
      </c>
      <c r="AB52" s="40">
        <f t="shared" si="53"/>
        <v>642.79200000000003</v>
      </c>
      <c r="AC52" s="76">
        <f t="shared" si="57"/>
        <v>2.3269710084330219E-4</v>
      </c>
      <c r="AD52" s="173">
        <f>NBIM!AQ51</f>
        <v>184.733</v>
      </c>
      <c r="AE52" s="321" t="s">
        <v>26</v>
      </c>
      <c r="AF52" s="40">
        <f t="shared" si="68"/>
        <v>49.315666223023399</v>
      </c>
      <c r="AG52" s="40">
        <f t="shared" si="79"/>
        <v>58.97686877706083</v>
      </c>
      <c r="AH52" s="40">
        <f t="shared" si="41"/>
        <v>108.29253500008423</v>
      </c>
      <c r="AI52" s="76">
        <f t="shared" si="58"/>
        <v>2.3269710084330221E-4</v>
      </c>
      <c r="AJ52" s="382">
        <f t="shared" si="44"/>
        <v>31.12236130532203</v>
      </c>
      <c r="AL52" s="321" t="s">
        <v>26</v>
      </c>
      <c r="AM52" s="91">
        <v>217251841226.38</v>
      </c>
      <c r="AN52" s="92">
        <f t="shared" si="14"/>
        <v>5.0342106942763865E-2</v>
      </c>
      <c r="AO52" s="92">
        <f t="shared" si="15"/>
        <v>4.9115927238846675E-2</v>
      </c>
      <c r="AP52" s="401">
        <f>APG!B52</f>
        <v>5.0657292640639E-2</v>
      </c>
      <c r="AQ52" s="129">
        <f t="shared" si="4"/>
        <v>1.050657292640639</v>
      </c>
      <c r="AR52" s="405">
        <f t="shared" si="69"/>
        <v>-9.1342007127742653E-3</v>
      </c>
      <c r="AS52" s="55"/>
      <c r="AT52" s="55"/>
      <c r="AU52" s="55"/>
      <c r="AV52" s="129"/>
      <c r="AW52" s="188"/>
      <c r="AX52" s="55"/>
      <c r="AY52" s="55"/>
      <c r="AZ52" s="55"/>
      <c r="BA52" s="55"/>
      <c r="BB52" s="55"/>
      <c r="BC52" s="92"/>
      <c r="BD52" s="92"/>
      <c r="BE52" s="92"/>
      <c r="BF52" s="92"/>
      <c r="BG52" s="58"/>
      <c r="BH52" s="92"/>
      <c r="BI52" s="92"/>
      <c r="BJ52" s="409">
        <f t="shared" si="26"/>
        <v>1.0603426754626348</v>
      </c>
      <c r="BK52" s="410">
        <v>0.73904399999999992</v>
      </c>
      <c r="BL52" s="103">
        <f t="shared" si="59"/>
        <v>293963338077.81409</v>
      </c>
      <c r="BM52" s="107">
        <f t="shared" si="27"/>
        <v>-9.4314496165190942E-3</v>
      </c>
      <c r="BN52" s="107">
        <f t="shared" si="28"/>
        <v>-9.4762073801515842E-3</v>
      </c>
      <c r="BO52" s="107"/>
      <c r="BP52" s="107"/>
      <c r="BQ52" s="107"/>
      <c r="BR52" s="107"/>
      <c r="BS52" s="107"/>
      <c r="BT52" s="107"/>
      <c r="BU52" s="76"/>
      <c r="BV52" s="76"/>
      <c r="BW52" s="76"/>
      <c r="CA52" s="321" t="str">
        <f>CPPIB.!A48</f>
        <v>1Q2010/10</v>
      </c>
      <c r="CB52" s="50">
        <f>CPPIB.!B48</f>
        <v>131641</v>
      </c>
      <c r="CC52" s="50">
        <f>CPPIB.!C48</f>
        <v>4011</v>
      </c>
      <c r="CD52" s="40">
        <f>CPPIB.!D48</f>
        <v>127630</v>
      </c>
      <c r="CE52" s="40">
        <f>CPPIB.!E48</f>
        <v>103069</v>
      </c>
      <c r="CF52" s="234">
        <f t="shared" si="45"/>
        <v>7.7780198323369465E-3</v>
      </c>
      <c r="CG52" s="107">
        <f t="shared" si="46"/>
        <v>7.7479269772394018E-3</v>
      </c>
      <c r="CH52" s="393">
        <f t="shared" si="47"/>
        <v>1.0077479269772394</v>
      </c>
      <c r="CI52" s="107"/>
      <c r="CJ52" s="107"/>
      <c r="CK52" s="107"/>
      <c r="CL52" s="107"/>
      <c r="CM52" s="107"/>
      <c r="CN52" s="410">
        <v>1.0145500000000001</v>
      </c>
      <c r="CO52" s="327" t="str">
        <f t="shared" si="51"/>
        <v>1Q2010/10</v>
      </c>
      <c r="CP52" s="187">
        <f t="shared" si="60"/>
        <v>129753.09250406583</v>
      </c>
      <c r="CQ52" s="187"/>
      <c r="CR52" s="187">
        <f t="shared" si="61"/>
        <v>3953.4769109457393</v>
      </c>
      <c r="CS52" s="40">
        <f t="shared" si="62"/>
        <v>125799.61559312009</v>
      </c>
      <c r="CU52" s="40">
        <f t="shared" si="63"/>
        <v>101590.85308757577</v>
      </c>
      <c r="CW52" s="76">
        <f t="shared" si="48"/>
        <v>4.1321314126054887E-2</v>
      </c>
      <c r="CX52" s="420">
        <f t="shared" si="49"/>
        <v>4.1321314126054887E-2</v>
      </c>
      <c r="CY52" s="205">
        <f>((CX49+1)*(1+CX50)*(1+CX51)*(1+CX52))-1</f>
        <v>0.419725441515578</v>
      </c>
      <c r="CZ52" s="205">
        <f>6.49/CP51</f>
        <v>5.3177886419058342E-5</v>
      </c>
      <c r="DA52" s="205">
        <f>6.49/CQ51</f>
        <v>1.4925832301450316E-5</v>
      </c>
      <c r="DB52" s="107"/>
      <c r="DC52" s="205"/>
      <c r="DD52" s="205"/>
      <c r="DE52" s="421">
        <f t="shared" si="29"/>
        <v>0.96775885915963178</v>
      </c>
      <c r="DF52" s="321">
        <v>1.0145500000000001</v>
      </c>
      <c r="DG52" s="40">
        <f>CPPIB.!K48</f>
        <v>127</v>
      </c>
      <c r="DH52" s="40">
        <f>CPPIB.!L48</f>
        <v>44</v>
      </c>
      <c r="DI52" s="40">
        <f>CPPIB.!M48</f>
        <v>61</v>
      </c>
      <c r="DJ52" s="40">
        <f t="shared" si="22"/>
        <v>232</v>
      </c>
      <c r="DK52" s="40">
        <f t="shared" si="70"/>
        <v>1.8177544464467602E-3</v>
      </c>
      <c r="DL52" s="326" t="str">
        <f t="shared" si="52"/>
        <v>1Q2010/10</v>
      </c>
      <c r="DM52" s="40">
        <f t="shared" si="38"/>
        <v>125.17865063328568</v>
      </c>
      <c r="DN52" s="40">
        <f t="shared" si="77"/>
        <v>43.368981321768267</v>
      </c>
      <c r="DO52" s="40">
        <f t="shared" si="25"/>
        <v>60.125178650633281</v>
      </c>
      <c r="DP52" s="40">
        <f t="shared" si="78"/>
        <v>228.67281060568723</v>
      </c>
      <c r="DQ52" s="40">
        <f t="shared" si="30"/>
        <v>1.8177544464467602E-3</v>
      </c>
    </row>
    <row r="53" spans="1:121">
      <c r="A53" s="321" t="s">
        <v>27</v>
      </c>
      <c r="B53" s="40">
        <f>NBIM!V52</f>
        <v>3173182</v>
      </c>
      <c r="C53" s="40">
        <f>NBIM!W52</f>
        <v>382470</v>
      </c>
      <c r="D53" s="40">
        <f t="shared" si="71"/>
        <v>2790712</v>
      </c>
      <c r="E53" s="40">
        <f t="shared" si="54"/>
        <v>0.13705104647129479</v>
      </c>
      <c r="F53" s="40">
        <f>NBIM!Z52</f>
        <v>2377527</v>
      </c>
      <c r="G53" s="40">
        <f>58046-G52</f>
        <v>35481</v>
      </c>
      <c r="H53" s="107">
        <f t="shared" si="72"/>
        <v>-2.5789588955800191E-3</v>
      </c>
      <c r="I53" s="107">
        <f t="shared" si="64"/>
        <v>-8.9611638408539585E-2</v>
      </c>
      <c r="J53" s="234">
        <f t="shared" si="73"/>
        <v>-2.5822901387312657E-3</v>
      </c>
      <c r="K53" s="321" t="s">
        <v>27</v>
      </c>
      <c r="L53" s="50">
        <f t="shared" si="65"/>
        <v>487945.3803156931</v>
      </c>
      <c r="N53" s="50">
        <f t="shared" si="66"/>
        <v>58813.03675910904</v>
      </c>
      <c r="O53" s="384">
        <f t="shared" si="55"/>
        <v>429132.34355658409</v>
      </c>
      <c r="P53" s="384"/>
      <c r="Q53" s="384">
        <f t="shared" si="56"/>
        <v>365596.21106694447</v>
      </c>
      <c r="R53" s="384"/>
      <c r="S53" s="396">
        <f t="shared" si="74"/>
        <v>-8.961467897503006E-2</v>
      </c>
      <c r="T53" s="384">
        <f t="shared" si="67"/>
        <v>0.99741770986126876</v>
      </c>
      <c r="U53" s="382">
        <f t="shared" si="75"/>
        <v>1.0955995080613912</v>
      </c>
      <c r="V53" s="107">
        <f t="shared" si="76"/>
        <v>-8.961467897503006E-2</v>
      </c>
      <c r="W53" s="205"/>
      <c r="X53" s="321">
        <v>6.5031500000000007</v>
      </c>
      <c r="Y53" s="321" t="s">
        <v>27</v>
      </c>
      <c r="Z53" s="40">
        <f>NBIM!AL52</f>
        <v>376.58300000000003</v>
      </c>
      <c r="AA53" s="40">
        <f>NBIM!AM52</f>
        <v>384.86100000000005</v>
      </c>
      <c r="AB53" s="40">
        <f t="shared" si="53"/>
        <v>761.44400000000007</v>
      </c>
      <c r="AC53" s="76">
        <f t="shared" si="57"/>
        <v>2.7284936603992101E-4</v>
      </c>
      <c r="AD53" s="173">
        <f>NBIM!AQ52</f>
        <v>243.24</v>
      </c>
      <c r="AE53" s="321" t="s">
        <v>27</v>
      </c>
      <c r="AF53" s="40">
        <f t="shared" si="68"/>
        <v>57.907783151242086</v>
      </c>
      <c r="AG53" s="40">
        <f t="shared" si="79"/>
        <v>59.180704735397462</v>
      </c>
      <c r="AH53" s="40">
        <f t="shared" si="41"/>
        <v>117.08848788663954</v>
      </c>
      <c r="AI53" s="76">
        <f t="shared" si="58"/>
        <v>2.7284936603992101E-4</v>
      </c>
      <c r="AJ53" s="382">
        <f t="shared" si="44"/>
        <v>37.403412192552835</v>
      </c>
      <c r="AL53" s="321" t="s">
        <v>27</v>
      </c>
      <c r="AM53" s="91">
        <v>216326066787.57999</v>
      </c>
      <c r="AN53" s="92">
        <f t="shared" si="14"/>
        <v>-4.261296169339901E-3</v>
      </c>
      <c r="AO53" s="92">
        <f t="shared" si="15"/>
        <v>-4.2704013676989564E-3</v>
      </c>
      <c r="AP53" s="401">
        <f>APG!B53</f>
        <v>-5.3082168545352396E-3</v>
      </c>
      <c r="AQ53" s="129">
        <f t="shared" si="4"/>
        <v>0.9946917831454648</v>
      </c>
      <c r="AR53" s="405">
        <f t="shared" si="69"/>
        <v>-9.9550101258882751E-2</v>
      </c>
      <c r="AS53" s="55"/>
      <c r="AT53" s="55"/>
      <c r="AU53" s="55"/>
      <c r="AV53" s="129"/>
      <c r="AW53" s="188"/>
      <c r="AX53" s="55"/>
      <c r="AY53" s="55"/>
      <c r="AZ53" s="55"/>
      <c r="BA53" s="55"/>
      <c r="BB53" s="55"/>
      <c r="BC53" s="92"/>
      <c r="BD53" s="92"/>
      <c r="BE53" s="92"/>
      <c r="BF53" s="92"/>
      <c r="BG53" s="58"/>
      <c r="BH53" s="92"/>
      <c r="BI53" s="92"/>
      <c r="BJ53" s="409">
        <f t="shared" si="26"/>
        <v>1.1046608862259892</v>
      </c>
      <c r="BK53" s="410">
        <v>0.81639299999999992</v>
      </c>
      <c r="BL53" s="103">
        <f t="shared" si="59"/>
        <v>264977855992.8613</v>
      </c>
      <c r="BM53" s="107">
        <f t="shared" si="27"/>
        <v>-9.8602370875514156E-2</v>
      </c>
      <c r="BN53" s="107">
        <f t="shared" si="28"/>
        <v>-0.10380879894372995</v>
      </c>
      <c r="BO53" s="107"/>
      <c r="BP53" s="107"/>
      <c r="BQ53" s="107"/>
      <c r="BR53" s="107"/>
      <c r="BS53" s="107"/>
      <c r="BT53" s="107"/>
      <c r="BU53" s="76"/>
      <c r="BV53" s="76"/>
      <c r="BW53" s="76"/>
      <c r="CA53" s="321" t="str">
        <f>CPPIB.!A49</f>
        <v>2Q2010/11</v>
      </c>
      <c r="CB53" s="50">
        <f>CPPIB.!B49</f>
        <v>134678</v>
      </c>
      <c r="CC53" s="50">
        <f>CPPIB.!C49</f>
        <v>4998</v>
      </c>
      <c r="CD53" s="40">
        <f>CPPIB.!D49</f>
        <v>129680</v>
      </c>
      <c r="CE53" s="40">
        <f>CPPIB.!E49</f>
        <v>106876</v>
      </c>
      <c r="CF53" s="234">
        <f t="shared" si="45"/>
        <v>-1.3766355872443792E-2</v>
      </c>
      <c r="CG53" s="107">
        <f t="shared" si="46"/>
        <v>-1.3861990860651154E-2</v>
      </c>
      <c r="CH53" s="393">
        <f t="shared" si="47"/>
        <v>0.98613800913934879</v>
      </c>
      <c r="CI53" s="107"/>
      <c r="CJ53" s="107"/>
      <c r="CK53" s="107"/>
      <c r="CL53" s="107"/>
      <c r="CM53" s="107"/>
      <c r="CN53" s="410">
        <v>1.0626500000000001</v>
      </c>
      <c r="CO53" s="327" t="str">
        <f t="shared" si="51"/>
        <v>2Q2010/11</v>
      </c>
      <c r="CP53" s="187">
        <f t="shared" si="60"/>
        <v>126737.87230038112</v>
      </c>
      <c r="CQ53" s="187"/>
      <c r="CR53" s="187">
        <f t="shared" si="61"/>
        <v>4703.3359996235822</v>
      </c>
      <c r="CS53" s="40">
        <f t="shared" si="62"/>
        <v>122034.53630075754</v>
      </c>
      <c r="CU53" s="40">
        <f t="shared" si="63"/>
        <v>100574.97765021407</v>
      </c>
      <c r="CW53" s="76">
        <f t="shared" si="48"/>
        <v>-5.8498736957299013E-2</v>
      </c>
      <c r="CX53" s="420">
        <f t="shared" si="49"/>
        <v>-5.8498736957299013E-2</v>
      </c>
      <c r="CY53" s="205"/>
      <c r="CZ53" s="205"/>
      <c r="DA53" s="205"/>
      <c r="DB53" s="107"/>
      <c r="DC53" s="205"/>
      <c r="DD53" s="205"/>
      <c r="DE53" s="421">
        <f t="shared" si="29"/>
        <v>1.047410181854024</v>
      </c>
      <c r="DF53" s="321">
        <v>1.0626500000000001</v>
      </c>
      <c r="DG53" s="40">
        <f>CPPIB.!K49</f>
        <v>104</v>
      </c>
      <c r="DH53" s="40">
        <f>CPPIB.!L49</f>
        <v>45</v>
      </c>
      <c r="DI53" s="40">
        <f>CPPIB.!M49</f>
        <v>65</v>
      </c>
      <c r="DJ53" s="40">
        <f t="shared" si="22"/>
        <v>214</v>
      </c>
      <c r="DK53" s="40">
        <f t="shared" si="70"/>
        <v>1.6502159161011722E-3</v>
      </c>
      <c r="DL53" s="326" t="str">
        <f t="shared" si="52"/>
        <v>2Q2010/11</v>
      </c>
      <c r="DM53" s="40">
        <f t="shared" si="38"/>
        <v>97.868536206653175</v>
      </c>
      <c r="DN53" s="40">
        <f t="shared" si="77"/>
        <v>42.346962781724926</v>
      </c>
      <c r="DO53" s="40">
        <f t="shared" si="25"/>
        <v>61.167835129158235</v>
      </c>
      <c r="DP53" s="40">
        <f t="shared" si="78"/>
        <v>201.38333411753632</v>
      </c>
      <c r="DQ53" s="40">
        <f t="shared" si="30"/>
        <v>1.6502159161011719E-3</v>
      </c>
    </row>
    <row r="54" spans="1:121">
      <c r="A54" s="321" t="s">
        <v>28</v>
      </c>
      <c r="B54" s="40">
        <f>NBIM!V53</f>
        <v>3282039</v>
      </c>
      <c r="C54" s="40">
        <f>NBIM!W53</f>
        <v>376201</v>
      </c>
      <c r="D54" s="40">
        <f t="shared" si="71"/>
        <v>2905838</v>
      </c>
      <c r="E54" s="40">
        <f t="shared" si="54"/>
        <v>0.12946385861840887</v>
      </c>
      <c r="F54" s="40">
        <f>NBIM!Z53</f>
        <v>2426260</v>
      </c>
      <c r="G54" s="40">
        <f>106779-(G53+G52)</f>
        <v>48733</v>
      </c>
      <c r="H54" s="107">
        <f t="shared" si="72"/>
        <v>2.3790702874392E-2</v>
      </c>
      <c r="I54" s="107">
        <f t="shared" si="64"/>
        <v>0.13689158659157874</v>
      </c>
      <c r="J54" s="234">
        <f t="shared" si="73"/>
        <v>2.3512114002254357E-2</v>
      </c>
      <c r="K54" s="321" t="s">
        <v>28</v>
      </c>
      <c r="L54" s="50">
        <f t="shared" si="65"/>
        <v>560438.33885454724</v>
      </c>
      <c r="N54" s="50">
        <f t="shared" si="66"/>
        <v>64239.780062156344</v>
      </c>
      <c r="O54" s="384">
        <f t="shared" si="55"/>
        <v>496198.55879239092</v>
      </c>
      <c r="P54" s="384"/>
      <c r="Q54" s="384">
        <f t="shared" si="56"/>
        <v>414306.2053891602</v>
      </c>
      <c r="R54" s="384"/>
      <c r="S54" s="396">
        <f t="shared" si="74"/>
        <v>0.13658222126528474</v>
      </c>
      <c r="T54" s="384">
        <f t="shared" si="67"/>
        <v>1.0235121140022543</v>
      </c>
      <c r="U54" s="382">
        <f t="shared" si="75"/>
        <v>0.90051744154755764</v>
      </c>
      <c r="V54" s="107">
        <f t="shared" si="76"/>
        <v>0.13658222126528474</v>
      </c>
      <c r="W54" s="205"/>
      <c r="X54" s="321">
        <v>5.8562000000000003</v>
      </c>
      <c r="Y54" s="321" t="s">
        <v>28</v>
      </c>
      <c r="Z54" s="40">
        <f>NBIM!AL53</f>
        <v>292</v>
      </c>
      <c r="AA54" s="40">
        <f>NBIM!AM53</f>
        <v>421.13300000000004</v>
      </c>
      <c r="AB54" s="40">
        <f t="shared" si="53"/>
        <v>713.13300000000004</v>
      </c>
      <c r="AC54" s="76">
        <f t="shared" si="57"/>
        <v>2.4541388749131919E-4</v>
      </c>
      <c r="AD54" s="173">
        <f>NBIM!AQ53</f>
        <v>193</v>
      </c>
      <c r="AE54" s="321" t="s">
        <v>28</v>
      </c>
      <c r="AF54" s="40">
        <f t="shared" si="68"/>
        <v>49.861685051740032</v>
      </c>
      <c r="AG54" s="40">
        <f t="shared" si="79"/>
        <v>71.912332229090538</v>
      </c>
      <c r="AH54" s="40">
        <f t="shared" si="41"/>
        <v>121.77401728083058</v>
      </c>
      <c r="AI54" s="76">
        <f t="shared" si="58"/>
        <v>2.4541388749131925E-4</v>
      </c>
      <c r="AJ54" s="382">
        <f t="shared" si="44"/>
        <v>32.956524708855568</v>
      </c>
      <c r="AL54" s="321" t="s">
        <v>28</v>
      </c>
      <c r="AM54" s="91">
        <v>229085382021.78</v>
      </c>
      <c r="AN54" s="92">
        <f t="shared" si="14"/>
        <v>5.8981866696300456E-2</v>
      </c>
      <c r="AO54" s="92">
        <f t="shared" si="15"/>
        <v>5.7307943428570637E-2</v>
      </c>
      <c r="AP54" s="401">
        <f>APG!B54</f>
        <v>5.7067665291108599E-2</v>
      </c>
      <c r="AQ54" s="129">
        <f t="shared" si="4"/>
        <v>1.0570676652911086</v>
      </c>
      <c r="AR54" s="405">
        <f t="shared" si="69"/>
        <v>0.17814455901968218</v>
      </c>
      <c r="AS54" s="55"/>
      <c r="AT54" s="55"/>
      <c r="AU54" s="55"/>
      <c r="AV54" s="129"/>
      <c r="AW54" s="188"/>
      <c r="AX54" s="55"/>
      <c r="AY54" s="55"/>
      <c r="AZ54" s="55"/>
      <c r="BA54" s="55"/>
      <c r="BB54" s="55"/>
      <c r="BC54" s="92"/>
      <c r="BD54" s="92"/>
      <c r="BE54" s="92"/>
      <c r="BF54" s="92"/>
      <c r="BG54" s="58"/>
      <c r="BH54" s="92"/>
      <c r="BI54" s="92"/>
      <c r="BJ54" s="409">
        <f t="shared" si="26"/>
        <v>0.89723086797657503</v>
      </c>
      <c r="BK54" s="410">
        <v>0.73249299999999995</v>
      </c>
      <c r="BL54" s="103">
        <f t="shared" si="59"/>
        <v>312747537548.86395</v>
      </c>
      <c r="BM54" s="107">
        <f t="shared" si="27"/>
        <v>0.18027801371179342</v>
      </c>
      <c r="BN54" s="107">
        <f t="shared" si="28"/>
        <v>0.16575001556761454</v>
      </c>
      <c r="BO54" s="107"/>
      <c r="BP54" s="107"/>
      <c r="BQ54" s="107"/>
      <c r="BR54" s="107"/>
      <c r="BS54" s="107"/>
      <c r="BT54" s="107"/>
      <c r="BU54" s="76"/>
      <c r="BV54" s="76"/>
      <c r="BW54" s="76"/>
      <c r="CA54" s="321" t="str">
        <f>CPPIB.!A50</f>
        <v>3Q2010/11</v>
      </c>
      <c r="CB54" s="50">
        <f>CPPIB.!B50</f>
        <v>143672</v>
      </c>
      <c r="CC54" s="50">
        <f>CPPIB.!C50</f>
        <v>5050</v>
      </c>
      <c r="CD54" s="40">
        <f>CPPIB.!D50</f>
        <v>138622</v>
      </c>
      <c r="CE54" s="40">
        <f>CPPIB.!E50</f>
        <v>107417</v>
      </c>
      <c r="CF54" s="234">
        <f t="shared" si="45"/>
        <v>6.4782541640962421E-2</v>
      </c>
      <c r="CG54" s="107">
        <f t="shared" si="46"/>
        <v>6.2770592059920027E-2</v>
      </c>
      <c r="CH54" s="393">
        <f t="shared" si="47"/>
        <v>1.06277059205992</v>
      </c>
      <c r="CI54" s="107"/>
      <c r="CJ54" s="107"/>
      <c r="CK54" s="107"/>
      <c r="CL54" s="107"/>
      <c r="CM54" s="107"/>
      <c r="CN54" s="410">
        <v>1.0258500000000002</v>
      </c>
      <c r="CO54" s="327" t="str">
        <f t="shared" si="51"/>
        <v>3Q2010/11</v>
      </c>
      <c r="CP54" s="187">
        <f t="shared" si="60"/>
        <v>140051.66447336352</v>
      </c>
      <c r="CQ54" s="187"/>
      <c r="CR54" s="187">
        <f t="shared" si="61"/>
        <v>4922.7469903007259</v>
      </c>
      <c r="CS54" s="40">
        <f t="shared" si="62"/>
        <v>135128.9174830628</v>
      </c>
      <c r="CU54" s="40">
        <f t="shared" si="63"/>
        <v>104710.2402885412</v>
      </c>
      <c r="CW54" s="76">
        <f t="shared" si="48"/>
        <v>0.10089503304817837</v>
      </c>
      <c r="CX54" s="420">
        <f t="shared" si="49"/>
        <v>0.10089503304817837</v>
      </c>
      <c r="CY54" s="205"/>
      <c r="CZ54" s="205"/>
      <c r="DA54" s="205"/>
      <c r="DB54" s="107"/>
      <c r="DC54" s="205"/>
      <c r="DD54" s="205"/>
      <c r="DE54" s="421">
        <f t="shared" si="29"/>
        <v>0.96536959488072283</v>
      </c>
      <c r="DF54" s="321">
        <v>1.0258500000000002</v>
      </c>
      <c r="DG54" s="40">
        <f>CPPIB.!K50</f>
        <v>116</v>
      </c>
      <c r="DH54" s="40">
        <f>CPPIB.!L50</f>
        <v>38</v>
      </c>
      <c r="DI54" s="40">
        <f>CPPIB.!M50</f>
        <v>66</v>
      </c>
      <c r="DJ54" s="40">
        <f t="shared" si="22"/>
        <v>220</v>
      </c>
      <c r="DK54" s="40">
        <f t="shared" si="70"/>
        <v>1.5870496746548167E-3</v>
      </c>
      <c r="DL54" s="326" t="str">
        <f t="shared" si="52"/>
        <v>3Q2010/11</v>
      </c>
      <c r="DM54" s="40">
        <f t="shared" si="38"/>
        <v>113.076960569284</v>
      </c>
      <c r="DN54" s="40">
        <f t="shared" si="77"/>
        <v>37.042452600282687</v>
      </c>
      <c r="DO54" s="40">
        <f t="shared" si="25"/>
        <v>64.336891358385714</v>
      </c>
      <c r="DP54" s="40">
        <f t="shared" si="78"/>
        <v>214.4563045279524</v>
      </c>
      <c r="DQ54" s="40">
        <f t="shared" si="30"/>
        <v>1.5870496746548167E-3</v>
      </c>
    </row>
    <row r="55" spans="1:121">
      <c r="A55" s="321" t="s">
        <v>29</v>
      </c>
      <c r="B55" s="40">
        <f>NBIM!V54</f>
        <v>3420838</v>
      </c>
      <c r="C55" s="40">
        <f>NBIM!W54</f>
        <v>346377</v>
      </c>
      <c r="D55" s="40">
        <f t="shared" si="71"/>
        <v>3074461</v>
      </c>
      <c r="E55" s="40">
        <f t="shared" si="54"/>
        <v>0.11266267485585278</v>
      </c>
      <c r="F55" s="40">
        <f>NBIM!Z54</f>
        <v>2504711</v>
      </c>
      <c r="G55" s="50">
        <f>185230-(G54+G53+G52)</f>
        <v>78451</v>
      </c>
      <c r="H55" s="107">
        <f t="shared" si="72"/>
        <v>3.1031323838424552E-2</v>
      </c>
      <c r="I55" s="107">
        <f t="shared" si="64"/>
        <v>3.8782905576357996E-2</v>
      </c>
      <c r="J55" s="234">
        <f t="shared" si="73"/>
        <v>3.0559586569831421E-2</v>
      </c>
      <c r="K55" s="321" t="s">
        <v>29</v>
      </c>
      <c r="L55" s="50">
        <f t="shared" si="65"/>
        <v>588531.26881720417</v>
      </c>
      <c r="M55" s="50">
        <f>L55+L54+L53+L52</f>
        <v>2153091.6815534942</v>
      </c>
      <c r="N55" s="50">
        <f t="shared" si="66"/>
        <v>59591.741935483864</v>
      </c>
      <c r="O55" s="384">
        <f t="shared" si="55"/>
        <v>528939.52688172041</v>
      </c>
      <c r="P55" s="384">
        <f>(O55+O54+O53+O52)</f>
        <v>1919650.2496394087</v>
      </c>
      <c r="Q55" s="384">
        <f t="shared" si="56"/>
        <v>430918.02150537627</v>
      </c>
      <c r="R55" s="384">
        <f>Q55+Q54+Q53+Q52</f>
        <v>1605389.9074427553</v>
      </c>
      <c r="S55" s="396">
        <f t="shared" si="74"/>
        <v>3.8307621655095936E-2</v>
      </c>
      <c r="T55" s="384">
        <f t="shared" si="67"/>
        <v>1.0305595865698314</v>
      </c>
      <c r="U55" s="382">
        <f t="shared" si="75"/>
        <v>0.99253782316177741</v>
      </c>
      <c r="V55" s="107">
        <f t="shared" si="76"/>
        <v>3.8307621655095936E-2</v>
      </c>
      <c r="W55" s="205">
        <f>((1+V55)*(1+V54)*(1+V53)*(1+V52))-1</f>
        <v>8.5661343411318258E-2</v>
      </c>
      <c r="X55" s="321">
        <v>5.8125000000000009</v>
      </c>
      <c r="Y55" s="321" t="s">
        <v>29</v>
      </c>
      <c r="Z55" s="40">
        <f>NBIM!AL54</f>
        <v>476.98800000000006</v>
      </c>
      <c r="AA55" s="40">
        <f>NBIM!AM54</f>
        <v>365.13699999999994</v>
      </c>
      <c r="AB55" s="40">
        <f t="shared" si="53"/>
        <v>842.125</v>
      </c>
      <c r="AC55" s="76">
        <f t="shared" si="57"/>
        <v>2.7390980077483503E-4</v>
      </c>
      <c r="AD55" s="173">
        <f>NBIM!AQ54</f>
        <v>365.17000000000007</v>
      </c>
      <c r="AE55" s="321" t="s">
        <v>29</v>
      </c>
      <c r="AF55" s="40">
        <f t="shared" si="68"/>
        <v>82.062451612903217</v>
      </c>
      <c r="AG55" s="40">
        <f t="shared" si="79"/>
        <v>62.819268817204282</v>
      </c>
      <c r="AH55" s="40">
        <f t="shared" si="41"/>
        <v>144.88172043010749</v>
      </c>
      <c r="AI55" s="76">
        <f t="shared" si="58"/>
        <v>2.7390980077483497E-4</v>
      </c>
      <c r="AJ55" s="382">
        <f t="shared" si="44"/>
        <v>62.824946236559143</v>
      </c>
      <c r="AL55" s="321" t="s">
        <v>29</v>
      </c>
      <c r="AM55" s="91">
        <v>235768192104.16</v>
      </c>
      <c r="AN55" s="92">
        <f t="shared" si="14"/>
        <v>2.9171700190563143E-2</v>
      </c>
      <c r="AO55" s="92">
        <f t="shared" si="15"/>
        <v>2.8754304147447288E-2</v>
      </c>
      <c r="AP55" s="401">
        <f>APG!B55</f>
        <v>2.7798058271544499E-2</v>
      </c>
      <c r="AQ55" s="129">
        <f t="shared" si="4"/>
        <v>1.0277980582715445</v>
      </c>
      <c r="AR55" s="405">
        <f t="shared" si="69"/>
        <v>9.9930549224158671E-3</v>
      </c>
      <c r="AS55" s="55">
        <f>AR52+AR53+AR54+AR55</f>
        <v>7.9453311970441032E-2</v>
      </c>
      <c r="AT55" s="55"/>
      <c r="AU55" s="55"/>
      <c r="AV55" s="129"/>
      <c r="AW55" s="188"/>
      <c r="AX55" s="55"/>
      <c r="AY55" s="55"/>
      <c r="AZ55" s="55"/>
      <c r="BA55" s="55"/>
      <c r="BB55" s="55"/>
      <c r="BC55" s="92"/>
      <c r="BD55" s="92"/>
      <c r="BE55" s="92"/>
      <c r="BF55" s="92"/>
      <c r="BG55" s="58"/>
      <c r="BH55" s="92"/>
      <c r="BI55" s="92"/>
      <c r="BJ55" s="409">
        <f t="shared" si="26"/>
        <v>1.0176288374086853</v>
      </c>
      <c r="BK55" s="410">
        <v>0.74540600000000001</v>
      </c>
      <c r="BL55" s="103">
        <f t="shared" si="59"/>
        <v>316295001789.84338</v>
      </c>
      <c r="BM55" s="107">
        <f t="shared" si="27"/>
        <v>1.13429006309127E-2</v>
      </c>
      <c r="BN55" s="107">
        <f t="shared" si="28"/>
        <v>1.1279052296786453E-2</v>
      </c>
      <c r="BO55" s="107"/>
      <c r="BP55" s="107"/>
      <c r="BQ55" s="107"/>
      <c r="BR55" s="107"/>
      <c r="BS55" s="107"/>
      <c r="BT55" s="107"/>
      <c r="BU55" s="76"/>
      <c r="BV55" s="76"/>
      <c r="BW55" s="76"/>
      <c r="CA55" s="321" t="str">
        <f>CPPIB.!A51</f>
        <v>4Q2010/11</v>
      </c>
      <c r="CB55" s="50">
        <f>CPPIB.!B51</f>
        <v>144124</v>
      </c>
      <c r="CC55" s="50">
        <f>CPPIB.!C51</f>
        <v>4022</v>
      </c>
      <c r="CD55" s="40">
        <f>CPPIB.!D51</f>
        <v>140102</v>
      </c>
      <c r="CE55" s="40">
        <f>CPPIB.!E51</f>
        <v>104972</v>
      </c>
      <c r="CF55" s="234">
        <f t="shared" si="45"/>
        <v>2.8314408968273419E-2</v>
      </c>
      <c r="CG55" s="107">
        <f t="shared" si="46"/>
        <v>2.7920965571710709E-2</v>
      </c>
      <c r="CH55" s="393">
        <f t="shared" si="47"/>
        <v>1.0279209655717108</v>
      </c>
      <c r="CI55" s="107">
        <f>((CG55+1)*(CG54+1)*(CG53+1)*(CG52+1))-1</f>
        <v>8.5647569353971109E-2</v>
      </c>
      <c r="CJ55" s="107"/>
      <c r="CK55" s="107"/>
      <c r="CL55" s="107"/>
      <c r="CM55" s="107"/>
      <c r="CN55" s="410">
        <v>0.99365000000000003</v>
      </c>
      <c r="CO55" s="327" t="str">
        <f t="shared" si="51"/>
        <v>4Q2010/11</v>
      </c>
      <c r="CP55" s="187">
        <f t="shared" si="60"/>
        <v>145045.03597846325</v>
      </c>
      <c r="CQ55" s="187">
        <f>CP55+CP54+CP53+CP52</f>
        <v>541587.6652562737</v>
      </c>
      <c r="CR55" s="187">
        <f t="shared" si="61"/>
        <v>4047.7029135007297</v>
      </c>
      <c r="CS55" s="40">
        <f t="shared" si="62"/>
        <v>140997.3330649625</v>
      </c>
      <c r="CT55" s="40">
        <f>CS55+CS54+CS53+CS52</f>
        <v>523960.40244190296</v>
      </c>
      <c r="CU55" s="40">
        <f t="shared" si="63"/>
        <v>105642.83198309263</v>
      </c>
      <c r="CV55" s="40">
        <f>CU55+CU54+CU53+CU52</f>
        <v>412518.90300942364</v>
      </c>
      <c r="CW55" s="76">
        <f t="shared" si="48"/>
        <v>6.1231542828701802E-2</v>
      </c>
      <c r="CX55" s="420">
        <f t="shared" si="49"/>
        <v>6.1231542828701802E-2</v>
      </c>
      <c r="CY55" s="205"/>
      <c r="CZ55" s="205"/>
      <c r="DA55" s="205"/>
      <c r="DB55" s="107">
        <f>((CX67+1)*(CX66+1)*(CX65+1)*(CX64+1))-1</f>
        <v>6.083766145985936E-2</v>
      </c>
      <c r="DC55" s="205"/>
      <c r="DD55" s="205"/>
      <c r="DE55" s="421">
        <f t="shared" si="29"/>
        <v>0.96861139542818142</v>
      </c>
      <c r="DF55" s="321">
        <v>0.99365000000000003</v>
      </c>
      <c r="DG55" s="40">
        <f>CPPIB.!K51</f>
        <v>135</v>
      </c>
      <c r="DH55" s="40">
        <f>CPPIB.!L51</f>
        <v>68</v>
      </c>
      <c r="DI55" s="40">
        <f>CPPIB.!M51</f>
        <v>76</v>
      </c>
      <c r="DJ55" s="40">
        <f t="shared" si="22"/>
        <v>279</v>
      </c>
      <c r="DK55" s="40">
        <f t="shared" si="70"/>
        <v>1.991406261152589E-3</v>
      </c>
      <c r="DL55" s="326" t="str">
        <f t="shared" si="52"/>
        <v>4Q2010/11</v>
      </c>
      <c r="DM55" s="40">
        <f t="shared" si="38"/>
        <v>135.86272832486287</v>
      </c>
      <c r="DN55" s="40">
        <f t="shared" si="77"/>
        <v>68.434559452523516</v>
      </c>
      <c r="DO55" s="40">
        <f t="shared" si="25"/>
        <v>76.485684093996881</v>
      </c>
      <c r="DP55" s="40">
        <f t="shared" si="78"/>
        <v>280.78297187138327</v>
      </c>
      <c r="DQ55" s="40">
        <f t="shared" si="30"/>
        <v>1.991406261152589E-3</v>
      </c>
    </row>
    <row r="56" spans="1:121">
      <c r="A56" s="321" t="s">
        <v>30</v>
      </c>
      <c r="B56" s="40">
        <f>NBIM!V55</f>
        <v>3533770</v>
      </c>
      <c r="C56" s="40">
        <f>NBIM!W55</f>
        <v>432568</v>
      </c>
      <c r="D56" s="40">
        <f t="shared" si="71"/>
        <v>3101202</v>
      </c>
      <c r="E56" s="40">
        <f t="shared" si="54"/>
        <v>0.13948398072747276</v>
      </c>
      <c r="F56" s="40">
        <f>NBIM!Z55</f>
        <v>2546166</v>
      </c>
      <c r="H56" s="107">
        <f t="shared" si="72"/>
        <v>-4.7858795411618305E-3</v>
      </c>
      <c r="I56" s="107">
        <f t="shared" si="64"/>
        <v>4.5723699582771671E-2</v>
      </c>
      <c r="J56" s="234">
        <f t="shared" si="73"/>
        <v>-4.7973685339336696E-3</v>
      </c>
      <c r="K56" s="321" t="s">
        <v>30</v>
      </c>
      <c r="L56" s="50">
        <f t="shared" si="65"/>
        <v>638815.92624395527</v>
      </c>
      <c r="N56" s="50">
        <f t="shared" si="66"/>
        <v>78197.315496904223</v>
      </c>
      <c r="O56" s="384">
        <f t="shared" si="55"/>
        <v>560618.61074705108</v>
      </c>
      <c r="P56" s="384"/>
      <c r="Q56" s="384">
        <f t="shared" si="56"/>
        <v>460282.18918063899</v>
      </c>
      <c r="R56" s="384"/>
      <c r="S56" s="396">
        <f t="shared" si="74"/>
        <v>4.5711627495188756E-2</v>
      </c>
      <c r="T56" s="384">
        <f t="shared" si="67"/>
        <v>0.99520263146606636</v>
      </c>
      <c r="U56" s="382">
        <f t="shared" si="75"/>
        <v>0.95169892473118278</v>
      </c>
      <c r="V56" s="107">
        <f t="shared" si="76"/>
        <v>4.5711627495188756E-2</v>
      </c>
      <c r="W56" s="205"/>
      <c r="X56" s="321">
        <v>5.5317500000000006</v>
      </c>
      <c r="Y56" s="321" t="s">
        <v>30</v>
      </c>
      <c r="Z56" s="40">
        <f>NBIM!AL55</f>
        <v>171</v>
      </c>
      <c r="AA56" s="40">
        <f>NBIM!AM55</f>
        <v>442</v>
      </c>
      <c r="AB56" s="40">
        <f t="shared" si="53"/>
        <v>613</v>
      </c>
      <c r="AC56" s="76">
        <f t="shared" si="57"/>
        <v>1.97665292360833E-4</v>
      </c>
      <c r="AD56" s="173">
        <f>NBIM!AQ55</f>
        <v>48</v>
      </c>
      <c r="AE56" s="321" t="s">
        <v>30</v>
      </c>
      <c r="AF56" s="40">
        <f t="shared" si="68"/>
        <v>30.912459890631354</v>
      </c>
      <c r="AG56" s="40">
        <f t="shared" si="79"/>
        <v>79.902381705608519</v>
      </c>
      <c r="AH56" s="40">
        <f t="shared" si="41"/>
        <v>110.81484159623987</v>
      </c>
      <c r="AI56" s="76">
        <f t="shared" si="58"/>
        <v>1.9766529236083297E-4</v>
      </c>
      <c r="AJ56" s="382">
        <f t="shared" si="44"/>
        <v>8.6771817236859938</v>
      </c>
      <c r="AL56" s="321" t="s">
        <v>30</v>
      </c>
      <c r="AM56" s="91">
        <v>237855185147.79001</v>
      </c>
      <c r="AN56" s="92">
        <f t="shared" si="14"/>
        <v>8.8518855109513961E-3</v>
      </c>
      <c r="AO56" s="92">
        <f t="shared" si="15"/>
        <v>8.8129372473653364E-3</v>
      </c>
      <c r="AP56" s="401">
        <f>APG!B56</f>
        <v>8.9890723103776098E-3</v>
      </c>
      <c r="AQ56" s="129">
        <f t="shared" si="4"/>
        <v>1.0089890723103776</v>
      </c>
      <c r="AR56" s="405">
        <f t="shared" si="69"/>
        <v>6.7314308550062041E-2</v>
      </c>
      <c r="AS56" s="55"/>
      <c r="AT56" s="55"/>
      <c r="AU56" s="55"/>
      <c r="AV56" s="129"/>
      <c r="AW56" s="188"/>
      <c r="AX56" s="55"/>
      <c r="AY56" s="55"/>
      <c r="AZ56" s="55"/>
      <c r="BA56" s="55"/>
      <c r="BB56" s="55"/>
      <c r="BC56" s="92"/>
      <c r="BD56" s="92"/>
      <c r="BE56" s="92"/>
      <c r="BF56" s="92"/>
      <c r="BG56" s="58"/>
      <c r="BH56" s="92"/>
      <c r="BI56" s="92"/>
      <c r="BJ56" s="409">
        <f t="shared" si="26"/>
        <v>0.9453532705666442</v>
      </c>
      <c r="BK56" s="410">
        <v>0.70467199999999997</v>
      </c>
      <c r="BL56" s="103">
        <f t="shared" si="59"/>
        <v>337540281361.81091</v>
      </c>
      <c r="BM56" s="107">
        <f t="shared" si="27"/>
        <v>6.7169191583000609E-2</v>
      </c>
      <c r="BN56" s="107">
        <f t="shared" si="28"/>
        <v>6.5009527305811735E-2</v>
      </c>
      <c r="BO56" s="107"/>
      <c r="BP56" s="107"/>
      <c r="BQ56" s="107"/>
      <c r="BR56" s="107"/>
      <c r="BS56" s="107"/>
      <c r="BT56" s="107"/>
      <c r="BU56" s="76"/>
      <c r="BV56" s="76"/>
      <c r="BW56" s="76"/>
      <c r="CA56" s="321" t="str">
        <f>CPPIB.!A52</f>
        <v>1Q2011/11</v>
      </c>
      <c r="CB56" s="50">
        <f>CPPIB.!B52</f>
        <v>154076</v>
      </c>
      <c r="CC56" s="50">
        <f>CPPIB.!C52</f>
        <v>5880</v>
      </c>
      <c r="CD56" s="40">
        <f>CPPIB.!D52</f>
        <v>148196</v>
      </c>
      <c r="CE56" s="40">
        <f>CPPIB.!E52</f>
        <v>108405</v>
      </c>
      <c r="CF56" s="234">
        <f t="shared" si="45"/>
        <v>3.3268618577893205E-2</v>
      </c>
      <c r="CG56" s="107">
        <f t="shared" si="46"/>
        <v>3.2727193679142987E-2</v>
      </c>
      <c r="CH56" s="393">
        <f t="shared" si="47"/>
        <v>1.0327271936791429</v>
      </c>
      <c r="CI56" s="107"/>
      <c r="CJ56" s="107"/>
      <c r="CK56" s="107"/>
      <c r="CL56" s="107"/>
      <c r="CM56" s="107"/>
      <c r="CN56" s="410">
        <v>0.97275000000000011</v>
      </c>
      <c r="CO56" s="327" t="str">
        <f t="shared" si="51"/>
        <v>1Q2011/11</v>
      </c>
      <c r="CP56" s="187">
        <f t="shared" si="60"/>
        <v>158392.18709843227</v>
      </c>
      <c r="CQ56" s="187"/>
      <c r="CR56" s="187">
        <f t="shared" si="61"/>
        <v>6044.7185813415572</v>
      </c>
      <c r="CS56" s="40">
        <f t="shared" si="62"/>
        <v>152347.46851709072</v>
      </c>
      <c r="CU56" s="40">
        <f t="shared" si="63"/>
        <v>111441.78874325365</v>
      </c>
      <c r="CW56" s="76">
        <f t="shared" si="48"/>
        <v>5.4915832433081624E-2</v>
      </c>
      <c r="CX56" s="420">
        <f t="shared" si="49"/>
        <v>5.4915832433081624E-2</v>
      </c>
      <c r="CY56" s="205">
        <f>((CX53+1)*(1+CX54)*(1+CX55)*(1+CX56))-1</f>
        <v>0.16036542450847802</v>
      </c>
      <c r="CZ56" s="205"/>
      <c r="DA56" s="205"/>
      <c r="DB56" s="107"/>
      <c r="DC56" s="205"/>
      <c r="DD56" s="205"/>
      <c r="DE56" s="421">
        <f t="shared" si="29"/>
        <v>0.97896643687415097</v>
      </c>
      <c r="DF56" s="321">
        <v>0.97275000000000011</v>
      </c>
      <c r="DG56" s="40">
        <f>CPPIB.!K52</f>
        <v>145</v>
      </c>
      <c r="DH56" s="40">
        <f>CPPIB.!L52</f>
        <v>22</v>
      </c>
      <c r="DI56" s="40">
        <f>CPPIB.!M52</f>
        <v>121</v>
      </c>
      <c r="DJ56" s="40">
        <f t="shared" si="22"/>
        <v>288</v>
      </c>
      <c r="DK56" s="40">
        <f t="shared" si="70"/>
        <v>1.9433722907500877E-3</v>
      </c>
      <c r="DL56" s="326" t="str">
        <f t="shared" si="52"/>
        <v>1Q2011/11</v>
      </c>
      <c r="DM56" s="40">
        <f t="shared" si="38"/>
        <v>149.06193780519146</v>
      </c>
      <c r="DN56" s="40">
        <f t="shared" si="77"/>
        <v>22.616294011822152</v>
      </c>
      <c r="DO56" s="40">
        <f t="shared" si="25"/>
        <v>124.38961706502182</v>
      </c>
      <c r="DP56" s="40">
        <f t="shared" si="78"/>
        <v>296.06784888203543</v>
      </c>
      <c r="DQ56" s="40">
        <f t="shared" si="30"/>
        <v>1.9433722907500875E-3</v>
      </c>
    </row>
    <row r="57" spans="1:121">
      <c r="A57" s="321" t="s">
        <v>31</v>
      </c>
      <c r="B57" s="40">
        <f>NBIM!V56</f>
        <v>3561728</v>
      </c>
      <c r="C57" s="40">
        <f>NBIM!W56</f>
        <v>451721</v>
      </c>
      <c r="D57" s="40">
        <f t="shared" si="71"/>
        <v>3110007</v>
      </c>
      <c r="E57" s="40">
        <f t="shared" si="54"/>
        <v>0.1452475830440253</v>
      </c>
      <c r="F57" s="40">
        <f>NBIM!Z56</f>
        <v>2599056</v>
      </c>
      <c r="H57" s="107">
        <f t="shared" si="72"/>
        <v>-1.4215455813584521E-2</v>
      </c>
      <c r="I57" s="107">
        <f t="shared" si="64"/>
        <v>1.6338546124407882E-2</v>
      </c>
      <c r="J57" s="234">
        <f t="shared" si="73"/>
        <v>-1.4317463281307381E-2</v>
      </c>
      <c r="K57" s="321" t="s">
        <v>31</v>
      </c>
      <c r="L57" s="50">
        <f t="shared" si="65"/>
        <v>663826.51967682119</v>
      </c>
      <c r="N57" s="50">
        <f t="shared" si="66"/>
        <v>84190.701618689956</v>
      </c>
      <c r="O57" s="384">
        <f t="shared" si="55"/>
        <v>579635.81805813115</v>
      </c>
      <c r="P57" s="384"/>
      <c r="Q57" s="384">
        <f t="shared" si="56"/>
        <v>484405.9678125786</v>
      </c>
      <c r="R57" s="384"/>
      <c r="S57" s="396">
        <f t="shared" si="74"/>
        <v>1.6233376975580471E-2</v>
      </c>
      <c r="T57" s="384">
        <f t="shared" si="67"/>
        <v>0.98568253671869266</v>
      </c>
      <c r="U57" s="382">
        <f t="shared" si="75"/>
        <v>0.96993718081981284</v>
      </c>
      <c r="V57" s="107">
        <f t="shared" si="76"/>
        <v>1.6233376975580471E-2</v>
      </c>
      <c r="W57" s="205"/>
      <c r="X57" s="321">
        <v>5.3654500000000001</v>
      </c>
      <c r="Y57" s="321" t="s">
        <v>31</v>
      </c>
      <c r="Z57" s="40">
        <f>NBIM!AL56</f>
        <v>258</v>
      </c>
      <c r="AA57" s="40">
        <f>NBIM!AM56</f>
        <v>375</v>
      </c>
      <c r="AB57" s="40">
        <f t="shared" si="53"/>
        <v>633</v>
      </c>
      <c r="AC57" s="76">
        <f t="shared" si="57"/>
        <v>2.0353651937117826E-4</v>
      </c>
      <c r="AD57" s="173">
        <f>NBIM!AQ56</f>
        <v>170</v>
      </c>
      <c r="AE57" s="321" t="s">
        <v>31</v>
      </c>
      <c r="AF57" s="40">
        <f t="shared" si="68"/>
        <v>48.085435517990106</v>
      </c>
      <c r="AG57" s="40">
        <f t="shared" si="79"/>
        <v>69.891621392427481</v>
      </c>
      <c r="AH57" s="40">
        <f t="shared" si="41"/>
        <v>117.97705691041759</v>
      </c>
      <c r="AI57" s="76">
        <f t="shared" si="58"/>
        <v>2.0353651937117829E-4</v>
      </c>
      <c r="AJ57" s="382">
        <f t="shared" si="44"/>
        <v>31.684201697900455</v>
      </c>
      <c r="AL57" s="321" t="s">
        <v>31</v>
      </c>
      <c r="AM57" s="91">
        <v>240028211309.92001</v>
      </c>
      <c r="AN57" s="92">
        <f t="shared" si="14"/>
        <v>9.1359209208738967E-3</v>
      </c>
      <c r="AO57" s="92">
        <f t="shared" si="15"/>
        <v>9.0944408430688305E-3</v>
      </c>
      <c r="AP57" s="401">
        <f>APG!B57</f>
        <v>7.9415717520550707E-3</v>
      </c>
      <c r="AQ57" s="129">
        <f t="shared" si="4"/>
        <v>1.007941571752055</v>
      </c>
      <c r="AR57" s="405">
        <f t="shared" si="69"/>
        <v>2.978164295389929E-2</v>
      </c>
      <c r="AS57" s="55"/>
      <c r="AT57" s="55"/>
      <c r="AU57" s="55"/>
      <c r="AV57" s="129"/>
      <c r="AW57" s="188"/>
      <c r="AX57" s="55"/>
      <c r="AY57" s="55"/>
      <c r="AZ57" s="55"/>
      <c r="BA57" s="55"/>
      <c r="BB57" s="55"/>
      <c r="BC57" s="92"/>
      <c r="BD57" s="92"/>
      <c r="BE57" s="92"/>
      <c r="BF57" s="92"/>
      <c r="BG57" s="58"/>
      <c r="BH57" s="92"/>
      <c r="BI57" s="92"/>
      <c r="BJ57" s="409">
        <f t="shared" si="26"/>
        <v>0.97879155124653738</v>
      </c>
      <c r="BK57" s="410">
        <v>0.68972699999999998</v>
      </c>
      <c r="BL57" s="103">
        <f t="shared" si="59"/>
        <v>348004661713.86652</v>
      </c>
      <c r="BM57" s="107">
        <f t="shared" si="27"/>
        <v>3.1001871272480219E-2</v>
      </c>
      <c r="BN57" s="107">
        <f t="shared" si="28"/>
        <v>3.0531020040431053E-2</v>
      </c>
      <c r="BO57" s="107"/>
      <c r="BP57" s="107"/>
      <c r="BQ57" s="107"/>
      <c r="BR57" s="107"/>
      <c r="BS57" s="107"/>
      <c r="BT57" s="107"/>
      <c r="BU57" s="76"/>
      <c r="BV57" s="76"/>
      <c r="BW57" s="76"/>
      <c r="CA57" s="321" t="str">
        <f>CPPIB.!A53</f>
        <v>2Q2011/12</v>
      </c>
      <c r="CB57" s="50">
        <f>CPPIB.!B53</f>
        <v>162990</v>
      </c>
      <c r="CC57" s="50">
        <f>CPPIB.!C53</f>
        <v>9759</v>
      </c>
      <c r="CD57" s="40">
        <f>CPPIB.!D53</f>
        <v>153231</v>
      </c>
      <c r="CE57" s="40">
        <f>CPPIB.!E53</f>
        <v>112241</v>
      </c>
      <c r="CF57" s="234">
        <f t="shared" si="45"/>
        <v>8.0906367243380739E-3</v>
      </c>
      <c r="CG57" s="107">
        <f t="shared" si="46"/>
        <v>8.0580829921071285E-3</v>
      </c>
      <c r="CH57" s="393">
        <f t="shared" si="47"/>
        <v>1.0080580829921071</v>
      </c>
      <c r="CI57" s="107"/>
      <c r="CJ57" s="107"/>
      <c r="CK57" s="107"/>
      <c r="CL57" s="107"/>
      <c r="CM57" s="107"/>
      <c r="CN57" s="410">
        <v>0.96510000000000007</v>
      </c>
      <c r="CO57" s="327" t="str">
        <f t="shared" si="51"/>
        <v>2Q2011/12</v>
      </c>
      <c r="CP57" s="187">
        <f t="shared" si="60"/>
        <v>168884.05346596206</v>
      </c>
      <c r="CQ57" s="187"/>
      <c r="CR57" s="187">
        <f t="shared" si="61"/>
        <v>10111.905502020516</v>
      </c>
      <c r="CS57" s="40">
        <f t="shared" si="62"/>
        <v>158772.14796394156</v>
      </c>
      <c r="CU57" s="40">
        <f t="shared" si="63"/>
        <v>116299.86529893274</v>
      </c>
      <c r="CW57" s="76">
        <f t="shared" si="48"/>
        <v>1.6048596239324642E-2</v>
      </c>
      <c r="CX57" s="420">
        <f t="shared" si="49"/>
        <v>1.6048596239324642E-2</v>
      </c>
      <c r="CY57" s="205"/>
      <c r="CZ57" s="205"/>
      <c r="DA57" s="205"/>
      <c r="DB57" s="107"/>
      <c r="DC57" s="205"/>
      <c r="DD57" s="205"/>
      <c r="DE57" s="421">
        <f t="shared" si="29"/>
        <v>0.99213569776407085</v>
      </c>
      <c r="DF57" s="321">
        <v>0.96510000000000007</v>
      </c>
      <c r="DG57" s="40">
        <f>CPPIB.!K53</f>
        <v>130</v>
      </c>
      <c r="DH57" s="40">
        <f>CPPIB.!L53</f>
        <v>53</v>
      </c>
      <c r="DI57" s="40">
        <f>CPPIB.!M53</f>
        <v>95</v>
      </c>
      <c r="DJ57" s="40">
        <f t="shared" si="22"/>
        <v>278</v>
      </c>
      <c r="DK57" s="40">
        <f t="shared" si="70"/>
        <v>1.8142542958017632E-3</v>
      </c>
      <c r="DL57" s="326" t="str">
        <f t="shared" si="52"/>
        <v>2Q2011/12</v>
      </c>
      <c r="DM57" s="40">
        <f t="shared" si="38"/>
        <v>134.7010672469174</v>
      </c>
      <c r="DN57" s="40">
        <f t="shared" si="77"/>
        <v>54.916588954512484</v>
      </c>
      <c r="DO57" s="40">
        <f t="shared" si="25"/>
        <v>98.435395295824264</v>
      </c>
      <c r="DP57" s="40">
        <f t="shared" si="78"/>
        <v>288.05305149725416</v>
      </c>
      <c r="DQ57" s="40">
        <f t="shared" si="30"/>
        <v>1.8142542958017632E-3</v>
      </c>
    </row>
    <row r="58" spans="1:121">
      <c r="A58" s="321" t="s">
        <v>32</v>
      </c>
      <c r="B58" s="40">
        <f>NBIM!V57</f>
        <v>3502304</v>
      </c>
      <c r="C58" s="40">
        <f>NBIM!W57</f>
        <v>449484</v>
      </c>
      <c r="D58" s="40">
        <f t="shared" si="71"/>
        <v>3052820</v>
      </c>
      <c r="E58" s="40">
        <f t="shared" si="54"/>
        <v>0.14723567062584758</v>
      </c>
      <c r="F58" s="40">
        <f>NBIM!Z57</f>
        <v>2676842</v>
      </c>
      <c r="H58" s="107">
        <f t="shared" si="72"/>
        <v>-4.3399580772647828E-2</v>
      </c>
      <c r="I58" s="107">
        <f t="shared" si="64"/>
        <v>-0.12577214795717995</v>
      </c>
      <c r="J58" s="234">
        <f t="shared" si="73"/>
        <v>-4.4369509488752255E-2</v>
      </c>
      <c r="K58" s="321" t="s">
        <v>32</v>
      </c>
      <c r="L58" s="50">
        <f t="shared" si="65"/>
        <v>596543.00800545048</v>
      </c>
      <c r="N58" s="50">
        <f t="shared" si="66"/>
        <v>76560.040878896267</v>
      </c>
      <c r="O58" s="384">
        <f t="shared" si="55"/>
        <v>519982.96712655423</v>
      </c>
      <c r="P58" s="384"/>
      <c r="Q58" s="384">
        <f t="shared" si="56"/>
        <v>455943.11020269117</v>
      </c>
      <c r="R58" s="384"/>
      <c r="S58" s="396">
        <f t="shared" si="74"/>
        <v>-0.12665855641056489</v>
      </c>
      <c r="T58" s="384">
        <f t="shared" si="67"/>
        <v>0.95563049051124771</v>
      </c>
      <c r="U58" s="382">
        <f t="shared" si="75"/>
        <v>1.0942232245198447</v>
      </c>
      <c r="V58" s="107">
        <f t="shared" si="76"/>
        <v>-0.12665855641056489</v>
      </c>
      <c r="W58" s="205"/>
      <c r="X58" s="321">
        <v>5.8710000000000004</v>
      </c>
      <c r="Y58" s="321" t="s">
        <v>32</v>
      </c>
      <c r="Z58" s="40">
        <f>NBIM!AL57</f>
        <v>295</v>
      </c>
      <c r="AA58" s="40">
        <f>NBIM!AM57</f>
        <v>394</v>
      </c>
      <c r="AB58" s="40">
        <f t="shared" si="53"/>
        <v>689</v>
      </c>
      <c r="AC58" s="76">
        <f t="shared" si="57"/>
        <v>2.2569296584797006E-4</v>
      </c>
      <c r="AD58" s="173">
        <f>NBIM!AQ57</f>
        <v>211</v>
      </c>
      <c r="AE58" s="321" t="s">
        <v>32</v>
      </c>
      <c r="AF58" s="40">
        <f t="shared" si="68"/>
        <v>50.246976664963377</v>
      </c>
      <c r="AG58" s="40">
        <f t="shared" si="79"/>
        <v>67.109521376256168</v>
      </c>
      <c r="AH58" s="40">
        <f t="shared" si="41"/>
        <v>117.35649804121954</v>
      </c>
      <c r="AI58" s="76">
        <f t="shared" si="58"/>
        <v>2.2569296584797006E-4</v>
      </c>
      <c r="AJ58" s="382">
        <f t="shared" si="44"/>
        <v>35.939362970533125</v>
      </c>
      <c r="AL58" s="321" t="s">
        <v>32</v>
      </c>
      <c r="AM58" s="91">
        <v>233436142640.01999</v>
      </c>
      <c r="AN58" s="92">
        <f t="shared" si="14"/>
        <v>-2.7463724509401377E-2</v>
      </c>
      <c r="AO58" s="92">
        <f t="shared" si="15"/>
        <v>-2.7847902909531159E-2</v>
      </c>
      <c r="AP58" s="401">
        <f>APG!B58</f>
        <v>-2.90084847149913E-2</v>
      </c>
      <c r="AQ58" s="129">
        <f t="shared" si="4"/>
        <v>0.97099151528500871</v>
      </c>
      <c r="AR58" s="405">
        <f t="shared" si="69"/>
        <v>-0.10143781305154509</v>
      </c>
      <c r="AS58" s="55"/>
      <c r="AT58" s="55"/>
      <c r="AU58" s="55"/>
      <c r="AV58" s="129"/>
      <c r="AW58" s="188"/>
      <c r="AX58" s="55"/>
      <c r="AY58" s="55"/>
      <c r="AZ58" s="55"/>
      <c r="BA58" s="55"/>
      <c r="BB58" s="55"/>
      <c r="BC58" s="92"/>
      <c r="BD58" s="92"/>
      <c r="BE58" s="92"/>
      <c r="BF58" s="92"/>
      <c r="BG58" s="58"/>
      <c r="BH58" s="92"/>
      <c r="BI58" s="92"/>
      <c r="BJ58" s="409">
        <f t="shared" si="26"/>
        <v>1.080605804905419</v>
      </c>
      <c r="BK58" s="410">
        <v>0.74532299999999996</v>
      </c>
      <c r="BL58" s="103">
        <f t="shared" si="59"/>
        <v>313201313578.16681</v>
      </c>
      <c r="BM58" s="107">
        <f t="shared" si="27"/>
        <v>-0.10000828139571138</v>
      </c>
      <c r="BN58" s="107">
        <f t="shared" si="28"/>
        <v>-0.10536971725095126</v>
      </c>
      <c r="BO58" s="107"/>
      <c r="BP58" s="107"/>
      <c r="BQ58" s="107"/>
      <c r="BR58" s="107"/>
      <c r="BS58" s="107"/>
      <c r="BT58" s="107"/>
      <c r="BU58" s="76"/>
      <c r="BV58" s="76"/>
      <c r="BW58" s="76"/>
      <c r="CA58" s="321" t="str">
        <f>CPPIB.!A54</f>
        <v>3Q2011/12</v>
      </c>
      <c r="CB58" s="50">
        <f>CPPIB.!B54</f>
        <v>162971</v>
      </c>
      <c r="CC58" s="50">
        <f>CPPIB.!C54</f>
        <v>10677</v>
      </c>
      <c r="CD58" s="40">
        <f>CPPIB.!D54</f>
        <v>152294</v>
      </c>
      <c r="CE58" s="40">
        <f>CPPIB.!E54</f>
        <v>112614</v>
      </c>
      <c r="CF58" s="234">
        <f t="shared" si="45"/>
        <v>-8.5491839118716495E-3</v>
      </c>
      <c r="CG58" s="107">
        <f t="shared" si="46"/>
        <v>-8.5859378118070279E-3</v>
      </c>
      <c r="CH58" s="393">
        <f t="shared" si="47"/>
        <v>0.99141406218819295</v>
      </c>
      <c r="CI58" s="107"/>
      <c r="CJ58" s="107"/>
      <c r="CK58" s="107"/>
      <c r="CL58" s="107"/>
      <c r="CM58" s="107"/>
      <c r="CN58" s="410">
        <v>1.0420500000000001</v>
      </c>
      <c r="CO58" s="327" t="str">
        <f t="shared" si="51"/>
        <v>3Q2011/12</v>
      </c>
      <c r="CP58" s="187">
        <f t="shared" si="60"/>
        <v>156394.60678470321</v>
      </c>
      <c r="CQ58" s="187"/>
      <c r="CR58" s="187">
        <f t="shared" si="61"/>
        <v>10246.149417014538</v>
      </c>
      <c r="CS58" s="40">
        <f t="shared" si="62"/>
        <v>146148.45736768868</v>
      </c>
      <c r="CU58" s="40">
        <f t="shared" si="63"/>
        <v>108069.67036130703</v>
      </c>
      <c r="CW58" s="76">
        <f t="shared" si="48"/>
        <v>-8.1796735840098833E-2</v>
      </c>
      <c r="CX58" s="420">
        <f t="shared" si="49"/>
        <v>-8.1796735840098833E-2</v>
      </c>
      <c r="CY58" s="205"/>
      <c r="CZ58" s="205"/>
      <c r="DA58" s="205"/>
      <c r="DB58" s="107"/>
      <c r="DC58" s="205"/>
      <c r="DD58" s="205"/>
      <c r="DE58" s="421">
        <f t="shared" si="29"/>
        <v>1.0797326701896177</v>
      </c>
      <c r="DF58" s="321">
        <v>1.0420500000000001</v>
      </c>
      <c r="DG58" s="40">
        <f>CPPIB.!K54</f>
        <v>154</v>
      </c>
      <c r="DH58" s="40">
        <f>CPPIB.!L54</f>
        <v>74</v>
      </c>
      <c r="DI58" s="40">
        <f>CPPIB.!M54</f>
        <v>111</v>
      </c>
      <c r="DJ58" s="40">
        <f t="shared" si="22"/>
        <v>339</v>
      </c>
      <c r="DK58" s="40">
        <f t="shared" si="70"/>
        <v>2.2259576871052045E-3</v>
      </c>
      <c r="DL58" s="326" t="str">
        <f t="shared" si="52"/>
        <v>3Q2011/12</v>
      </c>
      <c r="DM58" s="40">
        <f t="shared" si="38"/>
        <v>147.7856148937191</v>
      </c>
      <c r="DN58" s="40">
        <f t="shared" si="77"/>
        <v>71.013866896981895</v>
      </c>
      <c r="DO58" s="40">
        <f t="shared" si="25"/>
        <v>106.52080034547285</v>
      </c>
      <c r="DP58" s="40">
        <f t="shared" si="78"/>
        <v>325.32028213617389</v>
      </c>
      <c r="DQ58" s="40">
        <f t="shared" si="30"/>
        <v>2.2259576871052045E-3</v>
      </c>
    </row>
    <row r="59" spans="1:121">
      <c r="A59" s="321" t="s">
        <v>33</v>
      </c>
      <c r="B59" s="40">
        <f>NBIM!V58</f>
        <v>3377307</v>
      </c>
      <c r="C59" s="40">
        <f>NBIM!W58</f>
        <v>68274</v>
      </c>
      <c r="D59" s="40">
        <f t="shared" si="71"/>
        <v>3309033</v>
      </c>
      <c r="E59" s="40">
        <f t="shared" si="54"/>
        <v>2.0632613817994562E-2</v>
      </c>
      <c r="F59" s="40">
        <f>NBIM!Z58</f>
        <v>2778866</v>
      </c>
      <c r="H59" s="107">
        <f t="shared" si="72"/>
        <v>5.0507072149684529E-2</v>
      </c>
      <c r="I59" s="107">
        <f t="shared" si="64"/>
        <v>3.3441469950451719E-2</v>
      </c>
      <c r="J59" s="234">
        <f t="shared" si="73"/>
        <v>4.9272973455111453E-2</v>
      </c>
      <c r="K59" s="321" t="s">
        <v>33</v>
      </c>
      <c r="L59" s="50">
        <f t="shared" si="65"/>
        <v>565907.3886342881</v>
      </c>
      <c r="M59" s="50">
        <f>L59+L58+L57+L56</f>
        <v>2465092.8425605153</v>
      </c>
      <c r="N59" s="50">
        <f t="shared" si="66"/>
        <v>11440.109250245059</v>
      </c>
      <c r="O59" s="384">
        <f t="shared" si="55"/>
        <v>554467.27938404307</v>
      </c>
      <c r="P59" s="384">
        <f>(O59+O58+O57+O56)</f>
        <v>2214704.6753157796</v>
      </c>
      <c r="Q59" s="384">
        <f t="shared" si="56"/>
        <v>465631.5820340318</v>
      </c>
      <c r="R59" s="384">
        <f>Q59+Q58+Q57+Q56</f>
        <v>1866262.8492299407</v>
      </c>
      <c r="S59" s="396">
        <f t="shared" si="74"/>
        <v>3.2227419324049267E-2</v>
      </c>
      <c r="T59" s="384">
        <f t="shared" si="67"/>
        <v>1.0492729734551114</v>
      </c>
      <c r="U59" s="382">
        <f t="shared" si="75"/>
        <v>1.0165133708056548</v>
      </c>
      <c r="V59" s="107">
        <f t="shared" si="76"/>
        <v>3.2227419324049267E-2</v>
      </c>
      <c r="W59" s="205">
        <f>((1+V59)*(1+V58)*(1+V57)*(1+V56))-1</f>
        <v>-4.2001448113343498E-2</v>
      </c>
      <c r="X59" s="321">
        <v>5.9679500000000001</v>
      </c>
      <c r="Y59" s="321" t="s">
        <v>33</v>
      </c>
      <c r="Z59" s="40">
        <f>NBIM!AL58</f>
        <v>193</v>
      </c>
      <c r="AA59" s="40">
        <f>NBIM!AM58</f>
        <v>411</v>
      </c>
      <c r="AB59" s="40">
        <f t="shared" si="53"/>
        <v>604</v>
      </c>
      <c r="AC59" s="76">
        <f t="shared" si="57"/>
        <v>1.8253066681414177E-4</v>
      </c>
      <c r="AD59" s="173">
        <f>NBIM!AQ58</f>
        <v>117</v>
      </c>
      <c r="AE59" s="321" t="s">
        <v>33</v>
      </c>
      <c r="AF59" s="40">
        <f t="shared" si="68"/>
        <v>32.339413031275399</v>
      </c>
      <c r="AG59" s="40">
        <f t="shared" si="79"/>
        <v>68.867869201317035</v>
      </c>
      <c r="AH59" s="40">
        <f t="shared" si="41"/>
        <v>101.20728223259243</v>
      </c>
      <c r="AI59" s="76">
        <f t="shared" si="58"/>
        <v>1.825306668141418E-4</v>
      </c>
      <c r="AJ59" s="382">
        <f t="shared" si="44"/>
        <v>19.604721889426017</v>
      </c>
      <c r="AL59" s="321" t="s">
        <v>33</v>
      </c>
      <c r="AM59" s="91">
        <v>244491474814.31</v>
      </c>
      <c r="AN59" s="92">
        <f t="shared" si="14"/>
        <v>4.7359128065007194E-2</v>
      </c>
      <c r="AO59" s="92">
        <f t="shared" si="15"/>
        <v>4.6271879822891673E-2</v>
      </c>
      <c r="AP59" s="401">
        <f>APG!B59</f>
        <v>4.6185838412731897E-2</v>
      </c>
      <c r="AQ59" s="129">
        <f t="shared" si="4"/>
        <v>1.0461858384127318</v>
      </c>
      <c r="AR59" s="405">
        <f t="shared" si="69"/>
        <v>1.2227752166667605E-2</v>
      </c>
      <c r="AS59" s="55">
        <f>AR56+AR57+AR58+AR59</f>
        <v>7.8858906190838463E-3</v>
      </c>
      <c r="AT59" s="55"/>
      <c r="AU59" s="55"/>
      <c r="AV59" s="129"/>
      <c r="AW59" s="188"/>
      <c r="AX59" s="55"/>
      <c r="AY59" s="55"/>
      <c r="AZ59" s="55"/>
      <c r="BA59" s="55"/>
      <c r="BB59" s="55"/>
      <c r="BC59" s="92"/>
      <c r="BD59" s="92"/>
      <c r="BE59" s="92"/>
      <c r="BF59" s="92"/>
      <c r="BG59" s="58"/>
      <c r="BH59" s="92"/>
      <c r="BI59" s="92"/>
      <c r="BJ59" s="409">
        <f t="shared" si="26"/>
        <v>1.0335478711914163</v>
      </c>
      <c r="BK59" s="410">
        <v>0.77032699999999998</v>
      </c>
      <c r="BL59" s="103">
        <f t="shared" si="59"/>
        <v>317386609601.26025</v>
      </c>
      <c r="BM59" s="107">
        <f t="shared" si="27"/>
        <v>1.3362958077278053E-2</v>
      </c>
      <c r="BN59" s="107">
        <f t="shared" si="28"/>
        <v>1.3274461267370261E-2</v>
      </c>
      <c r="BO59" s="107"/>
      <c r="BP59" s="107"/>
      <c r="BQ59" s="107"/>
      <c r="BR59" s="107"/>
      <c r="BS59" s="107"/>
      <c r="BT59" s="107"/>
      <c r="BU59" s="76"/>
      <c r="BV59" s="76"/>
      <c r="BW59" s="76"/>
      <c r="CA59" s="321" t="str">
        <f>CPPIB.!A55</f>
        <v>4Q2011/12</v>
      </c>
      <c r="CB59" s="50">
        <f>CPPIB.!B55</f>
        <v>161416</v>
      </c>
      <c r="CC59" s="50">
        <f>CPPIB.!C55</f>
        <v>8602</v>
      </c>
      <c r="CD59" s="40">
        <f>CPPIB.!D55</f>
        <v>152814</v>
      </c>
      <c r="CE59" s="40">
        <f>CPPIB.!E55</f>
        <v>110070</v>
      </c>
      <c r="CF59" s="234">
        <f t="shared" si="45"/>
        <v>2.0118980393186936E-2</v>
      </c>
      <c r="CG59" s="107">
        <f t="shared" si="46"/>
        <v>1.9919267937696512E-2</v>
      </c>
      <c r="CH59" s="393">
        <f t="shared" si="47"/>
        <v>1.0199192679376965</v>
      </c>
      <c r="CI59" s="107">
        <f>((CG59+1)*(CG58+1)*(CG57+1)*(CG56+1))-1</f>
        <v>5.2669501028252963E-2</v>
      </c>
      <c r="CJ59" s="107"/>
      <c r="CK59" s="107"/>
      <c r="CL59" s="107"/>
      <c r="CM59" s="107"/>
      <c r="CN59" s="410">
        <v>1.0182500000000001</v>
      </c>
      <c r="CO59" s="327" t="str">
        <f t="shared" si="51"/>
        <v>4Q2011/12</v>
      </c>
      <c r="CP59" s="187">
        <f t="shared" si="60"/>
        <v>158522.95605205008</v>
      </c>
      <c r="CQ59" s="187">
        <f>CP59+CP58+CP57+CP56</f>
        <v>642193.80340114771</v>
      </c>
      <c r="CR59" s="187">
        <f t="shared" si="61"/>
        <v>8447.8271544316212</v>
      </c>
      <c r="CS59" s="40">
        <f t="shared" si="62"/>
        <v>150075.12889761844</v>
      </c>
      <c r="CT59" s="40">
        <f>CS59+CS58+CS57+CS56</f>
        <v>607343.20274633938</v>
      </c>
      <c r="CU59" s="40">
        <f t="shared" si="63"/>
        <v>108097.22563221212</v>
      </c>
      <c r="CV59" s="40">
        <f>CU59+CU58+CU57+CU56</f>
        <v>443908.55003570556</v>
      </c>
      <c r="CW59" s="76">
        <f t="shared" si="48"/>
        <v>4.3758284463026431E-2</v>
      </c>
      <c r="CX59" s="420">
        <f t="shared" si="49"/>
        <v>4.3758284463026431E-2</v>
      </c>
      <c r="CY59" s="205"/>
      <c r="CZ59" s="205"/>
      <c r="DA59" s="205"/>
      <c r="DB59" s="107">
        <f>((CX71+1)*(CX70+1)*(CX69+1)*(CX68+1))-1</f>
        <v>5.751997867743408E-2</v>
      </c>
      <c r="DC59" s="205"/>
      <c r="DD59" s="205"/>
      <c r="DE59" s="421">
        <f t="shared" si="29"/>
        <v>0.97716040497097068</v>
      </c>
      <c r="DF59" s="321">
        <v>1.0182500000000001</v>
      </c>
      <c r="DG59" s="40">
        <f>CPPIB.!K55</f>
        <v>128</v>
      </c>
      <c r="DH59" s="40">
        <f>CPPIB.!L55</f>
        <v>43</v>
      </c>
      <c r="DI59" s="40">
        <f>CPPIB.!M55</f>
        <v>113</v>
      </c>
      <c r="DJ59" s="40">
        <f t="shared" si="22"/>
        <v>284</v>
      </c>
      <c r="DK59" s="40">
        <f t="shared" si="70"/>
        <v>1.8584684649312236E-3</v>
      </c>
      <c r="DL59" s="326" t="str">
        <f t="shared" si="52"/>
        <v>4Q2011/12</v>
      </c>
      <c r="DM59" s="40">
        <f t="shared" si="38"/>
        <v>125.70586791063097</v>
      </c>
      <c r="DN59" s="40">
        <f t="shared" si="77"/>
        <v>42.22931500122759</v>
      </c>
      <c r="DO59" s="40">
        <f t="shared" si="25"/>
        <v>110.97471151485391</v>
      </c>
      <c r="DP59" s="40">
        <f t="shared" si="78"/>
        <v>278.90989442671247</v>
      </c>
      <c r="DQ59" s="40">
        <f t="shared" si="30"/>
        <v>1.8584684649312236E-3</v>
      </c>
    </row>
    <row r="60" spans="1:121">
      <c r="A60" s="321" t="s">
        <v>34</v>
      </c>
      <c r="B60" s="40">
        <f>NBIM!V59</f>
        <v>3618759</v>
      </c>
      <c r="C60" s="40">
        <f>NBIM!W59</f>
        <v>122897</v>
      </c>
      <c r="D60" s="40">
        <f t="shared" si="71"/>
        <v>3495862</v>
      </c>
      <c r="E60" s="40">
        <f t="shared" si="54"/>
        <v>3.5154991816038504E-2</v>
      </c>
      <c r="F60" s="40">
        <f>NBIM!Z59</f>
        <v>2841687</v>
      </c>
      <c r="H60" s="107">
        <f t="shared" si="72"/>
        <v>3.7475600877960424E-2</v>
      </c>
      <c r="I60" s="107">
        <f t="shared" si="64"/>
        <v>8.5474796374439777E-2</v>
      </c>
      <c r="J60" s="234">
        <f t="shared" si="73"/>
        <v>3.6790455620119775E-2</v>
      </c>
      <c r="K60" s="321" t="s">
        <v>34</v>
      </c>
      <c r="L60" s="50">
        <f t="shared" si="65"/>
        <v>634419.22844294843</v>
      </c>
      <c r="N60" s="50">
        <f t="shared" si="66"/>
        <v>21545.56849957486</v>
      </c>
      <c r="O60" s="384">
        <f t="shared" si="55"/>
        <v>612873.65994337352</v>
      </c>
      <c r="P60" s="384"/>
      <c r="Q60" s="384">
        <f t="shared" si="56"/>
        <v>498187.60354484967</v>
      </c>
      <c r="R60" s="384"/>
      <c r="S60" s="396">
        <f t="shared" si="74"/>
        <v>8.4757952615789334E-2</v>
      </c>
      <c r="T60" s="384">
        <f t="shared" si="67"/>
        <v>1.0367904556201197</v>
      </c>
      <c r="U60" s="382">
        <f t="shared" si="75"/>
        <v>0.95578046062718358</v>
      </c>
      <c r="V60" s="107">
        <f t="shared" si="76"/>
        <v>8.4757952615789334E-2</v>
      </c>
      <c r="W60" s="205"/>
      <c r="X60" s="321">
        <v>5.7040500000000005</v>
      </c>
      <c r="Y60" s="321" t="s">
        <v>34</v>
      </c>
      <c r="Z60" s="40">
        <f>NBIM!AL59</f>
        <v>182</v>
      </c>
      <c r="AA60" s="40">
        <f>NBIM!AM59</f>
        <v>397</v>
      </c>
      <c r="AB60" s="40">
        <f t="shared" si="53"/>
        <v>579</v>
      </c>
      <c r="AC60" s="76">
        <f t="shared" si="57"/>
        <v>1.6562438677499282E-4</v>
      </c>
      <c r="AD60" s="173">
        <f>NBIM!AQ59</f>
        <v>90</v>
      </c>
      <c r="AE60" s="321" t="s">
        <v>34</v>
      </c>
      <c r="AF60" s="40">
        <f t="shared" si="68"/>
        <v>31.907153689045501</v>
      </c>
      <c r="AG60" s="40">
        <f t="shared" si="79"/>
        <v>69.599670409621226</v>
      </c>
      <c r="AH60" s="40">
        <f t="shared" si="41"/>
        <v>101.50682409866673</v>
      </c>
      <c r="AI60" s="76">
        <f t="shared" si="58"/>
        <v>1.6562438677499282E-4</v>
      </c>
      <c r="AJ60" s="382">
        <f t="shared" si="44"/>
        <v>15.778262813264258</v>
      </c>
      <c r="AL60" s="321" t="s">
        <v>34</v>
      </c>
      <c r="AM60" s="91">
        <v>258951074920.42999</v>
      </c>
      <c r="AN60" s="92">
        <f t="shared" si="14"/>
        <v>5.9141530873835224E-2</v>
      </c>
      <c r="AO60" s="92">
        <f t="shared" si="15"/>
        <v>5.7458703462684176E-2</v>
      </c>
      <c r="AP60" s="401">
        <f>APG!B60</f>
        <v>5.8256949329522502E-2</v>
      </c>
      <c r="AQ60" s="129">
        <f t="shared" si="4"/>
        <v>1.0582569493295224</v>
      </c>
      <c r="AR60" s="405">
        <f t="shared" si="69"/>
        <v>8.5606856930382724E-2</v>
      </c>
      <c r="AS60" s="55"/>
      <c r="AT60" s="55"/>
      <c r="AU60" s="55"/>
      <c r="AV60" s="129"/>
      <c r="AW60" s="188"/>
      <c r="AX60" s="55"/>
      <c r="AY60" s="55"/>
      <c r="AZ60" s="55"/>
      <c r="BA60" s="55"/>
      <c r="BB60" s="55"/>
      <c r="BC60" s="92"/>
      <c r="BD60" s="92"/>
      <c r="BE60" s="92"/>
      <c r="BF60" s="92"/>
      <c r="BG60" s="58"/>
      <c r="BH60" s="92"/>
      <c r="BI60" s="92"/>
      <c r="BJ60" s="409">
        <f t="shared" si="26"/>
        <v>0.97480680282529364</v>
      </c>
      <c r="BK60" s="410">
        <v>0.75091999999999992</v>
      </c>
      <c r="BL60" s="103">
        <f t="shared" si="59"/>
        <v>344845089916.94189</v>
      </c>
      <c r="BM60" s="107">
        <f t="shared" si="27"/>
        <v>8.6514299863432509E-2</v>
      </c>
      <c r="BN60" s="107">
        <f t="shared" si="28"/>
        <v>8.297468202988359E-2</v>
      </c>
      <c r="BO60" s="107"/>
      <c r="BP60" s="107"/>
      <c r="BQ60" s="107"/>
      <c r="BR60" s="107"/>
      <c r="BS60" s="107"/>
      <c r="BT60" s="107"/>
      <c r="BU60" s="76"/>
      <c r="BV60" s="76"/>
      <c r="BW60" s="76"/>
      <c r="CA60" s="321" t="str">
        <f>CPPIB.!A56</f>
        <v>1Q2012/12</v>
      </c>
      <c r="CB60" s="50">
        <f>CPPIB.!B56</f>
        <v>178162</v>
      </c>
      <c r="CC60" s="50">
        <f>CPPIB.!C56</f>
        <v>16526</v>
      </c>
      <c r="CD60" s="40">
        <f>CPPIB.!D56</f>
        <v>161636</v>
      </c>
      <c r="CE60" s="40">
        <f>CPPIB.!E56</f>
        <v>112349</v>
      </c>
      <c r="CF60" s="234">
        <f t="shared" si="45"/>
        <v>4.2816757626918944E-2</v>
      </c>
      <c r="CG60" s="107">
        <f t="shared" si="46"/>
        <v>4.1925472785949748E-2</v>
      </c>
      <c r="CH60" s="393">
        <f t="shared" si="47"/>
        <v>1.0419254727859497</v>
      </c>
      <c r="CI60" s="107"/>
      <c r="CJ60" s="107"/>
      <c r="CK60" s="107"/>
      <c r="CL60" s="107"/>
      <c r="CM60" s="107"/>
      <c r="CN60" s="410">
        <v>0.99945000000000006</v>
      </c>
      <c r="CO60" s="327" t="str">
        <f t="shared" si="51"/>
        <v>1Q2012/12</v>
      </c>
      <c r="CP60" s="187">
        <f t="shared" si="60"/>
        <v>178260.04302366299</v>
      </c>
      <c r="CQ60" s="187"/>
      <c r="CR60" s="187">
        <f t="shared" si="61"/>
        <v>16535.094301866025</v>
      </c>
      <c r="CS60" s="40">
        <f t="shared" si="62"/>
        <v>161724.94872179697</v>
      </c>
      <c r="CU60" s="40">
        <f t="shared" si="63"/>
        <v>112410.82595427484</v>
      </c>
      <c r="CW60" s="76">
        <f t="shared" si="48"/>
        <v>6.1524451112405121E-2</v>
      </c>
      <c r="CX60" s="420">
        <f t="shared" si="49"/>
        <v>6.1524451112405121E-2</v>
      </c>
      <c r="CY60" s="205">
        <f>((CX57+1)*(1+CX58)*(1+CX59)*(1+CX60))-1</f>
        <v>3.3673185027404795E-2</v>
      </c>
      <c r="CZ60" s="205"/>
      <c r="DA60" s="205"/>
      <c r="DB60" s="107"/>
      <c r="DC60" s="205"/>
      <c r="DD60" s="205"/>
      <c r="DE60" s="421">
        <f t="shared" si="29"/>
        <v>0.98153695065062607</v>
      </c>
      <c r="DF60" s="321">
        <v>0.99945000000000006</v>
      </c>
      <c r="DG60" s="40">
        <f>CPPIB.!K56</f>
        <v>238</v>
      </c>
      <c r="DH60" s="40">
        <f>CPPIB.!L56</f>
        <v>58</v>
      </c>
      <c r="DI60" s="40">
        <f>CPPIB.!M56</f>
        <v>121</v>
      </c>
      <c r="DJ60" s="40">
        <f t="shared" si="22"/>
        <v>417</v>
      </c>
      <c r="DK60" s="40">
        <f t="shared" si="70"/>
        <v>2.57987082085674E-3</v>
      </c>
      <c r="DL60" s="326" t="str">
        <f t="shared" si="52"/>
        <v>1Q2012/12</v>
      </c>
      <c r="DM60" s="40">
        <f t="shared" si="38"/>
        <v>238.13097203461902</v>
      </c>
      <c r="DN60" s="40">
        <f t="shared" si="77"/>
        <v>58.03191755465506</v>
      </c>
      <c r="DO60" s="40">
        <f t="shared" si="25"/>
        <v>121.06658662264245</v>
      </c>
      <c r="DP60" s="40">
        <f t="shared" si="78"/>
        <v>417.22947621191656</v>
      </c>
      <c r="DQ60" s="40">
        <f t="shared" si="30"/>
        <v>2.57987082085674E-3</v>
      </c>
    </row>
    <row r="61" spans="1:121">
      <c r="A61" s="321" t="s">
        <v>35</v>
      </c>
      <c r="B61" s="40">
        <f>NBIM!V60</f>
        <v>3645629</v>
      </c>
      <c r="C61" s="40">
        <f>NBIM!W60</f>
        <v>85690</v>
      </c>
      <c r="D61" s="40">
        <f t="shared" si="71"/>
        <v>3559939</v>
      </c>
      <c r="E61" s="40">
        <f t="shared" si="54"/>
        <v>2.4070637165412103E-2</v>
      </c>
      <c r="F61" s="40">
        <f>NBIM!Z60</f>
        <v>2913488</v>
      </c>
      <c r="H61" s="107">
        <f t="shared" si="72"/>
        <v>-2.209469366925787E-3</v>
      </c>
      <c r="I61" s="107">
        <f t="shared" si="64"/>
        <v>-4.256119973124739E-2</v>
      </c>
      <c r="J61" s="234">
        <f t="shared" si="73"/>
        <v>-2.2119138456985358E-3</v>
      </c>
      <c r="K61" s="321" t="s">
        <v>35</v>
      </c>
      <c r="L61" s="50">
        <f t="shared" si="65"/>
        <v>613282.81001606537</v>
      </c>
      <c r="N61" s="50">
        <f t="shared" si="66"/>
        <v>14415.126714834845</v>
      </c>
      <c r="O61" s="384">
        <f t="shared" si="55"/>
        <v>598867.68330123054</v>
      </c>
      <c r="P61" s="384"/>
      <c r="Q61" s="384">
        <f t="shared" si="56"/>
        <v>490119.01858035644</v>
      </c>
      <c r="R61" s="384"/>
      <c r="S61" s="396">
        <f>V61</f>
        <v>-4.2563545352649501E-2</v>
      </c>
      <c r="T61" s="384">
        <f t="shared" si="67"/>
        <v>0.99778808615430148</v>
      </c>
      <c r="U61" s="382">
        <f t="shared" si="75"/>
        <v>1.0421454931145415</v>
      </c>
      <c r="V61" s="107">
        <f t="shared" si="76"/>
        <v>-4.2563545352649501E-2</v>
      </c>
      <c r="W61" s="205"/>
      <c r="X61" s="321">
        <v>5.9444500000000007</v>
      </c>
      <c r="Y61" s="321" t="s">
        <v>35</v>
      </c>
      <c r="Z61" s="40">
        <f>NBIM!AL60</f>
        <v>157</v>
      </c>
      <c r="AA61" s="40">
        <f>NBIM!AM60</f>
        <v>389</v>
      </c>
      <c r="AB61" s="40">
        <f t="shared" si="53"/>
        <v>546</v>
      </c>
      <c r="AC61" s="76">
        <f t="shared" si="57"/>
        <v>1.5337341454446269E-4</v>
      </c>
      <c r="AD61" s="173">
        <f>NBIM!AQ60</f>
        <v>74</v>
      </c>
      <c r="AE61" s="321" t="s">
        <v>35</v>
      </c>
      <c r="AF61" s="40">
        <f t="shared" si="68"/>
        <v>26.411190269915632</v>
      </c>
      <c r="AG61" s="40">
        <f t="shared" si="79"/>
        <v>65.439191178325999</v>
      </c>
      <c r="AH61" s="40">
        <f t="shared" si="41"/>
        <v>91.850381448241635</v>
      </c>
      <c r="AI61" s="76">
        <f t="shared" si="58"/>
        <v>1.5337341454446269E-4</v>
      </c>
      <c r="AJ61" s="382">
        <f t="shared" si="44"/>
        <v>12.448586496648133</v>
      </c>
      <c r="AL61" s="321" t="s">
        <v>35</v>
      </c>
      <c r="AM61" s="91">
        <v>259465727318.38</v>
      </c>
      <c r="AN61" s="92">
        <f t="shared" si="14"/>
        <v>1.9874503247694353E-3</v>
      </c>
      <c r="AO61" s="92">
        <f t="shared" si="15"/>
        <v>1.9854779582606655E-3</v>
      </c>
      <c r="AP61" s="401">
        <f>APG!B61</f>
        <v>9.0699386000863704E-4</v>
      </c>
      <c r="AQ61" s="129">
        <f t="shared" si="4"/>
        <v>1.0009069938600086</v>
      </c>
      <c r="AR61" s="405">
        <f t="shared" si="69"/>
        <v>-4.6180629183128374E-2</v>
      </c>
      <c r="AS61" s="55"/>
      <c r="AT61" s="55"/>
      <c r="AU61" s="55"/>
      <c r="AV61" s="129"/>
      <c r="AW61" s="188"/>
      <c r="AX61" s="55"/>
      <c r="AY61" s="55"/>
      <c r="AZ61" s="55"/>
      <c r="BA61" s="55"/>
      <c r="BB61" s="55"/>
      <c r="BC61" s="92"/>
      <c r="BD61" s="92"/>
      <c r="BE61" s="92"/>
      <c r="BF61" s="92"/>
      <c r="BG61" s="58"/>
      <c r="BH61" s="92"/>
      <c r="BI61" s="92"/>
      <c r="BJ61" s="409">
        <f t="shared" si="26"/>
        <v>1.0493674426037396</v>
      </c>
      <c r="BK61" s="410">
        <v>0.787991</v>
      </c>
      <c r="BL61" s="103">
        <f t="shared" si="59"/>
        <v>329274988316.33862</v>
      </c>
      <c r="BM61" s="107">
        <f t="shared" si="27"/>
        <v>-4.5151002742574775E-2</v>
      </c>
      <c r="BN61" s="107">
        <f t="shared" si="28"/>
        <v>-4.6202069058436469E-2</v>
      </c>
      <c r="BO61" s="107"/>
      <c r="BP61" s="107"/>
      <c r="BQ61" s="107"/>
      <c r="BR61" s="107"/>
      <c r="BS61" s="107"/>
      <c r="BT61" s="107"/>
      <c r="BU61" s="76"/>
      <c r="BV61" s="76"/>
      <c r="BW61" s="76"/>
      <c r="CA61" s="321" t="str">
        <f>CPPIB.!A57</f>
        <v>2Q2012/13</v>
      </c>
      <c r="CB61" s="50">
        <f>CPPIB.!B57</f>
        <v>179632</v>
      </c>
      <c r="CC61" s="50">
        <f>CPPIB.!C57</f>
        <v>13853</v>
      </c>
      <c r="CD61" s="40">
        <f>CPPIB.!D57</f>
        <v>165779</v>
      </c>
      <c r="CE61" s="40">
        <f>CPPIB.!E57</f>
        <v>115766</v>
      </c>
      <c r="CF61" s="234">
        <f t="shared" si="45"/>
        <v>4.4915736593333921E-3</v>
      </c>
      <c r="CG61" s="107">
        <f t="shared" si="46"/>
        <v>4.4815166456650219E-3</v>
      </c>
      <c r="CH61" s="393">
        <f t="shared" si="47"/>
        <v>1.0044815166456651</v>
      </c>
      <c r="CI61" s="107"/>
      <c r="CJ61" s="107"/>
      <c r="CK61" s="107"/>
      <c r="CL61" s="107"/>
      <c r="CM61" s="107"/>
      <c r="CN61" s="410">
        <v>1.0194500000000002</v>
      </c>
      <c r="CO61" s="327" t="str">
        <f t="shared" si="51"/>
        <v>2Q2012/13</v>
      </c>
      <c r="CP61" s="187">
        <f t="shared" si="60"/>
        <v>176204.81632252681</v>
      </c>
      <c r="CQ61" s="187"/>
      <c r="CR61" s="187">
        <f t="shared" si="61"/>
        <v>13588.699789101964</v>
      </c>
      <c r="CS61" s="40">
        <f t="shared" si="62"/>
        <v>162616.11653342485</v>
      </c>
      <c r="CU61" s="40">
        <f t="shared" si="63"/>
        <v>113557.31031438519</v>
      </c>
      <c r="CW61" s="76">
        <f t="shared" si="48"/>
        <v>-1.5224825335710568E-2</v>
      </c>
      <c r="CX61" s="420">
        <f t="shared" si="49"/>
        <v>-1.5224825335710568E-2</v>
      </c>
      <c r="CY61" s="205"/>
      <c r="CZ61" s="205"/>
      <c r="DA61" s="205"/>
      <c r="DB61" s="107"/>
      <c r="DC61" s="205"/>
      <c r="DD61" s="205"/>
      <c r="DE61" s="421">
        <f t="shared" si="29"/>
        <v>1.0200110060533294</v>
      </c>
      <c r="DF61" s="321">
        <v>1.0194500000000002</v>
      </c>
      <c r="DG61" s="40">
        <f>CPPIB.!K57</f>
        <v>140</v>
      </c>
      <c r="DH61" s="40">
        <f>CPPIB.!L57</f>
        <v>47</v>
      </c>
      <c r="DI61" s="40">
        <f>CPPIB.!M57</f>
        <v>118</v>
      </c>
      <c r="DJ61" s="40">
        <f t="shared" si="22"/>
        <v>305</v>
      </c>
      <c r="DK61" s="40">
        <f t="shared" si="70"/>
        <v>1.8397987682396443E-3</v>
      </c>
      <c r="DL61" s="326" t="str">
        <f t="shared" si="52"/>
        <v>2Q2012/13</v>
      </c>
      <c r="DM61" s="40">
        <f t="shared" si="38"/>
        <v>137.32895188582077</v>
      </c>
      <c r="DN61" s="40">
        <f t="shared" si="77"/>
        <v>46.103290990239827</v>
      </c>
      <c r="DO61" s="40">
        <f t="shared" si="25"/>
        <v>115.74868801804892</v>
      </c>
      <c r="DP61" s="40">
        <f t="shared" si="78"/>
        <v>299.18093089410957</v>
      </c>
      <c r="DQ61" s="40">
        <f t="shared" si="30"/>
        <v>1.8397987682396448E-3</v>
      </c>
    </row>
    <row r="62" spans="1:121">
      <c r="A62" s="321" t="s">
        <v>36</v>
      </c>
      <c r="B62" s="40">
        <f>NBIM!V61</f>
        <v>3849973</v>
      </c>
      <c r="C62" s="40">
        <f>NBIM!W61</f>
        <v>128040</v>
      </c>
      <c r="D62" s="40">
        <f t="shared" si="71"/>
        <v>3721933</v>
      </c>
      <c r="E62" s="40">
        <f t="shared" si="54"/>
        <v>3.440147901641432E-2</v>
      </c>
      <c r="F62" s="40">
        <f>NBIM!Z61</f>
        <v>2993941</v>
      </c>
      <c r="H62" s="107">
        <f t="shared" si="72"/>
        <v>2.2905167757087952E-2</v>
      </c>
      <c r="I62" s="107">
        <f t="shared" si="64"/>
        <v>6.2152149328120077E-2</v>
      </c>
      <c r="J62" s="234">
        <f t="shared" si="73"/>
        <v>2.2646782532866956E-2</v>
      </c>
      <c r="K62" s="321" t="s">
        <v>36</v>
      </c>
      <c r="L62" s="50">
        <f t="shared" si="65"/>
        <v>672507.86053661257</v>
      </c>
      <c r="N62" s="50">
        <f t="shared" si="66"/>
        <v>22365.846841811068</v>
      </c>
      <c r="O62" s="384">
        <f t="shared" si="55"/>
        <v>650142.0136948016</v>
      </c>
      <c r="P62" s="384"/>
      <c r="Q62" s="384">
        <f t="shared" si="56"/>
        <v>522977.39659027389</v>
      </c>
      <c r="R62" s="384"/>
      <c r="S62" s="396">
        <f t="shared" si="74"/>
        <v>6.1883850340186841E-2</v>
      </c>
      <c r="T62" s="384">
        <f t="shared" si="67"/>
        <v>1.0226467825328669</v>
      </c>
      <c r="U62" s="382">
        <f t="shared" si="75"/>
        <v>0.96304956724339497</v>
      </c>
      <c r="V62" s="107">
        <f t="shared" si="76"/>
        <v>6.1883850340186841E-2</v>
      </c>
      <c r="W62" s="205"/>
      <c r="X62" s="321">
        <v>5.7248000000000001</v>
      </c>
      <c r="Y62" s="321" t="s">
        <v>36</v>
      </c>
      <c r="Z62" s="40">
        <f>NBIM!AL61</f>
        <v>25</v>
      </c>
      <c r="AA62" s="40">
        <f>NBIM!AM61</f>
        <v>388</v>
      </c>
      <c r="AB62" s="40">
        <f t="shared" si="53"/>
        <v>413</v>
      </c>
      <c r="AC62" s="76">
        <f t="shared" si="57"/>
        <v>1.1096384593704401E-4</v>
      </c>
      <c r="AD62" s="173">
        <f>NBIM!AQ61</f>
        <v>-46</v>
      </c>
      <c r="AE62" s="321" t="s">
        <v>36</v>
      </c>
      <c r="AF62" s="40">
        <f>Z62/X62</f>
        <v>4.3669647847959752</v>
      </c>
      <c r="AG62" s="40">
        <f t="shared" si="79"/>
        <v>67.775293460033538</v>
      </c>
      <c r="AH62" s="40">
        <f t="shared" si="41"/>
        <v>72.14225824482952</v>
      </c>
      <c r="AI62" s="76">
        <f t="shared" si="58"/>
        <v>1.1096384593704401E-4</v>
      </c>
      <c r="AJ62" s="382">
        <f t="shared" si="44"/>
        <v>-8.0352152040245954</v>
      </c>
      <c r="AL62" s="321" t="s">
        <v>36</v>
      </c>
      <c r="AM62" s="91">
        <v>272270505160.48999</v>
      </c>
      <c r="AN62" s="92">
        <f t="shared" si="14"/>
        <v>4.9350555753352898E-2</v>
      </c>
      <c r="AO62" s="92">
        <f t="shared" si="15"/>
        <v>4.8171454477918464E-2</v>
      </c>
      <c r="AP62" s="401">
        <f>APG!B62</f>
        <v>4.7962370793199899E-2</v>
      </c>
      <c r="AQ62" s="129">
        <f t="shared" si="4"/>
        <v>1.0479623707932</v>
      </c>
      <c r="AR62" s="405">
        <f t="shared" si="69"/>
        <v>6.2371966303622184E-2</v>
      </c>
      <c r="AS62" s="55"/>
      <c r="AT62" s="55"/>
      <c r="AU62" s="55"/>
      <c r="AV62" s="129"/>
      <c r="AW62" s="188"/>
      <c r="AX62" s="55"/>
      <c r="AY62" s="55"/>
      <c r="AZ62" s="55"/>
      <c r="BA62" s="55"/>
      <c r="BB62" s="55"/>
      <c r="BC62" s="92"/>
      <c r="BD62" s="92"/>
      <c r="BE62" s="92"/>
      <c r="BF62" s="92"/>
      <c r="BG62" s="58"/>
      <c r="BH62" s="92"/>
      <c r="BI62" s="92"/>
      <c r="BJ62" s="409">
        <f t="shared" si="26"/>
        <v>0.98643639330906063</v>
      </c>
      <c r="BK62" s="410">
        <v>0.77730299999999997</v>
      </c>
      <c r="BL62" s="103">
        <f t="shared" si="59"/>
        <v>350275896478.58044</v>
      </c>
      <c r="BM62" s="107">
        <f t="shared" si="27"/>
        <v>6.377923895654658E-2</v>
      </c>
      <c r="BN62" s="107">
        <f t="shared" si="28"/>
        <v>6.1827887208349787E-2</v>
      </c>
      <c r="BO62" s="107"/>
      <c r="BP62" s="107"/>
      <c r="BQ62" s="107"/>
      <c r="BR62" s="107"/>
      <c r="BS62" s="107"/>
      <c r="BT62" s="107"/>
      <c r="BU62" s="76"/>
      <c r="BV62" s="76"/>
      <c r="BW62" s="76"/>
      <c r="CA62" s="321" t="str">
        <f>CPPIB.!A58</f>
        <v>3Q2012/13</v>
      </c>
      <c r="CB62" s="50">
        <f>CPPIB.!B58</f>
        <v>187916</v>
      </c>
      <c r="CC62" s="50">
        <f>CPPIB.!C58</f>
        <v>17813</v>
      </c>
      <c r="CD62" s="40">
        <f>CPPIB.!D58</f>
        <v>170103</v>
      </c>
      <c r="CE62" s="40">
        <f>CPPIB.!E58</f>
        <v>117085</v>
      </c>
      <c r="CF62" s="234">
        <f t="shared" si="45"/>
        <v>1.8126541962492304E-2</v>
      </c>
      <c r="CG62" s="107">
        <f t="shared" si="46"/>
        <v>1.7964214884988627E-2</v>
      </c>
      <c r="CH62" s="393">
        <f t="shared" si="47"/>
        <v>1.0179642148849886</v>
      </c>
      <c r="CI62" s="107"/>
      <c r="CJ62" s="107"/>
      <c r="CK62" s="107"/>
      <c r="CL62" s="107"/>
      <c r="CM62" s="107"/>
      <c r="CN62" s="410">
        <v>0.9839500000000001</v>
      </c>
      <c r="CO62" s="327" t="str">
        <f t="shared" si="51"/>
        <v>3Q2012/13</v>
      </c>
      <c r="CP62" s="187">
        <f t="shared" si="60"/>
        <v>190981.24904720768</v>
      </c>
      <c r="CQ62" s="187"/>
      <c r="CR62" s="187">
        <f t="shared" si="61"/>
        <v>18103.562172874637</v>
      </c>
      <c r="CS62" s="40">
        <f t="shared" si="62"/>
        <v>172877.68687433304</v>
      </c>
      <c r="CU62" s="40">
        <f t="shared" si="63"/>
        <v>118994.86762538746</v>
      </c>
      <c r="CW62" s="76">
        <f t="shared" si="48"/>
        <v>5.4691416092790934E-2</v>
      </c>
      <c r="CX62" s="420">
        <f t="shared" si="49"/>
        <v>5.4691416092790934E-2</v>
      </c>
      <c r="CY62" s="205"/>
      <c r="CZ62" s="205"/>
      <c r="DA62" s="205"/>
      <c r="DB62" s="107"/>
      <c r="DC62" s="205"/>
      <c r="DD62" s="205"/>
      <c r="DE62" s="421">
        <f t="shared" si="29"/>
        <v>0.96517730148609537</v>
      </c>
      <c r="DF62" s="321">
        <v>0.9839500000000001</v>
      </c>
      <c r="DG62" s="40">
        <f>CPPIB.!K58</f>
        <v>240</v>
      </c>
      <c r="DH62" s="40">
        <f>CPPIB.!L58</f>
        <v>49</v>
      </c>
      <c r="DI62" s="40">
        <f>CPPIB.!M58</f>
        <v>121</v>
      </c>
      <c r="DJ62" s="40">
        <f t="shared" si="22"/>
        <v>410</v>
      </c>
      <c r="DK62" s="40">
        <f t="shared" si="70"/>
        <v>2.4103043450144912E-3</v>
      </c>
      <c r="DL62" s="326" t="str">
        <f t="shared" si="52"/>
        <v>3Q2012/13</v>
      </c>
      <c r="DM62" s="40">
        <f t="shared" si="38"/>
        <v>243.9148330707861</v>
      </c>
      <c r="DN62" s="40">
        <f t="shared" si="77"/>
        <v>49.799278418618826</v>
      </c>
      <c r="DO62" s="40">
        <f t="shared" si="25"/>
        <v>122.97372833985466</v>
      </c>
      <c r="DP62" s="40">
        <f t="shared" si="78"/>
        <v>416.68783982925959</v>
      </c>
      <c r="DQ62" s="40">
        <f t="shared" si="30"/>
        <v>2.4103043450144912E-3</v>
      </c>
    </row>
    <row r="63" spans="1:121">
      <c r="A63" s="321" t="s">
        <v>37</v>
      </c>
      <c r="B63" s="40">
        <f>NBIM!V62</f>
        <v>3877392</v>
      </c>
      <c r="C63" s="40">
        <f>NBIM!W62</f>
        <v>63816</v>
      </c>
      <c r="D63" s="40">
        <f t="shared" si="71"/>
        <v>3813576</v>
      </c>
      <c r="E63" s="40">
        <f t="shared" si="54"/>
        <v>1.673390015041001E-2</v>
      </c>
      <c r="F63" s="40">
        <f>NBIM!Z62</f>
        <v>3057740</v>
      </c>
      <c r="H63" s="107">
        <f t="shared" si="72"/>
        <v>7.4810589013827311E-3</v>
      </c>
      <c r="I63" s="107">
        <f t="shared" si="64"/>
        <v>3.6364505817103376E-2</v>
      </c>
      <c r="J63" s="234">
        <f t="shared" si="73"/>
        <v>7.4532145640937948E-3</v>
      </c>
      <c r="K63" s="321" t="s">
        <v>37</v>
      </c>
      <c r="L63" s="50">
        <f t="shared" si="65"/>
        <v>696714.79268676147</v>
      </c>
      <c r="M63" s="50">
        <f>L63+L62+L61+L60</f>
        <v>2616924.6916823876</v>
      </c>
      <c r="N63" s="50">
        <f t="shared" si="66"/>
        <v>11466.870311306768</v>
      </c>
      <c r="O63" s="384">
        <f t="shared" si="55"/>
        <v>685247.9223754548</v>
      </c>
      <c r="P63" s="384">
        <f>(O63+O62+O61+O60)</f>
        <v>2547131.2793148602</v>
      </c>
      <c r="Q63" s="384">
        <f t="shared" si="56"/>
        <v>549434.43690759619</v>
      </c>
      <c r="R63" s="384">
        <f>Q63+Q62+Q61+Q60</f>
        <v>2060718.4556230761</v>
      </c>
      <c r="S63" s="396">
        <f t="shared" si="74"/>
        <v>3.6335863211270469E-2</v>
      </c>
      <c r="T63" s="384">
        <f t="shared" si="67"/>
        <v>1.0074532145640938</v>
      </c>
      <c r="U63" s="382">
        <f t="shared" si="75"/>
        <v>0.97213003074343218</v>
      </c>
      <c r="V63" s="107">
        <f t="shared" si="76"/>
        <v>3.6335863211270469E-2</v>
      </c>
      <c r="W63" s="205">
        <f>((1+V63)*(1+V62)*(1+V61)*(1+V60))-1</f>
        <v>0.1429318766513461</v>
      </c>
      <c r="X63" s="321">
        <v>5.5652500000000007</v>
      </c>
      <c r="Y63" s="321" t="s">
        <v>37</v>
      </c>
      <c r="Z63" s="40">
        <f>NBIM!AL62</f>
        <v>215</v>
      </c>
      <c r="AA63" s="40">
        <f>NBIM!AM62</f>
        <v>440</v>
      </c>
      <c r="AB63" s="40">
        <f t="shared" si="53"/>
        <v>655</v>
      </c>
      <c r="AC63" s="76">
        <f t="shared" si="57"/>
        <v>1.7175480441454426E-4</v>
      </c>
      <c r="AD63" s="173">
        <f>NBIM!AQ62</f>
        <v>189</v>
      </c>
      <c r="AE63" s="321" t="s">
        <v>37</v>
      </c>
      <c r="AF63" s="40">
        <f t="shared" si="68"/>
        <v>38.6325861371906</v>
      </c>
      <c r="AG63" s="40">
        <f t="shared" si="79"/>
        <v>79.06203674587843</v>
      </c>
      <c r="AH63" s="40">
        <f t="shared" si="41"/>
        <v>117.69462288306903</v>
      </c>
      <c r="AI63" s="76">
        <f t="shared" si="58"/>
        <v>1.7175480441454423E-4</v>
      </c>
      <c r="AJ63" s="382">
        <f t="shared" si="44"/>
        <v>33.960738511297784</v>
      </c>
      <c r="AL63" s="321" t="s">
        <v>37</v>
      </c>
      <c r="AM63" s="91">
        <v>279271038083.56</v>
      </c>
      <c r="AN63" s="92">
        <f t="shared" si="14"/>
        <v>2.5711683015182007E-2</v>
      </c>
      <c r="AO63" s="92">
        <f t="shared" si="15"/>
        <v>2.5386696551220517E-2</v>
      </c>
      <c r="AP63" s="401">
        <f>APG!B63</f>
        <v>2.44628433937626E-2</v>
      </c>
      <c r="AQ63" s="129">
        <f t="shared" si="4"/>
        <v>1.0244628433937626</v>
      </c>
      <c r="AR63" s="405">
        <f t="shared" si="69"/>
        <v>4.9865907564982992E-2</v>
      </c>
      <c r="AS63" s="55">
        <f>AR60+AR61+AR62+AR63</f>
        <v>0.15166410161585953</v>
      </c>
      <c r="AT63" s="55"/>
      <c r="AU63" s="55"/>
      <c r="AV63" s="129"/>
      <c r="AW63" s="188"/>
      <c r="AX63" s="55"/>
      <c r="AY63" s="55"/>
      <c r="AZ63" s="55"/>
      <c r="BA63" s="55"/>
      <c r="BB63" s="55"/>
      <c r="BC63" s="92"/>
      <c r="BD63" s="92"/>
      <c r="BE63" s="92"/>
      <c r="BF63" s="92"/>
      <c r="BG63" s="58"/>
      <c r="BH63" s="92"/>
      <c r="BI63" s="92"/>
      <c r="BJ63" s="409">
        <f t="shared" si="26"/>
        <v>0.97580351548881195</v>
      </c>
      <c r="BK63" s="410">
        <v>0.75849499999999992</v>
      </c>
      <c r="BL63" s="103">
        <f t="shared" si="59"/>
        <v>368191007302.03894</v>
      </c>
      <c r="BM63" s="107">
        <f t="shared" si="27"/>
        <v>5.1145714003058673E-2</v>
      </c>
      <c r="BN63" s="107">
        <f t="shared" si="28"/>
        <v>4.988072548459941E-2</v>
      </c>
      <c r="BO63" s="107"/>
      <c r="BP63" s="107"/>
      <c r="BQ63" s="107"/>
      <c r="BR63" s="107"/>
      <c r="BS63" s="107"/>
      <c r="BT63" s="107"/>
      <c r="BU63" s="76"/>
      <c r="BV63" s="76"/>
      <c r="BW63" s="76"/>
      <c r="CA63" s="321" t="str">
        <f>CPPIB.!A59</f>
        <v>4Q2012/13</v>
      </c>
      <c r="CB63" s="50">
        <f>CPPIB.!B59</f>
        <v>193926</v>
      </c>
      <c r="CC63" s="50">
        <f>CPPIB.!C59</f>
        <v>21345</v>
      </c>
      <c r="CD63" s="40">
        <f>CPPIB.!D59</f>
        <v>172581</v>
      </c>
      <c r="CE63" s="40">
        <f>CPPIB.!E59</f>
        <v>114674</v>
      </c>
      <c r="CF63" s="234">
        <f t="shared" si="45"/>
        <v>2.8741409616526381E-2</v>
      </c>
      <c r="CG63" s="107">
        <f t="shared" si="46"/>
        <v>2.8336122662274948E-2</v>
      </c>
      <c r="CH63" s="393">
        <f t="shared" si="47"/>
        <v>1.0283361226622749</v>
      </c>
      <c r="CI63" s="107">
        <f>((CG63+1)*(CG62+1)*(CG61+1)*(CG60+1))-1</f>
        <v>9.5585329991571433E-2</v>
      </c>
      <c r="CJ63" s="107"/>
      <c r="CK63" s="107"/>
      <c r="CL63" s="107"/>
      <c r="CM63" s="107"/>
      <c r="CN63" s="410">
        <v>0.99570000000000003</v>
      </c>
      <c r="CO63" s="327" t="str">
        <f t="shared" si="51"/>
        <v>4Q2012/13</v>
      </c>
      <c r="CP63" s="187">
        <f t="shared" si="60"/>
        <v>194763.48297680024</v>
      </c>
      <c r="CQ63" s="187">
        <f>CP63+CP62+CP61+CP60</f>
        <v>740209.59137019771</v>
      </c>
      <c r="CR63" s="187">
        <f t="shared" si="61"/>
        <v>21437.179873455858</v>
      </c>
      <c r="CS63" s="40">
        <f t="shared" si="62"/>
        <v>173326.30310334437</v>
      </c>
      <c r="CT63" s="40">
        <f>CS63+CS62+CS61+CS60</f>
        <v>670545.05523289926</v>
      </c>
      <c r="CU63" s="40">
        <f t="shared" si="63"/>
        <v>115169.22767901978</v>
      </c>
      <c r="CV63" s="40">
        <f>CU63+CU62+CU61+CU60</f>
        <v>460132.23157306726</v>
      </c>
      <c r="CW63" s="76">
        <f t="shared" si="48"/>
        <v>1.6200992159832728E-2</v>
      </c>
      <c r="CX63" s="420">
        <f t="shared" si="49"/>
        <v>1.6200992159832728E-2</v>
      </c>
      <c r="CY63" s="205"/>
      <c r="CZ63" s="205"/>
      <c r="DA63" s="205"/>
      <c r="DB63" s="107">
        <f>((CX75+1)*(CX74+1)*(CX73+1)*(CX72+1))-1</f>
        <v>-3.7494525570549109E-2</v>
      </c>
      <c r="DC63" s="205"/>
      <c r="DD63" s="205"/>
      <c r="DE63" s="421">
        <f t="shared" si="29"/>
        <v>1.0119416637024239</v>
      </c>
      <c r="DF63" s="321">
        <v>0.99570000000000003</v>
      </c>
      <c r="DG63" s="40">
        <f>CPPIB.!K59</f>
        <v>199</v>
      </c>
      <c r="DH63" s="40">
        <f>CPPIB.!L59</f>
        <v>39</v>
      </c>
      <c r="DI63" s="40">
        <f>CPPIB.!M59</f>
        <v>139</v>
      </c>
      <c r="DJ63" s="40">
        <f t="shared" si="22"/>
        <v>377</v>
      </c>
      <c r="DK63" s="40">
        <f t="shared" si="70"/>
        <v>2.1844814898511426E-3</v>
      </c>
      <c r="DL63" s="326" t="str">
        <f t="shared" si="52"/>
        <v>4Q2012/13</v>
      </c>
      <c r="DM63" s="40">
        <f t="shared" si="38"/>
        <v>199.85939540022093</v>
      </c>
      <c r="DN63" s="40">
        <f t="shared" si="77"/>
        <v>39.168424224163907</v>
      </c>
      <c r="DO63" s="40">
        <f t="shared" si="25"/>
        <v>139.60028120919955</v>
      </c>
      <c r="DP63" s="40">
        <f t="shared" si="78"/>
        <v>378.62810083358443</v>
      </c>
      <c r="DQ63" s="40">
        <f t="shared" si="30"/>
        <v>2.1844814898511426E-3</v>
      </c>
    </row>
    <row r="64" spans="1:121">
      <c r="A64" s="321" t="s">
        <v>38</v>
      </c>
      <c r="B64" s="40">
        <f>NBIM!V63</f>
        <v>4330006</v>
      </c>
      <c r="C64" s="40">
        <f>NBIM!W63</f>
        <v>149016</v>
      </c>
      <c r="D64" s="40">
        <f t="shared" si="71"/>
        <v>4180990</v>
      </c>
      <c r="E64" s="40">
        <f t="shared" si="54"/>
        <v>3.5641319400429083E-2</v>
      </c>
      <c r="F64" s="40">
        <f>NBIM!Z63</f>
        <v>3120141</v>
      </c>
      <c r="H64" s="107">
        <f t="shared" si="72"/>
        <v>7.9980836883806639E-2</v>
      </c>
      <c r="I64" s="107">
        <f t="shared" si="64"/>
        <v>3.0495216882572507E-2</v>
      </c>
      <c r="J64" s="234">
        <f t="shared" si="73"/>
        <v>7.6943297352603371E-2</v>
      </c>
      <c r="K64" s="321" t="s">
        <v>38</v>
      </c>
      <c r="L64" s="50">
        <f t="shared" si="65"/>
        <v>742392.7989712815</v>
      </c>
      <c r="N64" s="50">
        <f t="shared" si="66"/>
        <v>25549.249892841832</v>
      </c>
      <c r="O64" s="384">
        <f t="shared" si="55"/>
        <v>716843.54907843971</v>
      </c>
      <c r="P64" s="384"/>
      <c r="Q64" s="384">
        <f t="shared" si="56"/>
        <v>534957.73681954562</v>
      </c>
      <c r="R64" s="384"/>
      <c r="S64" s="396">
        <f t="shared" si="74"/>
        <v>2.7596859938547214E-2</v>
      </c>
      <c r="T64" s="384">
        <f t="shared" si="67"/>
        <v>1.0769432973526034</v>
      </c>
      <c r="U64" s="382">
        <f t="shared" si="75"/>
        <v>1.0480212030007636</v>
      </c>
      <c r="V64" s="107">
        <f t="shared" si="76"/>
        <v>2.7596859938547214E-2</v>
      </c>
      <c r="W64" s="205"/>
      <c r="X64" s="321">
        <v>5.8325000000000005</v>
      </c>
      <c r="Y64" s="321" t="s">
        <v>38</v>
      </c>
      <c r="Z64" s="40">
        <f>NBIM!AL63</f>
        <v>158</v>
      </c>
      <c r="AA64" s="40">
        <f>NBIM!AM63</f>
        <v>419</v>
      </c>
      <c r="AB64" s="40">
        <f t="shared" si="53"/>
        <v>577</v>
      </c>
      <c r="AC64" s="76">
        <f t="shared" si="57"/>
        <v>1.380055919770198E-4</v>
      </c>
      <c r="AD64" s="173">
        <f>NBIM!AQ63</f>
        <v>61</v>
      </c>
      <c r="AE64" s="321" t="s">
        <v>38</v>
      </c>
      <c r="AF64" s="40">
        <f t="shared" si="68"/>
        <v>27.089584226318042</v>
      </c>
      <c r="AG64" s="40">
        <f t="shared" si="79"/>
        <v>71.83883411915987</v>
      </c>
      <c r="AH64" s="40">
        <f t="shared" si="41"/>
        <v>98.928418345477908</v>
      </c>
      <c r="AI64" s="76">
        <f t="shared" si="58"/>
        <v>1.3800559197701978E-4</v>
      </c>
      <c r="AJ64" s="382">
        <f t="shared" si="44"/>
        <v>10.458636948135448</v>
      </c>
      <c r="AL64" s="321" t="s">
        <v>38</v>
      </c>
      <c r="AM64" s="91">
        <v>289552863697.16803</v>
      </c>
      <c r="AN64" s="92">
        <f t="shared" si="14"/>
        <v>3.6816655547832422E-2</v>
      </c>
      <c r="AO64" s="92">
        <f t="shared" si="15"/>
        <v>3.6155110865538839E-2</v>
      </c>
      <c r="AP64" s="401">
        <f>APG!B64</f>
        <v>3.5715799061705897E-2</v>
      </c>
      <c r="AQ64" s="129">
        <f t="shared" si="4"/>
        <v>1.0357157990617059</v>
      </c>
      <c r="AR64" s="405">
        <f t="shared" si="69"/>
        <v>8.7694412746850414E-3</v>
      </c>
      <c r="AS64" s="55"/>
      <c r="AT64" s="55"/>
      <c r="AU64" s="55"/>
      <c r="AV64" s="129"/>
      <c r="AW64" s="188"/>
      <c r="AX64" s="55"/>
      <c r="AY64" s="55"/>
      <c r="AZ64" s="55"/>
      <c r="BA64" s="55"/>
      <c r="BB64" s="55"/>
      <c r="BC64" s="92"/>
      <c r="BD64" s="92"/>
      <c r="BE64" s="92"/>
      <c r="BF64" s="92"/>
      <c r="BG64" s="58"/>
      <c r="BH64" s="92"/>
      <c r="BI64" s="92"/>
      <c r="BJ64" s="409">
        <f t="shared" si="26"/>
        <v>1.0267121075287247</v>
      </c>
      <c r="BK64" s="410">
        <v>0.778756</v>
      </c>
      <c r="BL64" s="103">
        <f t="shared" si="59"/>
        <v>371814616769.78156</v>
      </c>
      <c r="BM64" s="107">
        <f t="shared" si="27"/>
        <v>9.8416566289736274E-3</v>
      </c>
      <c r="BN64" s="107">
        <f t="shared" si="28"/>
        <v>9.7935429477091843E-3</v>
      </c>
      <c r="BO64" s="107"/>
      <c r="BP64" s="107"/>
      <c r="BQ64" s="107"/>
      <c r="BR64" s="107"/>
      <c r="BS64" s="107"/>
      <c r="BT64" s="107"/>
      <c r="BU64" s="76"/>
      <c r="BV64" s="76"/>
      <c r="BW64" s="76"/>
      <c r="CA64" s="321" t="str">
        <f>CPPIB.!A60</f>
        <v>1Q2013/13</v>
      </c>
      <c r="CB64" s="50">
        <f>CPPIB.!B60</f>
        <v>208971</v>
      </c>
      <c r="CC64" s="50">
        <f>CPPIB.!C60</f>
        <v>28383</v>
      </c>
      <c r="CD64" s="40">
        <f>CPPIB.!D60</f>
        <v>183264</v>
      </c>
      <c r="CE64" s="40">
        <f>CPPIB.!E60</f>
        <v>117731</v>
      </c>
      <c r="CF64" s="234">
        <f t="shared" si="45"/>
        <v>4.4187946529455679E-2</v>
      </c>
      <c r="CG64" s="107">
        <f t="shared" si="46"/>
        <v>4.3239498669173183E-2</v>
      </c>
      <c r="CH64" s="393">
        <f t="shared" si="47"/>
        <v>1.0432394986691731</v>
      </c>
      <c r="CI64" s="107"/>
      <c r="CJ64" s="107"/>
      <c r="CK64" s="107"/>
      <c r="CL64" s="107"/>
      <c r="CM64" s="107"/>
      <c r="CN64" s="410">
        <v>1.0159500000000001</v>
      </c>
      <c r="CO64" s="327" t="str">
        <f t="shared" si="51"/>
        <v>1Q2013/13</v>
      </c>
      <c r="CP64" s="187">
        <f t="shared" si="60"/>
        <v>205690.24066144985</v>
      </c>
      <c r="CQ64" s="187"/>
      <c r="CR64" s="187">
        <f t="shared" si="61"/>
        <v>27937.39849402037</v>
      </c>
      <c r="CS64" s="40">
        <f t="shared" si="62"/>
        <v>180386.83006053444</v>
      </c>
      <c r="CU64" s="40">
        <f t="shared" si="63"/>
        <v>115882.67139130861</v>
      </c>
      <c r="CW64" s="76">
        <f t="shared" si="48"/>
        <v>2.244556210925297E-2</v>
      </c>
      <c r="CX64" s="420">
        <f t="shared" si="49"/>
        <v>2.244556210925297E-2</v>
      </c>
      <c r="CY64" s="205">
        <f>((CX61+1)*(1+CX62)*(1+CX63)*(1+CX64))-1</f>
        <v>7.915123502016308E-2</v>
      </c>
      <c r="CZ64" s="205"/>
      <c r="DA64" s="205"/>
      <c r="DB64" s="107"/>
      <c r="DC64" s="205"/>
      <c r="DD64" s="205"/>
      <c r="DE64" s="421">
        <f t="shared" si="29"/>
        <v>1.0203374510394698</v>
      </c>
      <c r="DF64" s="321">
        <v>1.0159500000000001</v>
      </c>
      <c r="DG64" s="40">
        <f>CPPIB.!K60</f>
        <v>203</v>
      </c>
      <c r="DH64" s="40">
        <f>CPPIB.!L60</f>
        <v>42</v>
      </c>
      <c r="DI64" s="40">
        <f>CPPIB.!M60</f>
        <v>112</v>
      </c>
      <c r="DJ64" s="40">
        <f t="shared" si="22"/>
        <v>357</v>
      </c>
      <c r="DK64" s="40">
        <f t="shared" si="70"/>
        <v>1.9480094290204295E-3</v>
      </c>
      <c r="DL64" s="326" t="str">
        <f t="shared" si="52"/>
        <v>1Q2013/13</v>
      </c>
      <c r="DM64" s="40">
        <f t="shared" si="38"/>
        <v>199.81298292238787</v>
      </c>
      <c r="DN64" s="40">
        <f t="shared" si="77"/>
        <v>41.340617156356117</v>
      </c>
      <c r="DO64" s="40">
        <f t="shared" si="25"/>
        <v>110.24164575028297</v>
      </c>
      <c r="DP64" s="40">
        <f t="shared" si="78"/>
        <v>351.39524582902698</v>
      </c>
      <c r="DQ64" s="40">
        <f t="shared" si="30"/>
        <v>1.9480094290204298E-3</v>
      </c>
    </row>
    <row r="65" spans="1:121">
      <c r="A65" s="321" t="s">
        <v>39</v>
      </c>
      <c r="B65" s="40">
        <f>NBIM!V64</f>
        <v>4604794</v>
      </c>
      <c r="C65" s="40">
        <f>NBIM!W64</f>
        <v>209537</v>
      </c>
      <c r="D65" s="40">
        <f t="shared" si="71"/>
        <v>4395257</v>
      </c>
      <c r="E65" s="40">
        <f t="shared" si="54"/>
        <v>4.7673435250771459E-2</v>
      </c>
      <c r="F65" s="40">
        <f>NBIM!Z64</f>
        <v>3178540</v>
      </c>
      <c r="H65" s="107">
        <f t="shared" si="72"/>
        <v>3.7280165702381574E-2</v>
      </c>
      <c r="I65" s="107">
        <f t="shared" si="64"/>
        <v>-9.1898090485436068E-3</v>
      </c>
      <c r="J65" s="234">
        <f t="shared" si="73"/>
        <v>3.6602062191548657E-2</v>
      </c>
      <c r="K65" s="321" t="s">
        <v>39</v>
      </c>
      <c r="L65" s="50">
        <f t="shared" si="65"/>
        <v>754136.30743279203</v>
      </c>
      <c r="N65" s="50">
        <f t="shared" si="66"/>
        <v>34316.292857084365</v>
      </c>
      <c r="O65" s="384">
        <f t="shared" si="55"/>
        <v>719820.01457570761</v>
      </c>
      <c r="P65" s="384"/>
      <c r="Q65" s="384">
        <f t="shared" si="56"/>
        <v>520555.84215654962</v>
      </c>
      <c r="R65" s="384"/>
      <c r="S65" s="396">
        <f t="shared" si="74"/>
        <v>-9.8375336375877698E-3</v>
      </c>
      <c r="T65" s="384">
        <f t="shared" si="67"/>
        <v>1.0366020621915486</v>
      </c>
      <c r="U65" s="382">
        <f t="shared" si="75"/>
        <v>1.0469009858551221</v>
      </c>
      <c r="V65" s="107">
        <f t="shared" si="76"/>
        <v>-9.8375336375877698E-3</v>
      </c>
      <c r="W65" s="205"/>
      <c r="X65" s="321">
        <v>6.1060500000000006</v>
      </c>
      <c r="Y65" s="321" t="s">
        <v>39</v>
      </c>
      <c r="Z65" s="40">
        <f>NBIM!AL64</f>
        <v>341</v>
      </c>
      <c r="AA65" s="40">
        <f>NBIM!AM64</f>
        <v>448</v>
      </c>
      <c r="AB65" s="40">
        <f t="shared" si="53"/>
        <v>789</v>
      </c>
      <c r="AC65" s="76">
        <f t="shared" si="57"/>
        <v>1.7951168725742318E-4</v>
      </c>
      <c r="AD65" s="173">
        <f>NBIM!AQ64</f>
        <v>244</v>
      </c>
      <c r="AE65" s="321" t="s">
        <v>39</v>
      </c>
      <c r="AF65" s="40">
        <f t="shared" si="68"/>
        <v>55.846250849567227</v>
      </c>
      <c r="AG65" s="40">
        <f t="shared" si="79"/>
        <v>73.369854488580984</v>
      </c>
      <c r="AH65" s="40">
        <f t="shared" si="41"/>
        <v>129.21610533814822</v>
      </c>
      <c r="AI65" s="76">
        <f t="shared" si="58"/>
        <v>1.7951168725742318E-4</v>
      </c>
      <c r="AJ65" s="382">
        <f t="shared" si="44"/>
        <v>39.960367176816433</v>
      </c>
      <c r="AL65" s="321" t="s">
        <v>39</v>
      </c>
      <c r="AM65" s="91">
        <v>284539939088.91998</v>
      </c>
      <c r="AN65" s="92">
        <f t="shared" si="14"/>
        <v>-1.7312640407835422E-2</v>
      </c>
      <c r="AO65" s="92">
        <f t="shared" si="15"/>
        <v>-1.7464256633123437E-2</v>
      </c>
      <c r="AP65" s="401">
        <f>APG!B65</f>
        <v>-1.8909494554289401E-2</v>
      </c>
      <c r="AQ65" s="129">
        <f t="shared" si="4"/>
        <v>0.98109050544571064</v>
      </c>
      <c r="AR65" s="405">
        <f t="shared" si="69"/>
        <v>-6.8760494217233736E-3</v>
      </c>
      <c r="AS65" s="55"/>
      <c r="AT65" s="55"/>
      <c r="AU65" s="55"/>
      <c r="AV65" s="129"/>
      <c r="AW65" s="188"/>
      <c r="AX65" s="55"/>
      <c r="AY65" s="55"/>
      <c r="AZ65" s="55"/>
      <c r="BA65" s="55"/>
      <c r="BB65" s="55"/>
      <c r="BC65" s="92"/>
      <c r="BD65" s="92"/>
      <c r="BE65" s="92"/>
      <c r="BF65" s="92"/>
      <c r="BG65" s="58"/>
      <c r="BH65" s="92"/>
      <c r="BI65" s="92"/>
      <c r="BJ65" s="409">
        <f t="shared" si="26"/>
        <v>0.98788323942287448</v>
      </c>
      <c r="BK65" s="410">
        <v>0.76932</v>
      </c>
      <c r="BL65" s="103">
        <f t="shared" si="59"/>
        <v>369859017169.60431</v>
      </c>
      <c r="BM65" s="107">
        <f t="shared" si="27"/>
        <v>-5.2596092568036878E-3</v>
      </c>
      <c r="BN65" s="107">
        <f t="shared" si="28"/>
        <v>-5.2734896934117361E-3</v>
      </c>
      <c r="BO65" s="107"/>
      <c r="BP65" s="107"/>
      <c r="BQ65" s="107"/>
      <c r="BR65" s="107"/>
      <c r="BS65" s="107"/>
      <c r="BT65" s="107"/>
      <c r="BU65" s="76"/>
      <c r="BV65" s="76"/>
      <c r="BW65" s="76"/>
      <c r="CA65" s="321" t="str">
        <f>CPPIB.!A61</f>
        <v>2Q2013/14</v>
      </c>
      <c r="CB65" s="50">
        <f>CPPIB.!B61</f>
        <v>230393</v>
      </c>
      <c r="CC65" s="50">
        <f>CPPIB.!C61</f>
        <v>41455</v>
      </c>
      <c r="CD65" s="40">
        <f>CPPIB.!D61</f>
        <v>188938</v>
      </c>
      <c r="CE65" s="40">
        <f>CPPIB.!E61</f>
        <v>121527</v>
      </c>
      <c r="CF65" s="234">
        <f t="shared" si="45"/>
        <v>1.0247511786275476E-2</v>
      </c>
      <c r="CG65" s="107">
        <f t="shared" si="46"/>
        <v>1.0195362005113439E-2</v>
      </c>
      <c r="CH65" s="393">
        <f t="shared" si="47"/>
        <v>1.0101953620051134</v>
      </c>
      <c r="CI65" s="107"/>
      <c r="CJ65" s="107"/>
      <c r="CK65" s="107"/>
      <c r="CL65" s="107"/>
      <c r="CM65" s="107"/>
      <c r="CN65" s="410">
        <v>1.0549500000000001</v>
      </c>
      <c r="CO65" s="327" t="str">
        <f t="shared" si="51"/>
        <v>2Q2013/14</v>
      </c>
      <c r="CP65" s="187">
        <f t="shared" si="60"/>
        <v>218392.34086923549</v>
      </c>
      <c r="CQ65" s="187"/>
      <c r="CR65" s="187">
        <f t="shared" si="61"/>
        <v>39295.701218067203</v>
      </c>
      <c r="CS65" s="40">
        <f t="shared" si="62"/>
        <v>179096.63965116828</v>
      </c>
      <c r="CU65" s="40">
        <f t="shared" si="63"/>
        <v>115196.92876439641</v>
      </c>
      <c r="CW65" s="76">
        <f t="shared" si="48"/>
        <v>-2.7150122727053416E-2</v>
      </c>
      <c r="CX65" s="420">
        <f t="shared" si="49"/>
        <v>-2.7150122727053416E-2</v>
      </c>
      <c r="CY65" s="205"/>
      <c r="CZ65" s="205"/>
      <c r="DA65" s="205"/>
      <c r="DB65" s="107"/>
      <c r="DC65" s="205"/>
      <c r="DD65" s="205"/>
      <c r="DE65" s="421">
        <f t="shared" si="29"/>
        <v>1.0383877159309021</v>
      </c>
      <c r="DF65" s="321">
        <v>1.0549500000000001</v>
      </c>
      <c r="DG65" s="40">
        <f>CPPIB.!K61</f>
        <v>219</v>
      </c>
      <c r="DH65" s="40">
        <f>CPPIB.!L61</f>
        <v>37</v>
      </c>
      <c r="DI65" s="40">
        <f>CPPIB.!M61</f>
        <v>125</v>
      </c>
      <c r="DJ65" s="40">
        <f t="shared" si="22"/>
        <v>381</v>
      </c>
      <c r="DK65" s="40">
        <f t="shared" si="70"/>
        <v>2.0165345245530281E-3</v>
      </c>
      <c r="DL65" s="326" t="str">
        <f t="shared" si="52"/>
        <v>2Q2013/14</v>
      </c>
      <c r="DM65" s="40">
        <f t="shared" si="38"/>
        <v>207.59277690885824</v>
      </c>
      <c r="DN65" s="40">
        <f t="shared" si="77"/>
        <v>35.07275226314043</v>
      </c>
      <c r="DO65" s="40">
        <f t="shared" si="25"/>
        <v>118.48902791601498</v>
      </c>
      <c r="DP65" s="40">
        <f t="shared" si="78"/>
        <v>361.15455708801363</v>
      </c>
      <c r="DQ65" s="40">
        <f t="shared" si="30"/>
        <v>2.0165345245530281E-3</v>
      </c>
    </row>
    <row r="66" spans="1:121">
      <c r="A66" s="321" t="s">
        <v>40</v>
      </c>
      <c r="B66" s="40">
        <f>NBIM!V65</f>
        <v>4886210</v>
      </c>
      <c r="C66" s="40">
        <f>NBIM!W65</f>
        <v>173906</v>
      </c>
      <c r="D66" s="40">
        <f t="shared" si="71"/>
        <v>4712304</v>
      </c>
      <c r="E66" s="40">
        <f t="shared" si="54"/>
        <v>3.6904664894285261E-2</v>
      </c>
      <c r="F66" s="40">
        <f>NBIM!Z65</f>
        <v>3237040</v>
      </c>
      <c r="H66" s="107">
        <f t="shared" si="72"/>
        <v>5.8824091515012666E-2</v>
      </c>
      <c r="I66" s="107">
        <f t="shared" si="64"/>
        <v>7.4985716256431578E-2</v>
      </c>
      <c r="J66" s="234">
        <f t="shared" si="73"/>
        <v>5.7158944715097436E-2</v>
      </c>
      <c r="K66" s="321" t="s">
        <v>40</v>
      </c>
      <c r="L66" s="50">
        <f t="shared" si="65"/>
        <v>812438.79120422318</v>
      </c>
      <c r="N66" s="50">
        <f t="shared" si="66"/>
        <v>28915.658644053703</v>
      </c>
      <c r="O66" s="384">
        <f t="shared" si="55"/>
        <v>783523.13256016956</v>
      </c>
      <c r="P66" s="384"/>
      <c r="Q66" s="384">
        <f t="shared" si="56"/>
        <v>538228.3742777569</v>
      </c>
      <c r="R66" s="384"/>
      <c r="S66" s="396">
        <f t="shared" si="74"/>
        <v>7.3295153074385277E-2</v>
      </c>
      <c r="T66" s="384">
        <f t="shared" si="67"/>
        <v>1.0571589447150975</v>
      </c>
      <c r="U66" s="382">
        <f t="shared" si="75"/>
        <v>0.98496573070970594</v>
      </c>
      <c r="V66" s="107">
        <f t="shared" si="76"/>
        <v>7.3295153074385277E-2</v>
      </c>
      <c r="W66" s="205"/>
      <c r="X66" s="321">
        <v>6.0142500000000005</v>
      </c>
      <c r="Y66" s="321" t="s">
        <v>40</v>
      </c>
      <c r="Z66" s="40">
        <f>NBIM!AL65</f>
        <v>113</v>
      </c>
      <c r="AA66" s="40">
        <f>NBIM!AM65</f>
        <v>476</v>
      </c>
      <c r="AB66" s="40">
        <f t="shared" si="53"/>
        <v>589</v>
      </c>
      <c r="AC66" s="76">
        <f t="shared" si="57"/>
        <v>1.2499193600412877E-4</v>
      </c>
      <c r="AD66" s="173">
        <f>NBIM!AQ65</f>
        <v>29</v>
      </c>
      <c r="AE66" s="321" t="s">
        <v>40</v>
      </c>
      <c r="AF66" s="40">
        <f t="shared" si="68"/>
        <v>18.788710146734836</v>
      </c>
      <c r="AG66" s="40">
        <f t="shared" si="79"/>
        <v>79.145363095980372</v>
      </c>
      <c r="AH66" s="40">
        <f t="shared" si="41"/>
        <v>97.934073242715215</v>
      </c>
      <c r="AI66" s="76">
        <f t="shared" si="58"/>
        <v>1.2499193600412877E-4</v>
      </c>
      <c r="AJ66" s="382">
        <f t="shared" si="44"/>
        <v>4.8218813650912411</v>
      </c>
      <c r="AL66" s="321" t="s">
        <v>40</v>
      </c>
      <c r="AM66" s="91">
        <v>291229765023.74597</v>
      </c>
      <c r="AN66" s="92">
        <f t="shared" si="14"/>
        <v>2.3511026101454835E-2</v>
      </c>
      <c r="AO66" s="92">
        <f t="shared" si="15"/>
        <v>2.3238898998604835E-2</v>
      </c>
      <c r="AP66" s="401">
        <f>APG!B66</f>
        <v>2.0868413751507699E-2</v>
      </c>
      <c r="AQ66" s="129">
        <f t="shared" si="4"/>
        <v>1.0208684137515076</v>
      </c>
      <c r="AR66" s="405">
        <f t="shared" si="69"/>
        <v>6.3122747785508526E-2</v>
      </c>
      <c r="AS66" s="55"/>
      <c r="AT66" s="55"/>
      <c r="AU66" s="55"/>
      <c r="AV66" s="129"/>
      <c r="AW66" s="188"/>
      <c r="AX66" s="55"/>
      <c r="AY66" s="55"/>
      <c r="AZ66" s="55"/>
      <c r="BA66" s="55"/>
      <c r="BB66" s="55"/>
      <c r="BC66" s="92"/>
      <c r="BD66" s="92"/>
      <c r="BE66" s="92"/>
      <c r="BF66" s="92"/>
      <c r="BG66" s="58"/>
      <c r="BH66" s="92"/>
      <c r="BI66" s="92"/>
      <c r="BJ66" s="409">
        <f t="shared" si="26"/>
        <v>0.96025451047678456</v>
      </c>
      <c r="BK66" s="410">
        <v>0.73874299999999993</v>
      </c>
      <c r="BL66" s="103">
        <f t="shared" si="59"/>
        <v>394223383536.28528</v>
      </c>
      <c r="BM66" s="107">
        <f t="shared" si="27"/>
        <v>6.5874739388896097E-2</v>
      </c>
      <c r="BN66" s="107">
        <f t="shared" si="28"/>
        <v>6.3795813575668714E-2</v>
      </c>
      <c r="BO66" s="107"/>
      <c r="BP66" s="107"/>
      <c r="BQ66" s="107"/>
      <c r="BR66" s="107"/>
      <c r="BS66" s="107"/>
      <c r="BT66" s="107"/>
      <c r="BU66" s="76"/>
      <c r="BV66" s="76"/>
      <c r="BW66" s="76"/>
      <c r="CA66" s="321" t="str">
        <f>CPPIB.!A62</f>
        <v>3Q2013/14</v>
      </c>
      <c r="CB66" s="50">
        <f>CPPIB.!B62</f>
        <v>226871</v>
      </c>
      <c r="CC66" s="50">
        <f>CPPIB.!C62</f>
        <v>34027</v>
      </c>
      <c r="CD66" s="40">
        <f>CPPIB.!D62</f>
        <v>192844</v>
      </c>
      <c r="CE66" s="40">
        <f>CPPIB.!E62</f>
        <v>122164</v>
      </c>
      <c r="CF66" s="234">
        <f t="shared" si="45"/>
        <v>1.7301972075495664E-2</v>
      </c>
      <c r="CG66" s="107">
        <f t="shared" si="46"/>
        <v>1.7153997354461464E-2</v>
      </c>
      <c r="CH66" s="393">
        <f t="shared" si="47"/>
        <v>1.0171539973544614</v>
      </c>
      <c r="CI66" s="107"/>
      <c r="CJ66" s="107"/>
      <c r="CK66" s="107"/>
      <c r="CL66" s="107"/>
      <c r="CM66" s="107"/>
      <c r="CN66" s="410">
        <v>1.0279</v>
      </c>
      <c r="CO66" s="327" t="str">
        <f t="shared" si="51"/>
        <v>3Q2013/14</v>
      </c>
      <c r="CP66" s="187">
        <f t="shared" si="60"/>
        <v>220713.10438758633</v>
      </c>
      <c r="CQ66" s="187"/>
      <c r="CR66" s="187">
        <f t="shared" si="61"/>
        <v>33103.414729059245</v>
      </c>
      <c r="CS66" s="40">
        <f t="shared" si="62"/>
        <v>187609.68965852709</v>
      </c>
      <c r="CU66" s="40">
        <f t="shared" si="63"/>
        <v>118848.13697830528</v>
      </c>
      <c r="CW66" s="76">
        <f t="shared" si="48"/>
        <v>4.3921207811157714E-2</v>
      </c>
      <c r="CX66" s="420">
        <f t="shared" si="49"/>
        <v>4.3921207811157714E-2</v>
      </c>
      <c r="CY66" s="205"/>
      <c r="CZ66" s="205"/>
      <c r="DA66" s="205"/>
      <c r="DB66" s="107"/>
      <c r="DC66" s="205"/>
      <c r="DD66" s="205"/>
      <c r="DE66" s="421">
        <f t="shared" si="29"/>
        <v>0.97435897435897434</v>
      </c>
      <c r="DF66" s="321">
        <v>1.0279</v>
      </c>
      <c r="DG66" s="40">
        <f>CPPIB.!K62</f>
        <v>212</v>
      </c>
      <c r="DH66" s="40">
        <f>CPPIB.!L62</f>
        <v>72</v>
      </c>
      <c r="DI66" s="40">
        <f>CPPIB.!M62</f>
        <v>100</v>
      </c>
      <c r="DJ66" s="40">
        <f t="shared" si="22"/>
        <v>384</v>
      </c>
      <c r="DK66" s="40">
        <f t="shared" si="70"/>
        <v>1.9912468108937795E-3</v>
      </c>
      <c r="DL66" s="326" t="str">
        <f t="shared" si="52"/>
        <v>3Q2013/14</v>
      </c>
      <c r="DM66" s="40">
        <f t="shared" si="38"/>
        <v>206.24574374939195</v>
      </c>
      <c r="DN66" s="40">
        <f t="shared" si="77"/>
        <v>70.045724292246319</v>
      </c>
      <c r="DO66" s="40">
        <f t="shared" si="25"/>
        <v>97.285728183675445</v>
      </c>
      <c r="DP66" s="40">
        <f t="shared" si="78"/>
        <v>373.57719622531374</v>
      </c>
      <c r="DQ66" s="40">
        <f t="shared" si="30"/>
        <v>1.9912468108937795E-3</v>
      </c>
    </row>
    <row r="67" spans="1:121">
      <c r="A67" s="321" t="s">
        <v>41</v>
      </c>
      <c r="B67" s="40">
        <f>NBIM!V66</f>
        <v>5163996</v>
      </c>
      <c r="C67" s="40">
        <f>NBIM!W66</f>
        <v>129150</v>
      </c>
      <c r="D67" s="40">
        <f t="shared" si="71"/>
        <v>5034846</v>
      </c>
      <c r="E67" s="40">
        <f t="shared" si="54"/>
        <v>2.5651231437863242E-2</v>
      </c>
      <c r="F67" s="40">
        <f>NBIM!Z66</f>
        <v>3298941</v>
      </c>
      <c r="H67" s="107">
        <f t="shared" si="72"/>
        <v>5.5310735470377015E-2</v>
      </c>
      <c r="I67" s="107">
        <f t="shared" si="64"/>
        <v>4.6161119988579635E-2</v>
      </c>
      <c r="J67" s="234">
        <f t="shared" si="73"/>
        <v>5.3835259551698801E-2</v>
      </c>
      <c r="K67" s="321" t="s">
        <v>41</v>
      </c>
      <c r="L67" s="50">
        <f t="shared" si="65"/>
        <v>851182.40932279511</v>
      </c>
      <c r="M67" s="50">
        <f>L67+L66+L65+L64</f>
        <v>3160150.3069310919</v>
      </c>
      <c r="N67" s="50">
        <f t="shared" si="66"/>
        <v>21287.818225273411</v>
      </c>
      <c r="O67" s="384">
        <f t="shared" si="55"/>
        <v>829894.59109752171</v>
      </c>
      <c r="P67" s="384">
        <f>(O67+O66+O65+O64)</f>
        <v>3050081.2873118389</v>
      </c>
      <c r="Q67" s="384">
        <f t="shared" si="56"/>
        <v>543765.0510561493</v>
      </c>
      <c r="R67" s="384">
        <f>Q67+Q66+Q65+Q64</f>
        <v>2137507.0043100016</v>
      </c>
      <c r="S67" s="396">
        <f t="shared" si="74"/>
        <v>4.4698436545951292E-2</v>
      </c>
      <c r="T67" s="384">
        <f t="shared" si="67"/>
        <v>1.0538352595516989</v>
      </c>
      <c r="U67" s="382">
        <f t="shared" si="75"/>
        <v>1.0087458951656483</v>
      </c>
      <c r="V67" s="107">
        <f t="shared" si="76"/>
        <v>4.4698436545951292E-2</v>
      </c>
      <c r="W67" s="205">
        <f>((1+V67)*(1+V66)*(1+V65)*(1+V64))-1</f>
        <v>0.1408783560914233</v>
      </c>
      <c r="X67" s="321">
        <v>6.0668500000000005</v>
      </c>
      <c r="Y67" s="321" t="s">
        <v>41</v>
      </c>
      <c r="Z67" s="40">
        <f>NBIM!AL66</f>
        <v>385</v>
      </c>
      <c r="AA67" s="40">
        <f>NBIM!AM66</f>
        <v>549</v>
      </c>
      <c r="AB67" s="40">
        <f t="shared" si="53"/>
        <v>934</v>
      </c>
      <c r="AC67" s="76">
        <f t="shared" si="57"/>
        <v>1.8550716347630098E-4</v>
      </c>
      <c r="AD67" s="173">
        <f>NBIM!AQ66</f>
        <v>350</v>
      </c>
      <c r="AE67" s="321" t="s">
        <v>41</v>
      </c>
      <c r="AF67" s="40">
        <f t="shared" si="68"/>
        <v>63.459620725747293</v>
      </c>
      <c r="AG67" s="40">
        <f t="shared" si="79"/>
        <v>90.491770853078606</v>
      </c>
      <c r="AH67" s="40">
        <f t="shared" si="41"/>
        <v>153.95139157882591</v>
      </c>
      <c r="AI67" s="76">
        <f t="shared" si="58"/>
        <v>1.8550716347630098E-4</v>
      </c>
      <c r="AJ67" s="382">
        <f t="shared" si="44"/>
        <v>57.6905642961339</v>
      </c>
      <c r="AL67" s="321" t="s">
        <v>41</v>
      </c>
      <c r="AM67" s="91">
        <v>298562039266.98999</v>
      </c>
      <c r="AN67" s="92">
        <f t="shared" si="14"/>
        <v>2.5176939735696902E-2</v>
      </c>
      <c r="AO67" s="92">
        <f t="shared" si="15"/>
        <v>2.486522182492764E-2</v>
      </c>
      <c r="AP67" s="401">
        <f>APG!B67</f>
        <v>2.3772106929297199E-2</v>
      </c>
      <c r="AQ67" s="129">
        <f t="shared" si="4"/>
        <v>1.0237721069292971</v>
      </c>
      <c r="AR67" s="405">
        <f t="shared" si="69"/>
        <v>4.2149377427629586E-2</v>
      </c>
      <c r="AS67" s="55">
        <f>AR64+AR65+AR66+AR67</f>
        <v>0.10716551706609978</v>
      </c>
      <c r="AT67" s="55"/>
      <c r="AU67" s="55"/>
      <c r="AV67" s="129"/>
      <c r="AW67" s="188"/>
      <c r="AX67" s="55"/>
      <c r="AY67" s="55"/>
      <c r="AZ67" s="55"/>
      <c r="BA67" s="55"/>
      <c r="BB67" s="55"/>
      <c r="BC67" s="92"/>
      <c r="BD67" s="92"/>
      <c r="BE67" s="92"/>
      <c r="BF67" s="92"/>
      <c r="BG67" s="58"/>
      <c r="BH67" s="92"/>
      <c r="BI67" s="92"/>
      <c r="BJ67" s="409">
        <f t="shared" si="26"/>
        <v>0.98236599196202201</v>
      </c>
      <c r="BK67" s="410">
        <v>0.72571599999999992</v>
      </c>
      <c r="BL67" s="103">
        <f t="shared" si="59"/>
        <v>411403412997.63269</v>
      </c>
      <c r="BM67" s="107">
        <f t="shared" si="27"/>
        <v>4.3579427752961086E-2</v>
      </c>
      <c r="BN67" s="107">
        <f t="shared" si="28"/>
        <v>4.2656561315881344E-2</v>
      </c>
      <c r="BO67" s="107"/>
      <c r="BP67" s="107"/>
      <c r="BQ67" s="107"/>
      <c r="BR67" s="107"/>
      <c r="BS67" s="107"/>
      <c r="BT67" s="107"/>
      <c r="BU67" s="76"/>
      <c r="BV67" s="76"/>
      <c r="BW67" s="76"/>
      <c r="CA67" s="321" t="str">
        <f>CPPIB.!A63</f>
        <v>4Q2013/14</v>
      </c>
      <c r="CB67" s="50">
        <f>CPPIB.!B63</f>
        <v>241766</v>
      </c>
      <c r="CC67" s="50">
        <f>CPPIB.!C63</f>
        <v>40273</v>
      </c>
      <c r="CD67" s="40">
        <f>CPPIB.!D63</f>
        <v>201493</v>
      </c>
      <c r="CE67" s="40">
        <f>CPPIB.!E63</f>
        <v>119701</v>
      </c>
      <c r="CF67" s="234">
        <f t="shared" si="45"/>
        <v>5.7621704590238743E-2</v>
      </c>
      <c r="CG67" s="107">
        <f t="shared" si="46"/>
        <v>5.6022712399253792E-2</v>
      </c>
      <c r="CH67" s="393">
        <f t="shared" si="47"/>
        <v>1.0560227123992538</v>
      </c>
      <c r="CI67" s="107">
        <f>((CG67+1)*(CG66+1)*(CG65+1)*(CG64+1))-1</f>
        <v>0.13200764818831034</v>
      </c>
      <c r="CJ67" s="107"/>
      <c r="CK67" s="107"/>
      <c r="CL67" s="107"/>
      <c r="CM67" s="107"/>
      <c r="CN67" s="410">
        <v>1.0625</v>
      </c>
      <c r="CO67" s="327" t="str">
        <f t="shared" ref="CO67:CO79" si="80">CA67</f>
        <v>4Q2013/14</v>
      </c>
      <c r="CP67" s="187">
        <f t="shared" si="60"/>
        <v>227544.4705882353</v>
      </c>
      <c r="CQ67" s="187">
        <f>CP67+CP66+CP65+CP64</f>
        <v>872340.15650650696</v>
      </c>
      <c r="CR67" s="187">
        <f t="shared" si="61"/>
        <v>37904</v>
      </c>
      <c r="CS67" s="40">
        <f t="shared" si="62"/>
        <v>189640.4705882353</v>
      </c>
      <c r="CT67" s="40">
        <f>CS67+CS66+CS65+CS64</f>
        <v>736733.62995846511</v>
      </c>
      <c r="CU67" s="40">
        <f t="shared" si="63"/>
        <v>112659.76470588235</v>
      </c>
      <c r="CV67" s="40">
        <f>CU67+CU66+CU65+CU64</f>
        <v>462587.50183989265</v>
      </c>
      <c r="CW67" s="76">
        <f t="shared" si="48"/>
        <v>2.16336433648876E-2</v>
      </c>
      <c r="CX67" s="420">
        <f t="shared" si="49"/>
        <v>2.16336433648876E-2</v>
      </c>
      <c r="CY67" s="205"/>
      <c r="CZ67" s="205"/>
      <c r="DA67" s="205"/>
      <c r="DB67" s="107">
        <f>((CX79+1)*(CX78+1)*(CX77+1)*(CX76+1))-1</f>
        <v>7.7382946542327913E-2</v>
      </c>
      <c r="DC67" s="205"/>
      <c r="DD67" s="205"/>
      <c r="DE67" s="421">
        <f t="shared" si="29"/>
        <v>1.0336608619515517</v>
      </c>
      <c r="DF67" s="321">
        <v>1.0625</v>
      </c>
      <c r="DG67" s="40">
        <f>CPPIB.!K63</f>
        <v>273</v>
      </c>
      <c r="DH67" s="40">
        <f>CPPIB.!L63</f>
        <v>51</v>
      </c>
      <c r="DI67" s="40">
        <f>CPPIB.!M63</f>
        <v>143</v>
      </c>
      <c r="DJ67" s="40">
        <f t="shared" si="22"/>
        <v>467</v>
      </c>
      <c r="DK67" s="40">
        <f t="shared" si="70"/>
        <v>2.3176983815814942E-3</v>
      </c>
      <c r="DL67" s="326" t="str">
        <f t="shared" ref="DL67:DL78" si="81">CA67</f>
        <v>4Q2013/14</v>
      </c>
      <c r="DM67" s="40">
        <f t="shared" si="38"/>
        <v>256.94117647058823</v>
      </c>
      <c r="DN67" s="40">
        <f t="shared" si="77"/>
        <v>48</v>
      </c>
      <c r="DO67" s="40">
        <f t="shared" si="25"/>
        <v>134.58823529411765</v>
      </c>
      <c r="DP67" s="40">
        <f t="shared" si="78"/>
        <v>439.52941176470586</v>
      </c>
      <c r="DQ67" s="40">
        <f t="shared" si="30"/>
        <v>2.3176983815814938E-3</v>
      </c>
    </row>
    <row r="68" spans="1:121">
      <c r="A68" s="321" t="s">
        <v>42</v>
      </c>
      <c r="B68" s="40">
        <f>NBIM!V67</f>
        <v>5276134</v>
      </c>
      <c r="C68" s="40">
        <f>NBIM!W67</f>
        <v>167374</v>
      </c>
      <c r="D68" s="40">
        <f t="shared" ref="D68:D77" si="82">B68-C68</f>
        <v>5108760</v>
      </c>
      <c r="E68" s="40">
        <f t="shared" si="54"/>
        <v>3.2762157548994274E-2</v>
      </c>
      <c r="F68" s="40">
        <f>NBIM!Z67</f>
        <v>3343041</v>
      </c>
      <c r="H68" s="107">
        <f t="shared" si="72"/>
        <v>5.9215316615444102E-3</v>
      </c>
      <c r="I68" s="107">
        <f t="shared" si="64"/>
        <v>1.9329226306919134E-2</v>
      </c>
      <c r="J68" s="234">
        <f t="shared" si="73"/>
        <v>5.9040682989260585E-3</v>
      </c>
      <c r="K68" s="321" t="s">
        <v>42</v>
      </c>
      <c r="L68" s="50">
        <f t="shared" si="65"/>
        <v>881257.7145672742</v>
      </c>
      <c r="N68" s="50">
        <f t="shared" si="66"/>
        <v>27956.005044220437</v>
      </c>
      <c r="O68" s="384">
        <f t="shared" si="55"/>
        <v>853301.70952305384</v>
      </c>
      <c r="P68" s="384"/>
      <c r="Q68" s="384">
        <f t="shared" si="56"/>
        <v>558378.66729023471</v>
      </c>
      <c r="R68" s="384"/>
      <c r="S68" s="396">
        <f t="shared" si="74"/>
        <v>1.9311530179193293E-2</v>
      </c>
      <c r="T68" s="384">
        <f t="shared" si="67"/>
        <v>1.005904068298926</v>
      </c>
      <c r="U68" s="382">
        <f t="shared" si="75"/>
        <v>0.98684655134048149</v>
      </c>
      <c r="V68" s="107">
        <f t="shared" si="76"/>
        <v>1.9311530179193293E-2</v>
      </c>
      <c r="W68" s="205"/>
      <c r="X68" s="321">
        <v>5.9870500000000009</v>
      </c>
      <c r="Y68" s="321" t="s">
        <v>42</v>
      </c>
      <c r="Z68" s="40">
        <f>NBIM!AL67</f>
        <v>422</v>
      </c>
      <c r="AA68" s="40">
        <f>NBIM!AM67</f>
        <v>512</v>
      </c>
      <c r="AB68" s="40">
        <f t="shared" ref="AB68:AB78" si="83">AA68+Z68</f>
        <v>934</v>
      </c>
      <c r="AC68" s="76">
        <f t="shared" si="57"/>
        <v>1.8282322912017789E-4</v>
      </c>
      <c r="AD68" s="173">
        <f>NBIM!AQ67</f>
        <v>315</v>
      </c>
      <c r="AE68" s="321" t="s">
        <v>42</v>
      </c>
      <c r="AF68" s="40">
        <f t="shared" si="68"/>
        <v>70.485464460794532</v>
      </c>
      <c r="AG68" s="40">
        <f t="shared" si="79"/>
        <v>85.517909487978201</v>
      </c>
      <c r="AH68" s="40">
        <f t="shared" si="41"/>
        <v>156.00337394877272</v>
      </c>
      <c r="AI68" s="76">
        <f t="shared" si="58"/>
        <v>1.8282322912017786E-4</v>
      </c>
      <c r="AJ68" s="382">
        <f t="shared" si="44"/>
        <v>52.613557595142844</v>
      </c>
      <c r="AL68" s="321" t="s">
        <v>42</v>
      </c>
      <c r="AM68" s="91">
        <v>308022494104.35699</v>
      </c>
      <c r="AN68" s="92">
        <f t="shared" si="14"/>
        <v>3.1686730371328187E-2</v>
      </c>
      <c r="AO68" s="92">
        <f t="shared" si="15"/>
        <v>3.1195065135234255E-2</v>
      </c>
      <c r="AP68" s="401">
        <f>APG!B68</f>
        <v>3.05752897374445E-2</v>
      </c>
      <c r="AQ68" s="129">
        <f t="shared" si="4"/>
        <v>1.0305752897374445</v>
      </c>
      <c r="AR68" s="405">
        <f t="shared" si="69"/>
        <v>3.0799711349195125E-2</v>
      </c>
      <c r="AS68" s="55"/>
      <c r="AT68" s="55"/>
      <c r="AU68" s="55"/>
      <c r="AV68" s="129"/>
      <c r="AW68" s="188"/>
      <c r="AX68" s="55"/>
      <c r="AY68" s="55"/>
      <c r="AZ68" s="55"/>
      <c r="BA68" s="55"/>
      <c r="BB68" s="55"/>
      <c r="BC68" s="92"/>
      <c r="BD68" s="92"/>
      <c r="BE68" s="92"/>
      <c r="BF68" s="92"/>
      <c r="BG68" s="58"/>
      <c r="BH68" s="92"/>
      <c r="BI68" s="92"/>
      <c r="BJ68" s="409">
        <f t="shared" si="26"/>
        <v>0.99978228397885671</v>
      </c>
      <c r="BK68" s="410">
        <v>0.72555799999999993</v>
      </c>
      <c r="BL68" s="103">
        <f t="shared" si="59"/>
        <v>424531869408.58899</v>
      </c>
      <c r="BM68" s="107">
        <f t="shared" si="27"/>
        <v>3.1911394014205285E-2</v>
      </c>
      <c r="BN68" s="107">
        <f t="shared" si="28"/>
        <v>3.141280485995087E-2</v>
      </c>
      <c r="BO68" s="107"/>
      <c r="BP68" s="107"/>
      <c r="BQ68" s="107"/>
      <c r="BR68" s="107"/>
      <c r="BS68" s="107"/>
      <c r="BT68" s="107"/>
      <c r="BU68" s="76"/>
      <c r="BV68" s="76"/>
      <c r="BW68" s="76"/>
      <c r="CA68" s="321" t="str">
        <f>CPPIB.!A64</f>
        <v>1Q2014/14</v>
      </c>
      <c r="CB68" s="50">
        <f>CPPIB.!B64</f>
        <v>252276</v>
      </c>
      <c r="CC68" s="50">
        <f>CPPIB.!C64</f>
        <v>33184</v>
      </c>
      <c r="CD68" s="40">
        <f>CPPIB.!D64</f>
        <v>219092</v>
      </c>
      <c r="CE68" s="40">
        <f>CPPIB.!E64</f>
        <v>123425</v>
      </c>
      <c r="CF68" s="234">
        <f t="shared" si="45"/>
        <v>6.8860952985959845E-2</v>
      </c>
      <c r="CG68" s="107">
        <f t="shared" si="46"/>
        <v>6.6593551539737922E-2</v>
      </c>
      <c r="CH68" s="393">
        <f t="shared" si="47"/>
        <v>1.066593551539738</v>
      </c>
      <c r="CI68" s="107"/>
      <c r="CJ68" s="107"/>
      <c r="CK68" s="107"/>
      <c r="CL68" s="107"/>
      <c r="CM68" s="107"/>
      <c r="CN68" s="410">
        <v>1.10375</v>
      </c>
      <c r="CO68" s="327" t="str">
        <f t="shared" si="80"/>
        <v>1Q2014/14</v>
      </c>
      <c r="CP68" s="187">
        <f t="shared" si="60"/>
        <v>228562.62740656853</v>
      </c>
      <c r="CQ68" s="187"/>
      <c r="CR68" s="187">
        <f t="shared" si="61"/>
        <v>30064.779161947903</v>
      </c>
      <c r="CS68" s="40">
        <f t="shared" si="62"/>
        <v>198497.8482446206</v>
      </c>
      <c r="CU68" s="40">
        <f t="shared" si="63"/>
        <v>111823.32955832389</v>
      </c>
      <c r="CW68" s="76">
        <f t="shared" si="48"/>
        <v>2.6732184381401236E-2</v>
      </c>
      <c r="CX68" s="420">
        <f t="shared" si="49"/>
        <v>2.6732184381401236E-2</v>
      </c>
      <c r="CY68" s="205">
        <f>((CX65+1)*(1+CX66)*(1+CX67)*(1+CX68))-1</f>
        <v>6.5285243331471454E-2</v>
      </c>
      <c r="CZ68" s="205"/>
      <c r="DA68" s="205"/>
      <c r="DB68" s="205"/>
      <c r="DC68" s="205"/>
      <c r="DD68" s="205"/>
      <c r="DE68" s="421">
        <f t="shared" si="29"/>
        <v>1.0388235294117647</v>
      </c>
      <c r="DF68" s="321">
        <v>1.10375</v>
      </c>
      <c r="DG68" s="40">
        <f>CPPIB.!K64</f>
        <v>243</v>
      </c>
      <c r="DH68" s="40">
        <f>CPPIB.!L64</f>
        <v>56</v>
      </c>
      <c r="DI68" s="40">
        <f>CPPIB.!M64</f>
        <v>208</v>
      </c>
      <c r="DJ68" s="40">
        <f t="shared" si="22"/>
        <v>507</v>
      </c>
      <c r="DK68" s="40">
        <f t="shared" si="70"/>
        <v>2.3140963613459188E-3</v>
      </c>
      <c r="DL68" s="326" t="str">
        <f t="shared" si="81"/>
        <v>1Q2014/14</v>
      </c>
      <c r="DM68" s="40">
        <f t="shared" si="38"/>
        <v>220.158550396376</v>
      </c>
      <c r="DN68" s="40">
        <f t="shared" si="77"/>
        <v>50.736126840317098</v>
      </c>
      <c r="DO68" s="40">
        <f t="shared" si="25"/>
        <v>188.44847112117779</v>
      </c>
      <c r="DP68" s="40">
        <f t="shared" si="78"/>
        <v>459.34314835787086</v>
      </c>
      <c r="DQ68" s="40">
        <f t="shared" si="30"/>
        <v>2.3140963613459183E-3</v>
      </c>
    </row>
    <row r="69" spans="1:121">
      <c r="A69" s="321" t="s">
        <v>43</v>
      </c>
      <c r="B69" s="40">
        <f>NBIM!V68</f>
        <v>5596828</v>
      </c>
      <c r="C69" s="40">
        <f>NBIM!W68</f>
        <v>120342</v>
      </c>
      <c r="D69" s="40">
        <f t="shared" si="82"/>
        <v>5476486</v>
      </c>
      <c r="E69" s="40">
        <f t="shared" ref="E69:E78" si="84">C69/D69</f>
        <v>2.1974309803768327E-2</v>
      </c>
      <c r="F69" s="40">
        <f>NBIM!Z68</f>
        <v>3387341</v>
      </c>
      <c r="H69" s="107">
        <f t="shared" ref="H69:H77" si="85">((D69-(F69-F68))/D68)-1</f>
        <v>6.3308121735998535E-2</v>
      </c>
      <c r="I69" s="107">
        <f t="shared" si="64"/>
        <v>3.7445837106971691E-2</v>
      </c>
      <c r="J69" s="234">
        <f t="shared" si="73"/>
        <v>6.1384917881412246E-2</v>
      </c>
      <c r="K69" s="321" t="s">
        <v>43</v>
      </c>
      <c r="L69" s="50">
        <f t="shared" si="65"/>
        <v>912085.13273470977</v>
      </c>
      <c r="N69" s="50">
        <f t="shared" si="66"/>
        <v>19611.492267327216</v>
      </c>
      <c r="O69" s="384">
        <f t="shared" si="55"/>
        <v>892473.64046738262</v>
      </c>
      <c r="P69" s="384"/>
      <c r="Q69" s="384">
        <f t="shared" si="56"/>
        <v>552016.8505451167</v>
      </c>
      <c r="R69" s="384"/>
      <c r="S69" s="396">
        <f t="shared" si="74"/>
        <v>3.5569410329010953E-2</v>
      </c>
      <c r="T69" s="384">
        <f t="shared" si="67"/>
        <v>1.0613849178814123</v>
      </c>
      <c r="U69" s="382">
        <f t="shared" si="75"/>
        <v>1.0249288046700795</v>
      </c>
      <c r="V69" s="107">
        <f t="shared" si="76"/>
        <v>3.5569410329010953E-2</v>
      </c>
      <c r="W69" s="205"/>
      <c r="X69" s="321">
        <v>6.1363000000000003</v>
      </c>
      <c r="Y69" s="321" t="s">
        <v>43</v>
      </c>
      <c r="Z69" s="40">
        <f>NBIM!AL68</f>
        <v>-55</v>
      </c>
      <c r="AA69" s="40">
        <f>NBIM!AM68</f>
        <v>490</v>
      </c>
      <c r="AB69" s="40">
        <f t="shared" si="83"/>
        <v>435</v>
      </c>
      <c r="AC69" s="76">
        <f t="shared" si="57"/>
        <v>7.9430496124704785E-5</v>
      </c>
      <c r="AD69" s="173">
        <f>NBIM!AQ68</f>
        <v>-188</v>
      </c>
      <c r="AE69" s="321" t="s">
        <v>43</v>
      </c>
      <c r="AF69" s="40">
        <f t="shared" si="68"/>
        <v>-8.9630559131724326</v>
      </c>
      <c r="AG69" s="40">
        <f t="shared" si="79"/>
        <v>79.852679953718038</v>
      </c>
      <c r="AH69" s="40">
        <f t="shared" si="41"/>
        <v>70.889624040545613</v>
      </c>
      <c r="AI69" s="76">
        <f t="shared" si="58"/>
        <v>7.9430496124704785E-5</v>
      </c>
      <c r="AJ69" s="382">
        <f t="shared" si="44"/>
        <v>-30.637354757753041</v>
      </c>
      <c r="AL69" s="321" t="s">
        <v>43</v>
      </c>
      <c r="AM69" s="91">
        <v>323674541034.44</v>
      </c>
      <c r="AN69" s="92">
        <f t="shared" si="14"/>
        <v>5.0814623054055819E-2</v>
      </c>
      <c r="AO69" s="92">
        <f t="shared" si="15"/>
        <v>4.9565694847813327E-2</v>
      </c>
      <c r="AP69" s="401">
        <f>APG!B69</f>
        <v>5.0328039398318203E-2</v>
      </c>
      <c r="AQ69" s="129">
        <f t="shared" ref="AQ69:AQ79" si="86">AP69+1</f>
        <v>1.0503280393983183</v>
      </c>
      <c r="AR69" s="405">
        <f t="shared" si="69"/>
        <v>4.3393728757311401E-2</v>
      </c>
      <c r="AS69" s="55"/>
      <c r="AT69" s="55"/>
      <c r="AU69" s="55"/>
      <c r="AV69" s="129"/>
      <c r="AW69" s="188"/>
      <c r="AX69" s="55"/>
      <c r="AY69" s="55"/>
      <c r="AZ69" s="55"/>
      <c r="BA69" s="55"/>
      <c r="BB69" s="55"/>
      <c r="BC69" s="92"/>
      <c r="BD69" s="92"/>
      <c r="BE69" s="92"/>
      <c r="BF69" s="92"/>
      <c r="BG69" s="58"/>
      <c r="BH69" s="92"/>
      <c r="BI69" s="92"/>
      <c r="BJ69" s="409">
        <f t="shared" si="26"/>
        <v>1.0066459194165043</v>
      </c>
      <c r="BK69" s="410">
        <v>0.73037999999999992</v>
      </c>
      <c r="BL69" s="103">
        <f t="shared" si="59"/>
        <v>443159096681.78217</v>
      </c>
      <c r="BM69" s="107">
        <f t="shared" si="27"/>
        <v>4.3877099966941335E-2</v>
      </c>
      <c r="BN69" s="107">
        <f t="shared" si="28"/>
        <v>4.2941762192685327E-2</v>
      </c>
      <c r="BO69" s="107"/>
      <c r="BP69" s="107"/>
      <c r="BQ69" s="107"/>
      <c r="BR69" s="107"/>
      <c r="BS69" s="107"/>
      <c r="BT69" s="107"/>
      <c r="BU69" s="76"/>
      <c r="BV69" s="76"/>
      <c r="BW69" s="76"/>
      <c r="CA69" s="321" t="str">
        <f>CPPIB.!A65</f>
        <v>2Q2014/15</v>
      </c>
      <c r="CB69" s="50">
        <f>CPPIB.!B65</f>
        <v>268392</v>
      </c>
      <c r="CC69" s="50">
        <f>CPPIB.!C65</f>
        <v>41592</v>
      </c>
      <c r="CD69" s="40">
        <f>CPPIB.!D65</f>
        <v>226800</v>
      </c>
      <c r="CE69" s="40">
        <f>CPPIB.!E65</f>
        <v>127723</v>
      </c>
      <c r="CF69" s="234">
        <f t="shared" si="45"/>
        <v>1.5564237854417406E-2</v>
      </c>
      <c r="CG69" s="107">
        <f t="shared" si="46"/>
        <v>1.5444357402895504E-2</v>
      </c>
      <c r="CH69" s="393">
        <f t="shared" si="47"/>
        <v>1.0154443574028955</v>
      </c>
      <c r="CI69" s="107"/>
      <c r="CJ69" s="107"/>
      <c r="CK69" s="107"/>
      <c r="CL69" s="107"/>
      <c r="CM69" s="107"/>
      <c r="CN69" s="410">
        <v>1.06515</v>
      </c>
      <c r="CO69" s="327" t="str">
        <f t="shared" si="80"/>
        <v>2Q2014/15</v>
      </c>
      <c r="CP69" s="187">
        <f t="shared" si="60"/>
        <v>251975.77805942824</v>
      </c>
      <c r="CQ69" s="187"/>
      <c r="CR69" s="187">
        <f t="shared" si="61"/>
        <v>39048.021405435851</v>
      </c>
      <c r="CS69" s="40">
        <f t="shared" si="62"/>
        <v>212927.7566539924</v>
      </c>
      <c r="CU69" s="40">
        <f t="shared" si="63"/>
        <v>119910.81068394122</v>
      </c>
      <c r="CW69" s="76">
        <f t="shared" si="48"/>
        <v>5.2243073260522799E-2</v>
      </c>
      <c r="CX69" s="420">
        <f t="shared" si="49"/>
        <v>5.2243073260522799E-2</v>
      </c>
      <c r="CY69" s="205"/>
      <c r="CZ69" s="205"/>
      <c r="DA69" s="205"/>
      <c r="DB69" s="205"/>
      <c r="DC69" s="205"/>
      <c r="DD69" s="205"/>
      <c r="DE69" s="421">
        <f t="shared" si="29"/>
        <v>0.96502831257078148</v>
      </c>
      <c r="DF69" s="321">
        <v>1.06515</v>
      </c>
      <c r="DG69" s="40">
        <f>CPPIB.!K65</f>
        <v>222</v>
      </c>
      <c r="DH69" s="40">
        <f>CPPIB.!L65</f>
        <v>64</v>
      </c>
      <c r="DI69" s="40">
        <f>CPPIB.!M65</f>
        <v>144</v>
      </c>
      <c r="DJ69" s="40">
        <f t="shared" si="22"/>
        <v>430</v>
      </c>
      <c r="DK69" s="40">
        <f t="shared" si="70"/>
        <v>1.8959435626102292E-3</v>
      </c>
      <c r="DL69" s="326" t="str">
        <f t="shared" si="81"/>
        <v>2Q2014/15</v>
      </c>
      <c r="DM69" s="40">
        <f t="shared" si="38"/>
        <v>208.42134910575973</v>
      </c>
      <c r="DN69" s="40">
        <f t="shared" si="77"/>
        <v>60.08543397643524</v>
      </c>
      <c r="DO69" s="40">
        <f t="shared" si="25"/>
        <v>135.1922264469793</v>
      </c>
      <c r="DP69" s="40">
        <f t="shared" si="78"/>
        <v>403.6990095291743</v>
      </c>
      <c r="DQ69" s="40">
        <f t="shared" si="30"/>
        <v>1.8959435626102292E-3</v>
      </c>
    </row>
    <row r="70" spans="1:121">
      <c r="A70" s="321" t="s">
        <v>44</v>
      </c>
      <c r="B70" s="40">
        <f>NBIM!V69</f>
        <v>5631042</v>
      </c>
      <c r="C70" s="40">
        <f>NBIM!W69</f>
        <v>98876</v>
      </c>
      <c r="D70" s="40">
        <f t="shared" si="82"/>
        <v>5532166</v>
      </c>
      <c r="E70" s="40">
        <f t="shared" si="84"/>
        <v>1.7872927168129084E-2</v>
      </c>
      <c r="F70" s="40">
        <f>NBIM!Z69</f>
        <v>3423840</v>
      </c>
      <c r="H70" s="107">
        <f t="shared" si="85"/>
        <v>3.5024283819953261E-3</v>
      </c>
      <c r="I70" s="107">
        <f t="shared" si="64"/>
        <v>-4.1253053399176731E-2</v>
      </c>
      <c r="J70" s="234">
        <f t="shared" si="73"/>
        <v>3.4963091636300652E-3</v>
      </c>
      <c r="K70" s="321" t="s">
        <v>44</v>
      </c>
      <c r="L70" s="50">
        <f t="shared" si="65"/>
        <v>876733.7978280331</v>
      </c>
      <c r="N70" s="50">
        <f t="shared" si="66"/>
        <v>15394.65182359581</v>
      </c>
      <c r="O70" s="384">
        <f t="shared" si="55"/>
        <v>861339.14600443724</v>
      </c>
      <c r="P70" s="384"/>
      <c r="Q70" s="384">
        <f t="shared" si="56"/>
        <v>533080.06694951537</v>
      </c>
      <c r="R70" s="384"/>
      <c r="S70" s="396">
        <f t="shared" si="74"/>
        <v>-4.1258899704833318E-2</v>
      </c>
      <c r="T70" s="384">
        <f t="shared" si="67"/>
        <v>1.00349630916363</v>
      </c>
      <c r="U70" s="382">
        <f t="shared" si="75"/>
        <v>1.0466812248423318</v>
      </c>
      <c r="V70" s="107">
        <f t="shared" si="76"/>
        <v>-4.1258899704833318E-2</v>
      </c>
      <c r="W70" s="205"/>
      <c r="X70" s="321">
        <v>6.4227500000000006</v>
      </c>
      <c r="Y70" s="321" t="s">
        <v>44</v>
      </c>
      <c r="Z70" s="40">
        <f>NBIM!AL69</f>
        <v>218</v>
      </c>
      <c r="AA70" s="40">
        <f>NBIM!AM69</f>
        <v>523</v>
      </c>
      <c r="AB70" s="40">
        <f t="shared" si="83"/>
        <v>741</v>
      </c>
      <c r="AC70" s="76">
        <f t="shared" si="57"/>
        <v>1.3394391997637091E-4</v>
      </c>
      <c r="AD70" s="173">
        <f>NBIM!AQ69</f>
        <v>78</v>
      </c>
      <c r="AE70" s="321" t="s">
        <v>44</v>
      </c>
      <c r="AF70" s="40">
        <f t="shared" si="68"/>
        <v>33.941847339535244</v>
      </c>
      <c r="AG70" s="40">
        <f t="shared" si="79"/>
        <v>81.42929430539877</v>
      </c>
      <c r="AH70" s="40">
        <f t="shared" si="41"/>
        <v>115.37114164493401</v>
      </c>
      <c r="AI70" s="76">
        <f t="shared" si="58"/>
        <v>1.3394391997637094E-4</v>
      </c>
      <c r="AJ70" s="382">
        <f t="shared" si="44"/>
        <v>12.144330699466739</v>
      </c>
      <c r="AL70" s="321" t="s">
        <v>44</v>
      </c>
      <c r="AM70" s="91">
        <v>333046372326.07898</v>
      </c>
      <c r="AN70" s="92">
        <f t="shared" ref="AN70:AN79" si="87">(AM70/AM69)-1</f>
        <v>2.895449009269413E-2</v>
      </c>
      <c r="AO70" s="92">
        <f t="shared" ref="AO70:AO79" si="88">LN(AN70+1)</f>
        <v>2.8543228558689959E-2</v>
      </c>
      <c r="AP70" s="401">
        <f>APG!B70</f>
        <v>2.89536921994085E-2</v>
      </c>
      <c r="AQ70" s="129">
        <f t="shared" si="86"/>
        <v>1.0289536921994085</v>
      </c>
      <c r="AR70" s="405">
        <f t="shared" si="69"/>
        <v>-5.0633333238247813E-2</v>
      </c>
      <c r="AS70" s="55"/>
      <c r="AT70" s="55"/>
      <c r="AU70" s="55"/>
      <c r="AV70" s="129"/>
      <c r="AW70" s="188"/>
      <c r="AX70" s="55"/>
      <c r="AY70" s="55"/>
      <c r="AZ70" s="55"/>
      <c r="BA70" s="55"/>
      <c r="BB70" s="55"/>
      <c r="BC70" s="92"/>
      <c r="BD70" s="92"/>
      <c r="BE70" s="92"/>
      <c r="BF70" s="92"/>
      <c r="BG70" s="58"/>
      <c r="BH70" s="92"/>
      <c r="BI70" s="92"/>
      <c r="BJ70" s="409">
        <f t="shared" si="26"/>
        <v>1.08383170404447</v>
      </c>
      <c r="BK70" s="410">
        <v>0.79160900000000001</v>
      </c>
      <c r="BL70" s="103">
        <f t="shared" si="59"/>
        <v>420720800706.00385</v>
      </c>
      <c r="BM70" s="107">
        <f t="shared" si="27"/>
        <v>-5.06325970600362E-2</v>
      </c>
      <c r="BN70" s="107">
        <f t="shared" si="28"/>
        <v>-5.1959407834003997E-2</v>
      </c>
      <c r="BO70" s="107"/>
      <c r="BP70" s="107"/>
      <c r="BQ70" s="107"/>
      <c r="BR70" s="107"/>
      <c r="BS70" s="107"/>
      <c r="BT70" s="107"/>
      <c r="BU70" s="76"/>
      <c r="BV70" s="76"/>
      <c r="BW70" s="76"/>
      <c r="CA70" s="321" t="str">
        <f>CPPIB.!A66</f>
        <v>3Q2014/15</v>
      </c>
      <c r="CB70" s="50">
        <f>CPPIB.!B66</f>
        <v>273607</v>
      </c>
      <c r="CC70" s="50">
        <f>CPPIB.!C66</f>
        <v>39181</v>
      </c>
      <c r="CD70" s="40">
        <f>CPPIB.!D66</f>
        <v>234426</v>
      </c>
      <c r="CE70" s="40">
        <f>CPPIB.!E66</f>
        <v>127787</v>
      </c>
      <c r="CF70" s="234">
        <f t="shared" si="45"/>
        <v>3.3342151675485043E-2</v>
      </c>
      <c r="CG70" s="107">
        <f t="shared" si="46"/>
        <v>3.2798356666079186E-2</v>
      </c>
      <c r="CH70" s="393">
        <f t="shared" si="47"/>
        <v>1.0327983566660792</v>
      </c>
      <c r="CI70" s="107"/>
      <c r="CJ70" s="107"/>
      <c r="CK70" s="107"/>
      <c r="CL70" s="107"/>
      <c r="CM70" s="107"/>
      <c r="CN70" s="410">
        <v>1.11755</v>
      </c>
      <c r="CO70" s="327" t="str">
        <f t="shared" si="80"/>
        <v>3Q2014/15</v>
      </c>
      <c r="CP70" s="187">
        <f t="shared" si="60"/>
        <v>244827.52449554828</v>
      </c>
      <c r="CQ70" s="187"/>
      <c r="CR70" s="187">
        <f t="shared" si="61"/>
        <v>35059.728871191444</v>
      </c>
      <c r="CS70" s="40">
        <f t="shared" si="62"/>
        <v>209767.79562435683</v>
      </c>
      <c r="CU70" s="40">
        <f t="shared" si="63"/>
        <v>114345.66686054315</v>
      </c>
      <c r="CW70" s="76">
        <f t="shared" si="48"/>
        <v>-1.5627784347121643E-2</v>
      </c>
      <c r="CX70" s="420">
        <f t="shared" si="49"/>
        <v>-1.5627784347121643E-2</v>
      </c>
      <c r="CY70" s="205"/>
      <c r="CZ70" s="205"/>
      <c r="DA70" s="205"/>
      <c r="DB70" s="205"/>
      <c r="DC70" s="205"/>
      <c r="DD70" s="205"/>
      <c r="DE70" s="421">
        <f t="shared" si="29"/>
        <v>1.0491949490682064</v>
      </c>
      <c r="DF70" s="321">
        <v>1.11755</v>
      </c>
      <c r="DG70" s="40">
        <f>CPPIB.!K66</f>
        <v>310</v>
      </c>
      <c r="DH70" s="40">
        <f>CPPIB.!L66</f>
        <v>42</v>
      </c>
      <c r="DI70" s="40">
        <f>CPPIB.!M66</f>
        <v>172</v>
      </c>
      <c r="DJ70" s="40">
        <f t="shared" si="22"/>
        <v>524</v>
      </c>
      <c r="DK70" s="40">
        <f t="shared" si="70"/>
        <v>2.2352469435984062E-3</v>
      </c>
      <c r="DL70" s="326" t="str">
        <f t="shared" si="81"/>
        <v>3Q2014/15</v>
      </c>
      <c r="DM70" s="40">
        <f t="shared" si="38"/>
        <v>277.3925104022191</v>
      </c>
      <c r="DN70" s="40">
        <f t="shared" si="77"/>
        <v>37.582211086752267</v>
      </c>
      <c r="DO70" s="40">
        <f t="shared" si="25"/>
        <v>153.9081025457474</v>
      </c>
      <c r="DP70" s="40">
        <f t="shared" si="78"/>
        <v>468.88282403471874</v>
      </c>
      <c r="DQ70" s="40">
        <f t="shared" si="30"/>
        <v>2.2352469435984062E-3</v>
      </c>
    </row>
    <row r="71" spans="1:121">
      <c r="A71" s="321" t="s">
        <v>45</v>
      </c>
      <c r="B71" s="40">
        <f>NBIM!V70</f>
        <v>6483471</v>
      </c>
      <c r="C71" s="40">
        <f>NBIM!W70</f>
        <v>55934</v>
      </c>
      <c r="D71" s="40">
        <f t="shared" si="82"/>
        <v>6427537</v>
      </c>
      <c r="E71" s="40">
        <f t="shared" si="84"/>
        <v>8.702244732313482E-3</v>
      </c>
      <c r="F71" s="40">
        <f>NBIM!Z70</f>
        <v>3448941</v>
      </c>
      <c r="H71" s="107">
        <f t="shared" si="85"/>
        <v>0.15731089775686402</v>
      </c>
      <c r="I71" s="107">
        <f t="shared" si="64"/>
        <v>-8.5936647881109662E-3</v>
      </c>
      <c r="J71" s="234">
        <f t="shared" si="73"/>
        <v>0.14609912236334477</v>
      </c>
      <c r="K71" s="321" t="s">
        <v>45</v>
      </c>
      <c r="L71" s="50">
        <f t="shared" si="65"/>
        <v>864745.28345926327</v>
      </c>
      <c r="M71" s="50">
        <f>L71+L70+L69+L68</f>
        <v>3534821.9285892807</v>
      </c>
      <c r="N71" s="50">
        <f t="shared" si="66"/>
        <v>7460.303699208408</v>
      </c>
      <c r="O71" s="384">
        <f t="shared" si="55"/>
        <v>857284.97976005496</v>
      </c>
      <c r="P71" s="384">
        <f>(O71+O70+O69+O68)</f>
        <v>3464399.4757549288</v>
      </c>
      <c r="Q71" s="384">
        <f t="shared" si="56"/>
        <v>460009.06962941226</v>
      </c>
      <c r="R71" s="384">
        <f>Q71+Q70+Q69+Q68</f>
        <v>2103484.6544142794</v>
      </c>
      <c r="S71" s="396">
        <f t="shared" si="74"/>
        <v>-1.8198192988486461E-2</v>
      </c>
      <c r="T71" s="384">
        <f t="shared" si="67"/>
        <v>1.1460991223633448</v>
      </c>
      <c r="U71" s="382">
        <f t="shared" si="75"/>
        <v>1.1673426491767545</v>
      </c>
      <c r="V71" s="107">
        <f t="shared" si="76"/>
        <v>-1.8198192988486461E-2</v>
      </c>
      <c r="W71" s="205">
        <f>((1+V71)*(1+V70)*(1+V69)*(1+V68))-1</f>
        <v>-6.4005948394656453E-3</v>
      </c>
      <c r="X71" s="321">
        <v>7.4975500000000004</v>
      </c>
      <c r="Y71" s="321" t="s">
        <v>45</v>
      </c>
      <c r="Z71" s="40">
        <f>NBIM!AL70</f>
        <v>509</v>
      </c>
      <c r="AA71" s="40">
        <f>NBIM!AM70</f>
        <v>583</v>
      </c>
      <c r="AB71" s="40">
        <f t="shared" si="83"/>
        <v>1092</v>
      </c>
      <c r="AC71" s="76">
        <f t="shared" si="57"/>
        <v>1.6989400449970182E-4</v>
      </c>
      <c r="AD71" s="173">
        <f>NBIM!AQ70</f>
        <v>444</v>
      </c>
      <c r="AE71" s="321" t="s">
        <v>45</v>
      </c>
      <c r="AF71" s="40">
        <f t="shared" ref="AF71:AF77" si="89">Z71/X71</f>
        <v>67.88884368893838</v>
      </c>
      <c r="AG71" s="40">
        <f t="shared" si="79"/>
        <v>77.758734519943175</v>
      </c>
      <c r="AH71" s="40">
        <f t="shared" si="41"/>
        <v>145.64757820888155</v>
      </c>
      <c r="AI71" s="76">
        <f t="shared" si="58"/>
        <v>1.6989400449970182E-4</v>
      </c>
      <c r="AJ71" s="382">
        <f t="shared" si="44"/>
        <v>59.219344986028766</v>
      </c>
      <c r="AL71" s="321" t="s">
        <v>45</v>
      </c>
      <c r="AM71" s="91">
        <v>342939290030.55402</v>
      </c>
      <c r="AN71" s="92">
        <f t="shared" si="87"/>
        <v>2.970432506254439E-2</v>
      </c>
      <c r="AO71" s="92">
        <f t="shared" si="88"/>
        <v>2.9271697984987924E-2</v>
      </c>
      <c r="AP71" s="401">
        <f>APG!B71</f>
        <v>2.80934339570744E-2</v>
      </c>
      <c r="AQ71" s="129">
        <f t="shared" si="86"/>
        <v>1.0280934339570744</v>
      </c>
      <c r="AR71" s="405">
        <f t="shared" si="69"/>
        <v>-1.520305227740415E-2</v>
      </c>
      <c r="AS71" s="55">
        <f>AR68+AR69+AR70+AR71</f>
        <v>8.3570545908545624E-3</v>
      </c>
      <c r="AT71" s="55"/>
      <c r="AU71" s="55"/>
      <c r="AV71" s="129"/>
      <c r="AW71" s="188"/>
      <c r="AX71" s="55"/>
      <c r="AY71" s="55"/>
      <c r="AZ71" s="55"/>
      <c r="BA71" s="55"/>
      <c r="BB71" s="55"/>
      <c r="BC71" s="92"/>
      <c r="BD71" s="92"/>
      <c r="BE71" s="92"/>
      <c r="BF71" s="92"/>
      <c r="BG71" s="58"/>
      <c r="BH71" s="92"/>
      <c r="BI71" s="92"/>
      <c r="BJ71" s="409">
        <f t="shared" si="26"/>
        <v>1.0439648867054314</v>
      </c>
      <c r="BK71" s="410">
        <v>0.82641199999999992</v>
      </c>
      <c r="BL71" s="103">
        <f t="shared" ref="BL71:BL79" si="90">AM71/BK71</f>
        <v>414973754048.28833</v>
      </c>
      <c r="BM71" s="107">
        <f t="shared" si="27"/>
        <v>-1.366000123614397E-2</v>
      </c>
      <c r="BN71" s="107">
        <f t="shared" si="28"/>
        <v>-1.3754157485926564E-2</v>
      </c>
      <c r="BO71" s="107"/>
      <c r="BP71" s="107"/>
      <c r="BQ71" s="107"/>
      <c r="BR71" s="107"/>
      <c r="BS71" s="107"/>
      <c r="BT71" s="107"/>
      <c r="BU71" s="76"/>
      <c r="BV71" s="76"/>
      <c r="BW71" s="76"/>
      <c r="CA71" s="321" t="str">
        <f>CPPIB.!A67</f>
        <v>4Q2014/15</v>
      </c>
      <c r="CB71" s="50">
        <f>CPPIB.!B67</f>
        <v>289580</v>
      </c>
      <c r="CC71" s="50">
        <f>CPPIB.!C67</f>
        <v>50792</v>
      </c>
      <c r="CD71" s="40">
        <f>CPPIB.!D67</f>
        <v>238788</v>
      </c>
      <c r="CE71" s="40">
        <f>CPPIB.!E67</f>
        <v>124864</v>
      </c>
      <c r="CF71" s="234">
        <f t="shared" ref="CF71:CF78" si="91">((CD71-(CE71-CE70))/CD70)-1</f>
        <v>3.1075904549836553E-2</v>
      </c>
      <c r="CG71" s="107">
        <f t="shared" si="46"/>
        <v>3.0602824584620585E-2</v>
      </c>
      <c r="CH71" s="393">
        <f t="shared" si="47"/>
        <v>1.0306028245846206</v>
      </c>
      <c r="CI71" s="107">
        <f>((CG71+1)*(CG70+1)*(CG69+1)*(CG68+1))-1</f>
        <v>0.15282119087354151</v>
      </c>
      <c r="CJ71" s="107"/>
      <c r="CK71" s="107"/>
      <c r="CL71" s="107"/>
      <c r="CM71" s="107"/>
      <c r="CN71" s="410">
        <v>1.15825</v>
      </c>
      <c r="CO71" s="327" t="str">
        <f t="shared" si="80"/>
        <v>4Q2014/15</v>
      </c>
      <c r="CP71" s="187">
        <f t="shared" ref="CP71:CP79" si="92">CB71/CN71</f>
        <v>250015.10900064753</v>
      </c>
      <c r="CQ71" s="187">
        <f>CP71+CP70+CP69+CP68</f>
        <v>975381.03896219248</v>
      </c>
      <c r="CR71" s="187">
        <f t="shared" ref="CR71:CR79" si="93">CC71/CN71</f>
        <v>43852.363479387008</v>
      </c>
      <c r="CS71" s="40">
        <f t="shared" ref="CS71:CS79" si="94">CD71/CN71</f>
        <v>206162.74552126051</v>
      </c>
      <c r="CT71" s="40">
        <f>CS71+CS70+CS69+CS68</f>
        <v>827356.14604423044</v>
      </c>
      <c r="CU71" s="40">
        <f t="shared" ref="CU71:CU79" si="95">CE71/CN71</f>
        <v>107804.01467731492</v>
      </c>
      <c r="CV71" s="40">
        <f>CU71+CU70+CU69+CU68</f>
        <v>453883.82178012317</v>
      </c>
      <c r="CW71" s="76">
        <f t="shared" si="48"/>
        <v>-5.611753408553577E-3</v>
      </c>
      <c r="CX71" s="420">
        <f t="shared" si="49"/>
        <v>-5.611753408553577E-3</v>
      </c>
      <c r="CY71" s="205"/>
      <c r="CZ71" s="205"/>
      <c r="DA71" s="205"/>
      <c r="DC71" s="205"/>
      <c r="DD71" s="205"/>
      <c r="DE71" s="421">
        <f t="shared" si="29"/>
        <v>1.0364189521721623</v>
      </c>
      <c r="DF71" s="321">
        <v>1.15825</v>
      </c>
      <c r="DG71" s="40">
        <f>CPPIB.!K67</f>
        <v>277</v>
      </c>
      <c r="DH71" s="40">
        <f>CPPIB.!L67</f>
        <v>27</v>
      </c>
      <c r="DI71" s="40">
        <f>CPPIB.!M67</f>
        <v>181</v>
      </c>
      <c r="DJ71" s="40">
        <f t="shared" si="22"/>
        <v>485</v>
      </c>
      <c r="DK71" s="40">
        <f t="shared" si="70"/>
        <v>2.0310903395480509E-3</v>
      </c>
      <c r="DL71" s="326" t="str">
        <f t="shared" si="81"/>
        <v>4Q2014/15</v>
      </c>
      <c r="DM71" s="40">
        <f t="shared" si="38"/>
        <v>239.15389596373839</v>
      </c>
      <c r="DN71" s="40">
        <f t="shared" si="77"/>
        <v>23.311029570472694</v>
      </c>
      <c r="DO71" s="40">
        <f t="shared" si="25"/>
        <v>156.27023526872438</v>
      </c>
      <c r="DP71" s="40">
        <f t="shared" si="78"/>
        <v>418.73516080293547</v>
      </c>
      <c r="DQ71" s="40">
        <f t="shared" si="30"/>
        <v>2.0310903395480513E-3</v>
      </c>
    </row>
    <row r="72" spans="1:121">
      <c r="A72" s="321" t="s">
        <v>46</v>
      </c>
      <c r="B72" s="40">
        <f>NBIM!V71</f>
        <v>7128402</v>
      </c>
      <c r="C72" s="40">
        <f>NBIM!W71</f>
        <v>117245</v>
      </c>
      <c r="D72" s="40">
        <f t="shared" si="82"/>
        <v>7011157</v>
      </c>
      <c r="E72" s="40">
        <f t="shared" si="84"/>
        <v>1.6722632227462599E-2</v>
      </c>
      <c r="F72" s="40">
        <f>NBIM!Z71</f>
        <v>3457641</v>
      </c>
      <c r="H72" s="107">
        <f t="shared" si="85"/>
        <v>8.9446392918469453E-2</v>
      </c>
      <c r="I72" s="107">
        <f t="shared" si="64"/>
        <v>1.3534861613067273E-2</v>
      </c>
      <c r="J72" s="234">
        <f t="shared" si="73"/>
        <v>8.5669670812910548E-2</v>
      </c>
      <c r="K72" s="321" t="s">
        <v>46</v>
      </c>
      <c r="L72" s="50">
        <f t="shared" si="65"/>
        <v>884515.88887096569</v>
      </c>
      <c r="N72" s="50">
        <f t="shared" si="66"/>
        <v>14548.150537901252</v>
      </c>
      <c r="O72" s="384">
        <f t="shared" si="55"/>
        <v>869967.73833306436</v>
      </c>
      <c r="P72" s="384"/>
      <c r="Q72" s="384">
        <f t="shared" si="56"/>
        <v>429035.62432529684</v>
      </c>
      <c r="R72" s="384"/>
      <c r="S72" s="396">
        <f t="shared" si="74"/>
        <v>1.0021297713558308E-2</v>
      </c>
      <c r="T72" s="384">
        <f t="shared" si="67"/>
        <v>1.0856696708129105</v>
      </c>
      <c r="U72" s="382">
        <f t="shared" si="75"/>
        <v>1.074897799947983</v>
      </c>
      <c r="V72" s="107">
        <f t="shared" si="76"/>
        <v>1.0021297713558308E-2</v>
      </c>
      <c r="W72" s="205"/>
      <c r="X72" s="321">
        <v>8.0591000000000008</v>
      </c>
      <c r="Y72" s="321" t="s">
        <v>46</v>
      </c>
      <c r="Z72" s="40">
        <f>NBIM!AL71</f>
        <v>283</v>
      </c>
      <c r="AA72" s="40">
        <f>NBIM!AM71</f>
        <v>649</v>
      </c>
      <c r="AB72" s="40">
        <f t="shared" si="83"/>
        <v>932</v>
      </c>
      <c r="AC72" s="76">
        <f t="shared" si="57"/>
        <v>1.3293098414427176E-4</v>
      </c>
      <c r="AD72" s="173">
        <f>NBIM!AQ71</f>
        <v>104</v>
      </c>
      <c r="AE72" s="321" t="s">
        <v>46</v>
      </c>
      <c r="AF72" s="40">
        <f t="shared" si="89"/>
        <v>35.115583625963197</v>
      </c>
      <c r="AG72" s="40">
        <f t="shared" si="79"/>
        <v>80.530084004417361</v>
      </c>
      <c r="AH72" s="40">
        <f t="shared" ref="AH72:AH78" si="96">AF72+AG72</f>
        <v>115.64566763038056</v>
      </c>
      <c r="AI72" s="76">
        <f t="shared" si="58"/>
        <v>1.3293098414427179E-4</v>
      </c>
      <c r="AJ72" s="382">
        <f t="shared" ref="AJ72:AJ79" si="97">AD72/X72</f>
        <v>12.904666774205555</v>
      </c>
      <c r="AL72" s="321" t="s">
        <v>46</v>
      </c>
      <c r="AM72" s="91">
        <v>372776296754.68903</v>
      </c>
      <c r="AN72" s="92">
        <f t="shared" si="87"/>
        <v>8.700375719993092E-2</v>
      </c>
      <c r="AO72" s="92">
        <f t="shared" si="88"/>
        <v>8.3425064618775774E-2</v>
      </c>
      <c r="AP72" s="401">
        <f>APG!B72</f>
        <v>8.7796386099376705E-2</v>
      </c>
      <c r="AQ72" s="129">
        <f t="shared" si="86"/>
        <v>1.0877963860993767</v>
      </c>
      <c r="AR72" s="405">
        <f t="shared" ref="AR72:AR79" si="98">(AQ72/BJ72)-1</f>
        <v>-3.4508696680849216E-2</v>
      </c>
      <c r="AS72" s="55"/>
      <c r="AT72" s="55"/>
      <c r="AU72" s="55"/>
      <c r="AV72" s="129"/>
      <c r="AW72" s="188"/>
      <c r="AX72" s="55"/>
      <c r="AY72" s="55"/>
      <c r="AZ72" s="55"/>
      <c r="BA72" s="55"/>
      <c r="BB72" s="55"/>
      <c r="BC72" s="92"/>
      <c r="BD72" s="92"/>
      <c r="BE72" s="92"/>
      <c r="BF72" s="92"/>
      <c r="BG72" s="58"/>
      <c r="BH72" s="92"/>
      <c r="BI72" s="92"/>
      <c r="BJ72" s="409">
        <f t="shared" si="26"/>
        <v>1.1266765245422381</v>
      </c>
      <c r="BK72" s="410">
        <v>0.93109900000000001</v>
      </c>
      <c r="BL72" s="103">
        <f t="shared" si="90"/>
        <v>400361612196.65045</v>
      </c>
      <c r="BM72" s="107">
        <f t="shared" si="27"/>
        <v>-3.5212207300073128E-2</v>
      </c>
      <c r="BN72" s="107">
        <f t="shared" si="28"/>
        <v>-3.584710576346696E-2</v>
      </c>
      <c r="BO72" s="107"/>
      <c r="BP72" s="107"/>
      <c r="BQ72" s="107"/>
      <c r="BR72" s="107"/>
      <c r="BS72" s="107"/>
      <c r="BT72" s="107"/>
      <c r="BU72" s="76"/>
      <c r="BV72" s="76"/>
      <c r="BW72" s="76"/>
      <c r="CA72" s="321" t="str">
        <f>CPPIB.!A68</f>
        <v>1Q2015/15</v>
      </c>
      <c r="CB72" s="50">
        <f>CPPIB.!B68</f>
        <v>321818</v>
      </c>
      <c r="CC72" s="50">
        <f>CPPIB.!C68</f>
        <v>57195</v>
      </c>
      <c r="CD72" s="40">
        <f>CPPIB.!D68</f>
        <v>264623</v>
      </c>
      <c r="CE72" s="40">
        <f>CPPIB.!E68</f>
        <v>128318</v>
      </c>
      <c r="CF72" s="234">
        <f t="shared" si="91"/>
        <v>9.3727490493659582E-2</v>
      </c>
      <c r="CG72" s="107">
        <f t="shared" si="46"/>
        <v>8.9591578357830881E-2</v>
      </c>
      <c r="CH72" s="393">
        <f t="shared" si="47"/>
        <v>1.0895915783578309</v>
      </c>
      <c r="CI72" s="107"/>
      <c r="CJ72" s="107"/>
      <c r="CK72" s="107"/>
      <c r="CL72" s="107"/>
      <c r="CM72" s="107"/>
      <c r="CN72" s="410">
        <v>1.2665000000000002</v>
      </c>
      <c r="CO72" s="327" t="str">
        <f t="shared" si="80"/>
        <v>1Q2015/15</v>
      </c>
      <c r="CP72" s="187">
        <f t="shared" si="92"/>
        <v>254100.27635215156</v>
      </c>
      <c r="CQ72" s="187"/>
      <c r="CR72" s="187">
        <f t="shared" si="93"/>
        <v>45159.889459139355</v>
      </c>
      <c r="CS72" s="40">
        <f t="shared" si="94"/>
        <v>208940.38689301221</v>
      </c>
      <c r="CU72" s="40">
        <f t="shared" si="95"/>
        <v>101317.01539676271</v>
      </c>
      <c r="CW72" s="76">
        <f t="shared" si="48"/>
        <v>-3.537745256251501E-3</v>
      </c>
      <c r="CX72" s="420">
        <f t="shared" si="49"/>
        <v>-3.537745256251501E-3</v>
      </c>
      <c r="CY72" s="205">
        <f>((CX69+1)*(1+CX70)*(1+CX71)*(1+CX72))-1</f>
        <v>2.6342368944410666E-2</v>
      </c>
      <c r="CZ72" s="205"/>
      <c r="DA72" s="205"/>
      <c r="DB72" s="205"/>
      <c r="DC72" s="205"/>
      <c r="DD72" s="205"/>
      <c r="DE72" s="421">
        <f t="shared" si="29"/>
        <v>1.0934599611482843</v>
      </c>
      <c r="DF72" s="321">
        <v>1.2665000000000002</v>
      </c>
      <c r="DG72" s="40">
        <f>CPPIB.!K68</f>
        <v>445</v>
      </c>
      <c r="DH72" s="40">
        <f>CPPIB.!L68</f>
        <v>140</v>
      </c>
      <c r="DI72" s="40">
        <f>CPPIB.!M68</f>
        <v>306</v>
      </c>
      <c r="DJ72" s="40">
        <f t="shared" ref="DJ72:DJ78" si="99">DI72+DH72+DG72</f>
        <v>891</v>
      </c>
      <c r="DK72" s="40">
        <f t="shared" ref="DK72:DK79" si="100">DJ72/CD72</f>
        <v>3.367054262101178E-3</v>
      </c>
      <c r="DL72" s="326" t="str">
        <f t="shared" si="81"/>
        <v>1Q2015/15</v>
      </c>
      <c r="DM72" s="40">
        <f t="shared" si="38"/>
        <v>351.36202131859449</v>
      </c>
      <c r="DN72" s="40">
        <f t="shared" si="77"/>
        <v>110.54086063955782</v>
      </c>
      <c r="DO72" s="40">
        <f t="shared" ref="DO72:DO79" si="101">DI72/DF72</f>
        <v>241.61073825503351</v>
      </c>
      <c r="DP72" s="40">
        <f t="shared" si="78"/>
        <v>703.51362021318573</v>
      </c>
      <c r="DQ72" s="40">
        <f t="shared" ref="DQ72:DQ79" si="102">DP72/CS72</f>
        <v>3.3670542621011771E-3</v>
      </c>
    </row>
    <row r="73" spans="1:121">
      <c r="A73" s="321" t="s">
        <v>4</v>
      </c>
      <c r="B73" s="40">
        <f>NBIM!V72</f>
        <v>7071770</v>
      </c>
      <c r="C73" s="40">
        <f>NBIM!W72</f>
        <v>176035</v>
      </c>
      <c r="D73" s="40">
        <f t="shared" si="82"/>
        <v>6895735</v>
      </c>
      <c r="E73" s="40">
        <f t="shared" si="84"/>
        <v>2.5528098165025194E-2</v>
      </c>
      <c r="F73" s="40">
        <f>NBIM!Z72</f>
        <v>3469641</v>
      </c>
      <c r="H73" s="107">
        <f t="shared" si="85"/>
        <v>-1.8174175817201044E-2</v>
      </c>
      <c r="I73" s="107">
        <f t="shared" si="64"/>
        <v>5.7365744736694868E-3</v>
      </c>
      <c r="J73" s="234">
        <f t="shared" si="73"/>
        <v>-1.8341354808603022E-2</v>
      </c>
      <c r="K73" s="321" t="s">
        <v>4</v>
      </c>
      <c r="L73" s="50">
        <f t="shared" si="65"/>
        <v>898858.59548776608</v>
      </c>
      <c r="N73" s="50">
        <f t="shared" si="66"/>
        <v>22374.960279631392</v>
      </c>
      <c r="O73" s="384">
        <f t="shared" si="55"/>
        <v>876483.63520813466</v>
      </c>
      <c r="P73" s="384"/>
      <c r="Q73" s="384">
        <f t="shared" si="56"/>
        <v>441009.34223069588</v>
      </c>
      <c r="R73" s="384"/>
      <c r="S73" s="396">
        <f t="shared" si="74"/>
        <v>5.5653241133761799E-3</v>
      </c>
      <c r="T73" s="384">
        <f t="shared" si="67"/>
        <v>0.98165864519139701</v>
      </c>
      <c r="U73" s="382">
        <f t="shared" ref="U73:U78" si="103">(X73/X72)</f>
        <v>0.9762256331352136</v>
      </c>
      <c r="V73" s="107">
        <f t="shared" si="76"/>
        <v>5.5653241133761799E-3</v>
      </c>
      <c r="W73" s="205"/>
      <c r="X73" s="321">
        <v>7.8675000000000006</v>
      </c>
      <c r="Y73" s="321" t="s">
        <v>4</v>
      </c>
      <c r="Z73" s="40">
        <f>NBIM!AL72</f>
        <v>200</v>
      </c>
      <c r="AA73" s="40">
        <f>NBIM!AM72</f>
        <v>607</v>
      </c>
      <c r="AB73" s="40">
        <f t="shared" si="83"/>
        <v>807</v>
      </c>
      <c r="AC73" s="76">
        <f t="shared" si="57"/>
        <v>1.1702885914264397E-4</v>
      </c>
      <c r="AD73" s="173">
        <f>NBIM!AQ72</f>
        <v>13</v>
      </c>
      <c r="AE73" s="321" t="s">
        <v>4</v>
      </c>
      <c r="AF73" s="40">
        <f t="shared" si="89"/>
        <v>25.421035907213216</v>
      </c>
      <c r="AG73" s="40">
        <f t="shared" si="79"/>
        <v>77.152843978392113</v>
      </c>
      <c r="AH73" s="40">
        <f t="shared" si="96"/>
        <v>102.57387988560532</v>
      </c>
      <c r="AI73" s="76">
        <f t="shared" si="58"/>
        <v>1.1702885914264395E-4</v>
      </c>
      <c r="AJ73" s="382">
        <f t="shared" si="97"/>
        <v>1.6523673339688592</v>
      </c>
      <c r="AL73" s="321" t="s">
        <v>4</v>
      </c>
      <c r="AM73" s="91">
        <v>356177627278.32001</v>
      </c>
      <c r="AN73" s="92">
        <f t="shared" si="87"/>
        <v>-4.4527159105537284E-2</v>
      </c>
      <c r="AO73" s="92">
        <f t="shared" si="88"/>
        <v>-4.5548939678082927E-2</v>
      </c>
      <c r="AP73" s="401">
        <f>APG!B73</f>
        <v>-4.3476242556845103E-2</v>
      </c>
      <c r="AQ73" s="129">
        <f t="shared" si="86"/>
        <v>0.95652375744315488</v>
      </c>
      <c r="AR73" s="405">
        <f t="shared" si="98"/>
        <v>-7.6731449612380542E-3</v>
      </c>
      <c r="AS73" s="55"/>
      <c r="AT73" s="55"/>
      <c r="AU73" s="55"/>
      <c r="AV73" s="129"/>
      <c r="AW73" s="188"/>
      <c r="AX73" s="55"/>
      <c r="AY73" s="55"/>
      <c r="AZ73" s="55"/>
      <c r="BA73" s="55"/>
      <c r="BB73" s="55"/>
      <c r="BC73" s="92"/>
      <c r="BD73" s="92"/>
      <c r="BE73" s="92"/>
      <c r="BF73" s="92"/>
      <c r="BG73" s="58"/>
      <c r="BH73" s="92"/>
      <c r="BI73" s="92"/>
      <c r="BJ73" s="409">
        <f t="shared" ref="BJ73:BJ79" si="104">BK73/BK72</f>
        <v>0.96392005576206186</v>
      </c>
      <c r="BK73" s="410">
        <v>0.897505</v>
      </c>
      <c r="BL73" s="103">
        <f t="shared" si="90"/>
        <v>396853084136.93518</v>
      </c>
      <c r="BM73" s="107">
        <f t="shared" ref="BM73:BM79" si="105">(BL73/BL72)-1</f>
        <v>-8.7633977704933974E-3</v>
      </c>
      <c r="BN73" s="107">
        <f t="shared" ref="BN73:BN79" si="106">LN(BM73+1)</f>
        <v>-8.8020221602284534E-3</v>
      </c>
      <c r="BO73" s="107"/>
      <c r="BP73" s="107"/>
      <c r="BQ73" s="107"/>
      <c r="BR73" s="107"/>
      <c r="BS73" s="107"/>
      <c r="BT73" s="107"/>
      <c r="BU73" s="76"/>
      <c r="BV73" s="76"/>
      <c r="BW73" s="76"/>
      <c r="CA73" s="321" t="str">
        <f>CPPIB.!A69</f>
        <v>2Q2015/16</v>
      </c>
      <c r="CB73" s="50">
        <f>CPPIB.!B69</f>
        <v>335966</v>
      </c>
      <c r="CC73" s="50">
        <f>CPPIB.!C69</f>
        <v>67315</v>
      </c>
      <c r="CD73" s="40">
        <f>CPPIB.!D69</f>
        <v>268651</v>
      </c>
      <c r="CE73" s="40">
        <f>CPPIB.!E69</f>
        <v>132513</v>
      </c>
      <c r="CF73" s="234">
        <f t="shared" si="91"/>
        <v>-6.3108648908072329E-4</v>
      </c>
      <c r="CG73" s="107">
        <f t="shared" si="46"/>
        <v>-6.3128570797971986E-4</v>
      </c>
      <c r="CH73" s="393">
        <f t="shared" si="47"/>
        <v>0.99936871429202023</v>
      </c>
      <c r="CI73" s="107"/>
      <c r="CJ73" s="107"/>
      <c r="CK73" s="107"/>
      <c r="CL73" s="107"/>
      <c r="CM73" s="107"/>
      <c r="CN73" s="410">
        <v>1.2484500000000001</v>
      </c>
      <c r="CO73" s="327" t="str">
        <f t="shared" si="80"/>
        <v>2Q2015/16</v>
      </c>
      <c r="CP73" s="187">
        <f t="shared" si="92"/>
        <v>269106.49205014214</v>
      </c>
      <c r="CQ73" s="187"/>
      <c r="CR73" s="187">
        <f t="shared" si="93"/>
        <v>53918.859385638192</v>
      </c>
      <c r="CS73" s="40">
        <f t="shared" si="94"/>
        <v>215187.63266450397</v>
      </c>
      <c r="CU73" s="40">
        <f t="shared" si="95"/>
        <v>106142.01609996395</v>
      </c>
      <c r="CW73" s="76">
        <f t="shared" si="48"/>
        <v>1.3817515039323824E-2</v>
      </c>
      <c r="CX73" s="420">
        <f t="shared" si="49"/>
        <v>1.3817515039323824E-2</v>
      </c>
      <c r="CY73" s="205"/>
      <c r="CZ73" s="205"/>
      <c r="DA73" s="205"/>
      <c r="DB73" s="205"/>
      <c r="DC73" s="205"/>
      <c r="DD73" s="205"/>
      <c r="DE73" s="421">
        <f t="shared" ref="DE73:DE79" si="107">DF73/DF72</f>
        <v>0.9857481247532569</v>
      </c>
      <c r="DF73" s="321">
        <v>1.2484500000000001</v>
      </c>
      <c r="DG73" s="40">
        <f>CPPIB.!K69</f>
        <v>357</v>
      </c>
      <c r="DH73" s="40">
        <f>CPPIB.!L69</f>
        <v>76</v>
      </c>
      <c r="DI73" s="40">
        <f>CPPIB.!M69</f>
        <v>208</v>
      </c>
      <c r="DJ73" s="40">
        <f t="shared" si="99"/>
        <v>641</v>
      </c>
      <c r="DK73" s="40">
        <f t="shared" si="100"/>
        <v>2.3859952131203683E-3</v>
      </c>
      <c r="DL73" s="326" t="str">
        <f t="shared" si="81"/>
        <v>2Q2015/16</v>
      </c>
      <c r="DM73" s="40">
        <f t="shared" si="38"/>
        <v>285.95458368376785</v>
      </c>
      <c r="DN73" s="40">
        <f t="shared" si="77"/>
        <v>60.875485602146661</v>
      </c>
      <c r="DO73" s="40">
        <f t="shared" si="101"/>
        <v>166.60659217429611</v>
      </c>
      <c r="DP73" s="40">
        <f t="shared" si="78"/>
        <v>513.43666146021064</v>
      </c>
      <c r="DQ73" s="40">
        <f t="shared" si="102"/>
        <v>2.3859952131203683E-3</v>
      </c>
    </row>
    <row r="74" spans="1:121">
      <c r="A74" s="321" t="s">
        <v>0</v>
      </c>
      <c r="B74" s="40">
        <f>NBIM!V73</f>
        <v>7235740</v>
      </c>
      <c r="C74" s="40">
        <f>NBIM!W73</f>
        <v>219621</v>
      </c>
      <c r="D74" s="40">
        <f t="shared" si="82"/>
        <v>7016119</v>
      </c>
      <c r="E74" s="40">
        <f t="shared" si="84"/>
        <v>3.1302348207035827E-2</v>
      </c>
      <c r="F74" s="40">
        <f>NBIM!Z73</f>
        <v>3481641</v>
      </c>
      <c r="H74" s="107">
        <f t="shared" si="85"/>
        <v>1.5717541349834274E-2</v>
      </c>
      <c r="I74" s="107">
        <f t="shared" si="64"/>
        <v>-6.3170251281380874E-2</v>
      </c>
      <c r="J74" s="234">
        <f t="shared" si="73"/>
        <v>1.559530002176544E-2</v>
      </c>
      <c r="K74" s="321" t="s">
        <v>0</v>
      </c>
      <c r="L74" s="50">
        <f t="shared" si="65"/>
        <v>848269.63657678769</v>
      </c>
      <c r="N74" s="50">
        <f t="shared" si="66"/>
        <v>25746.893317702223</v>
      </c>
      <c r="O74" s="384">
        <f t="shared" si="55"/>
        <v>822522.74325908546</v>
      </c>
      <c r="P74" s="384"/>
      <c r="Q74" s="384">
        <f t="shared" si="56"/>
        <v>408164.24384525197</v>
      </c>
      <c r="R74" s="384"/>
      <c r="S74" s="396">
        <f t="shared" si="74"/>
        <v>-6.3282998485200581E-2</v>
      </c>
      <c r="T74" s="384">
        <f t="shared" si="67"/>
        <v>1.0155953000217655</v>
      </c>
      <c r="U74" s="382">
        <f t="shared" si="103"/>
        <v>1.0842071814426439</v>
      </c>
      <c r="V74" s="107">
        <f t="shared" si="76"/>
        <v>-6.3282998485200581E-2</v>
      </c>
      <c r="W74" s="205"/>
      <c r="X74" s="321">
        <v>8.5300000000000011</v>
      </c>
      <c r="Y74" s="321" t="s">
        <v>0</v>
      </c>
      <c r="Z74" s="40">
        <f>NBIM!AL73</f>
        <v>382</v>
      </c>
      <c r="AA74" s="40">
        <f>NBIM!AM73</f>
        <v>692</v>
      </c>
      <c r="AB74" s="40">
        <f t="shared" si="83"/>
        <v>1074</v>
      </c>
      <c r="AC74" s="76">
        <f t="shared" si="57"/>
        <v>1.5307608095016631E-4</v>
      </c>
      <c r="AD74" s="173">
        <f>NBIM!AQ73</f>
        <v>209</v>
      </c>
      <c r="AE74" s="321" t="s">
        <v>0</v>
      </c>
      <c r="AF74" s="40">
        <f t="shared" si="89"/>
        <v>44.783118405627192</v>
      </c>
      <c r="AG74" s="40">
        <f t="shared" si="79"/>
        <v>81.125439624853442</v>
      </c>
      <c r="AH74" s="40">
        <f t="shared" si="96"/>
        <v>125.90855803048063</v>
      </c>
      <c r="AI74" s="76">
        <f t="shared" si="58"/>
        <v>1.5307608095016631E-4</v>
      </c>
      <c r="AJ74" s="382">
        <f t="shared" si="97"/>
        <v>24.501758499413832</v>
      </c>
      <c r="AL74" s="321" t="s">
        <v>0</v>
      </c>
      <c r="AM74" s="91">
        <v>344659493978.96997</v>
      </c>
      <c r="AN74" s="92">
        <f t="shared" si="87"/>
        <v>-3.23381717918787E-2</v>
      </c>
      <c r="AO74" s="92">
        <f t="shared" si="88"/>
        <v>-3.2872603767513373E-2</v>
      </c>
      <c r="AP74" s="401">
        <f>APG!B74</f>
        <v>-3.1002481560127599E-2</v>
      </c>
      <c r="AQ74" s="129">
        <f t="shared" si="86"/>
        <v>0.96899751843987236</v>
      </c>
      <c r="AR74" s="405">
        <f t="shared" si="98"/>
        <v>-2.9219933775839646E-2</v>
      </c>
      <c r="AS74" s="55"/>
      <c r="AT74" s="55"/>
      <c r="AU74" s="55"/>
      <c r="AV74" s="129"/>
      <c r="AW74" s="188"/>
      <c r="AX74" s="55"/>
      <c r="AY74" s="55"/>
      <c r="AZ74" s="55"/>
      <c r="BA74" s="55"/>
      <c r="BB74" s="55"/>
      <c r="BC74" s="92"/>
      <c r="BD74" s="92"/>
      <c r="BE74" s="92"/>
      <c r="BF74" s="92"/>
      <c r="BG74" s="58"/>
      <c r="BH74" s="92"/>
      <c r="BI74" s="92"/>
      <c r="BJ74" s="409">
        <f t="shared" si="104"/>
        <v>0.99816379853037029</v>
      </c>
      <c r="BK74" s="410">
        <v>0.89585700000000001</v>
      </c>
      <c r="BL74" s="103">
        <f t="shared" si="90"/>
        <v>384726015400.86194</v>
      </c>
      <c r="BM74" s="107">
        <f t="shared" si="105"/>
        <v>-3.0558081115702684E-2</v>
      </c>
      <c r="BN74" s="107">
        <f t="shared" si="106"/>
        <v>-3.1034714413451379E-2</v>
      </c>
      <c r="BO74" s="107"/>
      <c r="BP74" s="107"/>
      <c r="BQ74" s="107"/>
      <c r="BR74" s="107"/>
      <c r="BS74" s="107"/>
      <c r="BT74" s="107"/>
      <c r="BU74" s="76"/>
      <c r="BV74" s="76"/>
      <c r="BW74" s="76"/>
      <c r="CA74" s="321" t="str">
        <f>CPPIB.!A70</f>
        <v>3Q2015/16</v>
      </c>
      <c r="CB74" s="50">
        <f>CPPIB.!B70</f>
        <v>337537</v>
      </c>
      <c r="CC74" s="50">
        <f>CPPIB.!C70</f>
        <v>64601</v>
      </c>
      <c r="CD74" s="40">
        <f>CPPIB.!D70</f>
        <v>272936</v>
      </c>
      <c r="CE74" s="40">
        <f>CPPIB.!E70</f>
        <v>132635</v>
      </c>
      <c r="CF74" s="234">
        <f t="shared" si="91"/>
        <v>1.5495940830296595E-2</v>
      </c>
      <c r="CG74" s="107">
        <f t="shared" ref="CG74:CG79" si="108">LN(CF74+1)</f>
        <v>1.5377104817410045E-2</v>
      </c>
      <c r="CH74" s="393">
        <f t="shared" si="47"/>
        <v>1.0153771048174101</v>
      </c>
      <c r="CI74" s="107"/>
      <c r="CJ74" s="107"/>
      <c r="CK74" s="107"/>
      <c r="CL74" s="107"/>
      <c r="CM74" s="107"/>
      <c r="CN74" s="410">
        <v>1.3407</v>
      </c>
      <c r="CO74" s="327" t="str">
        <f t="shared" si="80"/>
        <v>3Q2015/16</v>
      </c>
      <c r="CP74" s="187">
        <f t="shared" si="92"/>
        <v>251761.76624151564</v>
      </c>
      <c r="CQ74" s="187"/>
      <c r="CR74" s="187">
        <f t="shared" si="93"/>
        <v>48184.5304691579</v>
      </c>
      <c r="CS74" s="40">
        <f t="shared" si="94"/>
        <v>203577.23577235773</v>
      </c>
      <c r="CU74" s="40">
        <f t="shared" si="95"/>
        <v>98929.663608562696</v>
      </c>
      <c r="CW74" s="76">
        <f t="shared" si="48"/>
        <v>-5.4488292303053965E-2</v>
      </c>
      <c r="CX74" s="420">
        <f t="shared" si="49"/>
        <v>-5.4488292303053965E-2</v>
      </c>
      <c r="CY74" s="205"/>
      <c r="CZ74" s="205"/>
      <c r="DA74" s="205"/>
      <c r="DB74" s="205"/>
      <c r="DC74" s="205"/>
      <c r="DD74" s="205"/>
      <c r="DE74" s="421">
        <f t="shared" si="107"/>
        <v>1.0738916256157636</v>
      </c>
      <c r="DF74" s="321">
        <v>1.3407</v>
      </c>
      <c r="DG74" s="40">
        <f>CPPIB.!K70</f>
        <v>394</v>
      </c>
      <c r="DH74" s="40">
        <f>CPPIB.!L70</f>
        <v>189</v>
      </c>
      <c r="DI74" s="40">
        <f>CPPIB.!M70</f>
        <v>201</v>
      </c>
      <c r="DJ74" s="40">
        <f t="shared" si="99"/>
        <v>784</v>
      </c>
      <c r="DK74" s="40">
        <f t="shared" si="100"/>
        <v>2.8724682709499664E-3</v>
      </c>
      <c r="DL74" s="326" t="str">
        <f t="shared" si="81"/>
        <v>3Q2015/16</v>
      </c>
      <c r="DM74" s="40">
        <f t="shared" si="38"/>
        <v>293.87633325874543</v>
      </c>
      <c r="DN74" s="40">
        <f t="shared" si="77"/>
        <v>140.97113448198701</v>
      </c>
      <c r="DO74" s="40">
        <f t="shared" si="101"/>
        <v>149.92168270306556</v>
      </c>
      <c r="DP74" s="40">
        <f t="shared" si="78"/>
        <v>584.76915044379803</v>
      </c>
      <c r="DQ74" s="40">
        <f t="shared" si="102"/>
        <v>2.8724682709499664E-3</v>
      </c>
    </row>
    <row r="75" spans="1:121">
      <c r="A75" s="321" t="s">
        <v>1</v>
      </c>
      <c r="B75" s="40">
        <f>NBIM!V74</f>
        <v>7656193</v>
      </c>
      <c r="C75" s="40">
        <f>NBIM!W74</f>
        <v>184973</v>
      </c>
      <c r="D75" s="40">
        <f t="shared" si="82"/>
        <v>7471220</v>
      </c>
      <c r="E75" s="40">
        <f t="shared" si="84"/>
        <v>2.4758071640240818E-2</v>
      </c>
      <c r="F75" s="40">
        <f>NBIM!Z74</f>
        <v>3494640</v>
      </c>
      <c r="H75" s="107">
        <f t="shared" si="85"/>
        <v>6.3012329180847759E-2</v>
      </c>
      <c r="I75" s="107">
        <f t="shared" si="64"/>
        <v>2.441945781294752E-2</v>
      </c>
      <c r="J75" s="234">
        <f t="shared" si="73"/>
        <v>6.1106697769357871E-2</v>
      </c>
      <c r="K75" s="321" t="s">
        <v>1</v>
      </c>
      <c r="L75" s="50">
        <f t="shared" si="65"/>
        <v>864974.60839306994</v>
      </c>
      <c r="M75" s="50">
        <f>L75+L74+L73+L72</f>
        <v>3496618.7293285895</v>
      </c>
      <c r="N75" s="50">
        <f t="shared" si="66"/>
        <v>20897.716167590253</v>
      </c>
      <c r="O75" s="384">
        <f t="shared" si="55"/>
        <v>844076.89222547971</v>
      </c>
      <c r="P75" s="384">
        <f>(O75+O74+O73+O72)</f>
        <v>3413051.0090257637</v>
      </c>
      <c r="Q75" s="384">
        <f t="shared" si="56"/>
        <v>394814.3503533359</v>
      </c>
      <c r="R75" s="384">
        <f>Q75+Q74+Q73+Q72</f>
        <v>1673023.5607545804</v>
      </c>
      <c r="S75" s="396">
        <f t="shared" si="74"/>
        <v>2.2583010724084529E-2</v>
      </c>
      <c r="T75" s="384">
        <f t="shared" si="67"/>
        <v>1.061106697769358</v>
      </c>
      <c r="U75" s="382">
        <f t="shared" si="103"/>
        <v>1.0376729191090268</v>
      </c>
      <c r="V75" s="107">
        <f t="shared" si="76"/>
        <v>2.2583010724084529E-2</v>
      </c>
      <c r="W75" s="205">
        <f>((1+V75)*(1+V74)*(1+V73)*(1+V72))-1</f>
        <v>-2.7145714893200168E-2</v>
      </c>
      <c r="X75" s="321">
        <v>8.8513500000000001</v>
      </c>
      <c r="Y75" s="321" t="s">
        <v>1</v>
      </c>
      <c r="Z75" s="40">
        <f>NBIM!AL74</f>
        <v>328</v>
      </c>
      <c r="AA75" s="40">
        <f>NBIM!AM74</f>
        <v>792</v>
      </c>
      <c r="AB75" s="40">
        <f t="shared" si="83"/>
        <v>1120</v>
      </c>
      <c r="AC75" s="76">
        <f t="shared" si="57"/>
        <v>1.4990858253404398E-4</v>
      </c>
      <c r="AD75" s="173">
        <f>NBIM!AQ74</f>
        <v>252</v>
      </c>
      <c r="AE75" s="321" t="s">
        <v>1</v>
      </c>
      <c r="AF75" s="40">
        <f t="shared" si="89"/>
        <v>37.056494207098353</v>
      </c>
      <c r="AG75" s="40">
        <f t="shared" si="79"/>
        <v>89.477876256164308</v>
      </c>
      <c r="AH75" s="40">
        <f t="shared" si="96"/>
        <v>126.53437046326266</v>
      </c>
      <c r="AI75" s="76">
        <f t="shared" si="58"/>
        <v>1.4990858253404398E-4</v>
      </c>
      <c r="AJ75" s="382">
        <f t="shared" si="97"/>
        <v>28.4702333542341</v>
      </c>
      <c r="AL75" s="321" t="s">
        <v>1</v>
      </c>
      <c r="AM75" s="91">
        <v>350565902173.72998</v>
      </c>
      <c r="AN75" s="92">
        <f t="shared" si="87"/>
        <v>1.7136937464198754E-2</v>
      </c>
      <c r="AO75" s="92">
        <f t="shared" si="88"/>
        <v>1.6991756442841999E-2</v>
      </c>
      <c r="AP75" s="401">
        <f>APG!B75</f>
        <v>1.8925930812168399E-2</v>
      </c>
      <c r="AQ75" s="129">
        <f t="shared" si="86"/>
        <v>1.0189259308121683</v>
      </c>
      <c r="AR75" s="405">
        <f t="shared" si="98"/>
        <v>-8.4123859932511147E-3</v>
      </c>
      <c r="AS75" s="55">
        <f>AR72+AR73+AR74+AR75</f>
        <v>-7.9814161411178031E-2</v>
      </c>
      <c r="AT75" s="55"/>
      <c r="AU75" s="55"/>
      <c r="AV75" s="129"/>
      <c r="AW75" s="188"/>
      <c r="AX75" s="55"/>
      <c r="AY75" s="55"/>
      <c r="AZ75" s="55"/>
      <c r="BA75" s="55"/>
      <c r="BB75" s="55"/>
      <c r="BC75" s="92"/>
      <c r="BD75" s="92"/>
      <c r="BE75" s="92"/>
      <c r="BF75" s="92"/>
      <c r="BG75" s="58"/>
      <c r="BH75" s="92"/>
      <c r="BI75" s="92"/>
      <c r="BJ75" s="409">
        <f t="shared" si="104"/>
        <v>1.027570248376694</v>
      </c>
      <c r="BK75" s="410">
        <v>0.92055599999999993</v>
      </c>
      <c r="BL75" s="103">
        <f t="shared" si="90"/>
        <v>380819746081.42255</v>
      </c>
      <c r="BM75" s="107">
        <f t="shared" si="105"/>
        <v>-1.0153379711973165E-2</v>
      </c>
      <c r="BN75" s="107">
        <f t="shared" si="106"/>
        <v>-1.0205276858232097E-2</v>
      </c>
      <c r="BO75" s="107"/>
      <c r="BP75" s="107"/>
      <c r="BQ75" s="107"/>
      <c r="BR75" s="107"/>
      <c r="BS75" s="107"/>
      <c r="BT75" s="107"/>
      <c r="BU75" s="76"/>
      <c r="BV75" s="76"/>
      <c r="BW75" s="76"/>
      <c r="CA75" s="321" t="str">
        <f>CPPIB.!A71</f>
        <v>4Q2015/16</v>
      </c>
      <c r="CB75" s="50">
        <f>CPPIB.!B71</f>
        <v>367353</v>
      </c>
      <c r="CC75" s="50">
        <f>CPPIB.!C71</f>
        <v>84782</v>
      </c>
      <c r="CD75" s="40">
        <f>CPPIB.!D71</f>
        <v>282571</v>
      </c>
      <c r="CE75" s="40">
        <f>CPPIB.!E71</f>
        <v>129981</v>
      </c>
      <c r="CF75" s="234">
        <f t="shared" si="91"/>
        <v>4.5025207374622678E-2</v>
      </c>
      <c r="CG75" s="107">
        <f t="shared" si="108"/>
        <v>4.4041007015437304E-2</v>
      </c>
      <c r="CH75" s="393">
        <f t="shared" si="47"/>
        <v>1.0440410070154373</v>
      </c>
      <c r="CI75" s="107">
        <f>((CG75+1)*(CG74+1)*(CG73+1)*(CG72+1))-1</f>
        <v>0.15434176950567702</v>
      </c>
      <c r="CJ75" s="107"/>
      <c r="CK75" s="107"/>
      <c r="CL75" s="107"/>
      <c r="CM75" s="107"/>
      <c r="CN75" s="410">
        <v>1.3891000000000002</v>
      </c>
      <c r="CO75" s="327" t="str">
        <f t="shared" si="80"/>
        <v>4Q2015/16</v>
      </c>
      <c r="CP75" s="187">
        <f>CB75/CN75</f>
        <v>264453.9629976243</v>
      </c>
      <c r="CQ75" s="187">
        <f>CP75+CP74+CP73+CP72</f>
        <v>1039422.4976414336</v>
      </c>
      <c r="CR75" s="187">
        <f t="shared" si="93"/>
        <v>61033.762868044047</v>
      </c>
      <c r="CS75" s="40">
        <f t="shared" si="94"/>
        <v>203420.20012958028</v>
      </c>
      <c r="CT75" s="40">
        <f>CS75+CS74+CS73+CS72</f>
        <v>831125.45545945421</v>
      </c>
      <c r="CU75" s="40">
        <f t="shared" si="95"/>
        <v>93572.097041249712</v>
      </c>
      <c r="CV75" s="40">
        <f>CU75+CU74+CU73+CU72</f>
        <v>399960.79214653902</v>
      </c>
      <c r="CW75" s="76">
        <f t="shared" si="48"/>
        <v>7.6637953391380798E-3</v>
      </c>
      <c r="CX75" s="420">
        <f t="shared" si="49"/>
        <v>7.6637953391380798E-3</v>
      </c>
      <c r="CY75" s="205"/>
      <c r="CZ75" s="205"/>
      <c r="DA75" s="205"/>
      <c r="DB75" s="205"/>
      <c r="DC75" s="205"/>
      <c r="DD75" s="205"/>
      <c r="DE75" s="421">
        <f t="shared" si="107"/>
        <v>1.0361005444916835</v>
      </c>
      <c r="DF75" s="321">
        <v>1.3891000000000002</v>
      </c>
      <c r="DG75" s="40">
        <f>CPPIB.!K71</f>
        <v>241</v>
      </c>
      <c r="DH75" s="40">
        <f>CPPIB.!L71</f>
        <v>80</v>
      </c>
      <c r="DI75" s="40">
        <f>CPPIB.!M71</f>
        <v>226</v>
      </c>
      <c r="DJ75" s="40">
        <f t="shared" si="99"/>
        <v>547</v>
      </c>
      <c r="DK75" s="40">
        <f t="shared" si="100"/>
        <v>1.9357966670323565E-3</v>
      </c>
      <c r="DL75" s="326" t="str">
        <f t="shared" si="81"/>
        <v>4Q2015/16</v>
      </c>
      <c r="DM75" s="40">
        <f t="shared" si="38"/>
        <v>173.49362896839676</v>
      </c>
      <c r="DN75" s="40">
        <f t="shared" si="77"/>
        <v>57.591246130588139</v>
      </c>
      <c r="DO75" s="40">
        <f t="shared" si="101"/>
        <v>162.6952703189115</v>
      </c>
      <c r="DP75" s="40">
        <f t="shared" si="78"/>
        <v>393.78014541789639</v>
      </c>
      <c r="DQ75" s="40">
        <f t="shared" si="102"/>
        <v>1.9357966670323563E-3</v>
      </c>
    </row>
    <row r="76" spans="1:121">
      <c r="A76" s="321" t="s">
        <v>47</v>
      </c>
      <c r="B76" s="40">
        <f>NBIM!V75</f>
        <v>7304858</v>
      </c>
      <c r="C76" s="40">
        <f>NBIM!W75</f>
        <v>226627</v>
      </c>
      <c r="D76" s="40">
        <f t="shared" si="82"/>
        <v>7078231</v>
      </c>
      <c r="E76" s="40">
        <f t="shared" si="84"/>
        <v>3.2017463120375698E-2</v>
      </c>
      <c r="F76" s="40">
        <f>NBIM!Z75</f>
        <v>3473840</v>
      </c>
      <c r="H76" s="107">
        <f t="shared" si="85"/>
        <v>-4.981636198639583E-2</v>
      </c>
      <c r="I76" s="107">
        <f t="shared" si="64"/>
        <v>1.6824294312433485E-2</v>
      </c>
      <c r="J76" s="234">
        <f t="shared" si="73"/>
        <v>-5.1100009895986495E-2</v>
      </c>
      <c r="K76" s="321" t="s">
        <v>47</v>
      </c>
      <c r="L76" s="50">
        <f t="shared" si="65"/>
        <v>883162.52077980957</v>
      </c>
      <c r="N76" s="50">
        <f t="shared" si="66"/>
        <v>27399.365271270966</v>
      </c>
      <c r="O76" s="384">
        <f t="shared" si="55"/>
        <v>855763.15550853859</v>
      </c>
      <c r="P76" s="384"/>
      <c r="Q76" s="384">
        <f t="shared" si="56"/>
        <v>419989.72343962517</v>
      </c>
      <c r="R76" s="384"/>
      <c r="S76" s="396">
        <f t="shared" si="74"/>
        <v>1.5450618395908666E-2</v>
      </c>
      <c r="T76" s="384">
        <f t="shared" si="67"/>
        <v>0.94889999010401349</v>
      </c>
      <c r="U76" s="382">
        <f t="shared" si="103"/>
        <v>0.93446197472701908</v>
      </c>
      <c r="V76" s="107">
        <f t="shared" si="76"/>
        <v>1.5450618395908666E-2</v>
      </c>
      <c r="W76" s="205"/>
      <c r="X76" s="321">
        <v>8.2712500000000002</v>
      </c>
      <c r="Y76" s="321" t="s">
        <v>47</v>
      </c>
      <c r="Z76" s="40">
        <f>NBIM!AL75</f>
        <v>83</v>
      </c>
      <c r="AA76" s="40">
        <f>NBIM!AM75</f>
        <v>669</v>
      </c>
      <c r="AB76" s="40">
        <f t="shared" si="83"/>
        <v>752</v>
      </c>
      <c r="AC76" s="76">
        <f t="shared" si="57"/>
        <v>1.0624123456835472E-4</v>
      </c>
      <c r="AD76" s="173">
        <f>NBIM!AQ75</f>
        <v>-87</v>
      </c>
      <c r="AE76" s="321" t="s">
        <v>47</v>
      </c>
      <c r="AF76" s="40">
        <f t="shared" si="89"/>
        <v>10.034758954208856</v>
      </c>
      <c r="AG76" s="40">
        <f t="shared" si="79"/>
        <v>80.882575185129213</v>
      </c>
      <c r="AH76" s="40">
        <f t="shared" si="96"/>
        <v>90.917334139338067</v>
      </c>
      <c r="AI76" s="76">
        <f t="shared" si="58"/>
        <v>1.0624123456835472E-4</v>
      </c>
      <c r="AJ76" s="382">
        <f t="shared" si="97"/>
        <v>-10.518361795375547</v>
      </c>
      <c r="AL76" s="321" t="s">
        <v>47</v>
      </c>
      <c r="AM76" s="91">
        <v>357631580066.25299</v>
      </c>
      <c r="AN76" s="92">
        <f t="shared" si="87"/>
        <v>2.0155063138517892E-2</v>
      </c>
      <c r="AO76" s="92">
        <f t="shared" si="88"/>
        <v>1.995463842672382E-2</v>
      </c>
      <c r="AP76" s="401">
        <f>APG!B76</f>
        <v>2.2296416141178398E-2</v>
      </c>
      <c r="AQ76" s="129">
        <f t="shared" si="86"/>
        <v>1.0222964161411785</v>
      </c>
      <c r="AR76" s="405">
        <f t="shared" si="98"/>
        <v>7.2409430985128642E-2</v>
      </c>
      <c r="AS76" s="55"/>
      <c r="AT76" s="55"/>
      <c r="AU76" s="55"/>
      <c r="AV76" s="129"/>
      <c r="AW76" s="188"/>
      <c r="AX76" s="55"/>
      <c r="AY76" s="55"/>
      <c r="AZ76" s="55"/>
      <c r="BA76" s="55"/>
      <c r="BB76" s="55"/>
      <c r="BC76" s="92"/>
      <c r="BD76" s="92"/>
      <c r="BE76" s="92"/>
      <c r="BF76" s="92"/>
      <c r="BG76" s="58"/>
      <c r="BH76" s="92"/>
      <c r="BI76" s="92"/>
      <c r="BJ76" s="409">
        <f t="shared" si="104"/>
        <v>0.95327063209625484</v>
      </c>
      <c r="BK76" s="410">
        <v>0.87753899999999996</v>
      </c>
      <c r="BL76" s="103">
        <f t="shared" si="90"/>
        <v>407539243345.59833</v>
      </c>
      <c r="BM76" s="107">
        <f t="shared" si="105"/>
        <v>7.016310876501386E-2</v>
      </c>
      <c r="BN76" s="107">
        <f t="shared" si="106"/>
        <v>6.7811074954452336E-2</v>
      </c>
      <c r="BO76" s="107"/>
      <c r="BP76" s="107"/>
      <c r="BQ76" s="107"/>
      <c r="BR76" s="107"/>
      <c r="BS76" s="107"/>
      <c r="BT76" s="107"/>
      <c r="BU76" s="76"/>
      <c r="BV76" s="76"/>
      <c r="BW76" s="76"/>
      <c r="CA76" s="321" t="str">
        <f>CPPIB.!A72</f>
        <v>1Q2016/16</v>
      </c>
      <c r="CB76" s="50">
        <f>CPPIB.!B72</f>
        <v>348415</v>
      </c>
      <c r="CC76" s="50">
        <f>CPPIB.!C72</f>
        <v>69474</v>
      </c>
      <c r="CD76" s="40">
        <f>CPPIB.!D72</f>
        <v>278941</v>
      </c>
      <c r="CE76" s="40">
        <f>CPPIB.!E72</f>
        <v>133505</v>
      </c>
      <c r="CF76" s="234">
        <f t="shared" si="91"/>
        <v>-2.5317530815264111E-2</v>
      </c>
      <c r="CG76" s="107">
        <f t="shared" si="108"/>
        <v>-2.5643533658178008E-2</v>
      </c>
      <c r="CH76" s="393">
        <f t="shared" si="47"/>
        <v>0.97435646634182205</v>
      </c>
      <c r="CI76" s="107"/>
      <c r="CJ76" s="107"/>
      <c r="CK76" s="107"/>
      <c r="CL76" s="107"/>
      <c r="CM76" s="107"/>
      <c r="CN76" s="410">
        <v>1.2934500000000002</v>
      </c>
      <c r="CO76" s="327" t="str">
        <f t="shared" si="80"/>
        <v>1Q2016/16</v>
      </c>
      <c r="CP76" s="187">
        <f t="shared" si="92"/>
        <v>269368.74251034053</v>
      </c>
      <c r="CQ76" s="187"/>
      <c r="CR76" s="187">
        <f t="shared" si="93"/>
        <v>53712.165139742538</v>
      </c>
      <c r="CS76" s="40">
        <f t="shared" si="94"/>
        <v>215656.57737059798</v>
      </c>
      <c r="CU76" s="40">
        <f t="shared" si="95"/>
        <v>103216.20472380068</v>
      </c>
      <c r="CW76" s="76">
        <f t="shared" si="48"/>
        <v>4.6409654331767802E-2</v>
      </c>
      <c r="CX76" s="420">
        <f t="shared" si="49"/>
        <v>4.6409654331767802E-2</v>
      </c>
      <c r="CY76" s="205">
        <f>((CX73+1)*(1+CX74)*(1+CX75)*(1+CX76))-1</f>
        <v>1.0750799636823238E-2</v>
      </c>
      <c r="CZ76" s="205"/>
      <c r="DA76" s="205"/>
      <c r="DB76" s="205"/>
      <c r="DC76" s="205"/>
      <c r="DD76" s="205"/>
      <c r="DE76" s="421">
        <f t="shared" si="107"/>
        <v>0.93114246634511555</v>
      </c>
      <c r="DF76" s="321">
        <v>1.2934500000000002</v>
      </c>
      <c r="DG76" s="40">
        <f>CPPIB.!K72</f>
        <v>338</v>
      </c>
      <c r="DH76" s="40">
        <f>CPPIB.!L72</f>
        <v>92</v>
      </c>
      <c r="DI76" s="40">
        <f>CPPIB.!M72</f>
        <v>241</v>
      </c>
      <c r="DJ76" s="40">
        <f t="shared" si="99"/>
        <v>671</v>
      </c>
      <c r="DK76" s="40">
        <f t="shared" si="100"/>
        <v>2.4055266167397407E-3</v>
      </c>
      <c r="DL76" s="326" t="str">
        <f t="shared" si="81"/>
        <v>1Q2016/16</v>
      </c>
      <c r="DM76" s="40">
        <f t="shared" si="38"/>
        <v>261.31663380880588</v>
      </c>
      <c r="DN76" s="40">
        <f t="shared" si="77"/>
        <v>71.127604468669048</v>
      </c>
      <c r="DO76" s="40">
        <f t="shared" si="101"/>
        <v>186.32339866249177</v>
      </c>
      <c r="DP76" s="40">
        <f t="shared" si="78"/>
        <v>518.76763693996668</v>
      </c>
      <c r="DQ76" s="40">
        <f t="shared" si="102"/>
        <v>2.4055266167397407E-3</v>
      </c>
    </row>
    <row r="77" spans="1:121">
      <c r="A77" s="321" t="s">
        <v>2</v>
      </c>
      <c r="B77" s="40">
        <f>NBIM!V76</f>
        <v>7451663</v>
      </c>
      <c r="C77" s="40">
        <f>NBIM!W76</f>
        <v>276719</v>
      </c>
      <c r="D77" s="40">
        <f t="shared" si="82"/>
        <v>7174944</v>
      </c>
      <c r="E77" s="40">
        <f t="shared" si="84"/>
        <v>3.8567409027861405E-2</v>
      </c>
      <c r="F77" s="40">
        <f>NBIM!Z76</f>
        <v>3449840</v>
      </c>
      <c r="H77" s="107">
        <f t="shared" si="85"/>
        <v>1.7054119878257668E-2</v>
      </c>
      <c r="I77" s="107">
        <f t="shared" si="64"/>
        <v>5.3010461395011088E-3</v>
      </c>
      <c r="J77" s="234">
        <f t="shared" si="73"/>
        <v>1.6910330870069067E-2</v>
      </c>
      <c r="K77" s="321" t="s">
        <v>2</v>
      </c>
      <c r="L77" s="50">
        <f t="shared" si="65"/>
        <v>890500.42125012691</v>
      </c>
      <c r="N77" s="50">
        <f t="shared" si="66"/>
        <v>33068.911740629424</v>
      </c>
      <c r="O77" s="384">
        <f t="shared" si="55"/>
        <v>857431.50950949755</v>
      </c>
      <c r="P77" s="384"/>
      <c r="Q77" s="384">
        <f t="shared" si="56"/>
        <v>412268.23774042627</v>
      </c>
      <c r="R77" s="384"/>
      <c r="S77" s="396">
        <f t="shared" si="74"/>
        <v>5.1589187565723726E-3</v>
      </c>
      <c r="T77" s="384">
        <f t="shared" si="67"/>
        <v>1.0169103308700691</v>
      </c>
      <c r="U77" s="382">
        <f t="shared" si="103"/>
        <v>1.0116910986852048</v>
      </c>
      <c r="V77" s="107">
        <f t="shared" si="76"/>
        <v>5.1589187565723726E-3</v>
      </c>
      <c r="W77" s="205"/>
      <c r="X77" s="321">
        <v>8.3679500000000004</v>
      </c>
      <c r="Y77" s="321" t="s">
        <v>2</v>
      </c>
      <c r="Z77" s="40">
        <f>NBIM!AL76</f>
        <v>360</v>
      </c>
      <c r="AA77" s="40">
        <f>NBIM!AM76</f>
        <v>698</v>
      </c>
      <c r="AB77" s="40">
        <f t="shared" si="83"/>
        <v>1058</v>
      </c>
      <c r="AC77" s="76">
        <f t="shared" si="57"/>
        <v>1.4745759688159239E-4</v>
      </c>
      <c r="AD77" s="173">
        <f>NBIM!AQ76</f>
        <v>169</v>
      </c>
      <c r="AE77" s="321" t="s">
        <v>2</v>
      </c>
      <c r="AF77" s="40">
        <f t="shared" si="89"/>
        <v>43.021289563154653</v>
      </c>
      <c r="AG77" s="40">
        <f t="shared" si="79"/>
        <v>83.413500319672082</v>
      </c>
      <c r="AH77" s="40">
        <f t="shared" si="96"/>
        <v>126.43478988282673</v>
      </c>
      <c r="AI77" s="76">
        <f t="shared" si="58"/>
        <v>1.4745759688159239E-4</v>
      </c>
      <c r="AJ77" s="382">
        <f t="shared" si="97"/>
        <v>20.196105378258711</v>
      </c>
      <c r="AL77" s="321" t="s">
        <v>2</v>
      </c>
      <c r="AM77" s="91">
        <v>370897652739.341</v>
      </c>
      <c r="AN77" s="92">
        <f t="shared" si="87"/>
        <v>3.7094242825620682E-2</v>
      </c>
      <c r="AO77" s="92">
        <f t="shared" si="88"/>
        <v>3.6422805374173362E-2</v>
      </c>
      <c r="AP77" s="401">
        <f>APG!B77</f>
        <v>3.8913380006590101E-2</v>
      </c>
      <c r="AQ77" s="129">
        <f t="shared" si="86"/>
        <v>1.0389133800065902</v>
      </c>
      <c r="AR77" s="405">
        <f t="shared" si="98"/>
        <v>1.2838140867943659E-2</v>
      </c>
      <c r="AS77" s="55"/>
      <c r="AT77" s="55"/>
      <c r="AU77" s="55"/>
      <c r="AV77" s="129"/>
      <c r="AW77" s="188"/>
      <c r="AX77" s="55"/>
      <c r="AY77" s="55"/>
      <c r="AZ77" s="55"/>
      <c r="BA77" s="55"/>
      <c r="BB77" s="55"/>
      <c r="BC77" s="92"/>
      <c r="BD77" s="92"/>
      <c r="BE77" s="92"/>
      <c r="BF77" s="92"/>
      <c r="BG77" s="58"/>
      <c r="BH77" s="92"/>
      <c r="BI77" s="92"/>
      <c r="BJ77" s="409">
        <f t="shared" si="104"/>
        <v>1.0257447247358809</v>
      </c>
      <c r="BK77" s="410">
        <v>0.90013100000000001</v>
      </c>
      <c r="BL77" s="103">
        <f t="shared" si="90"/>
        <v>412048527091.43555</v>
      </c>
      <c r="BM77" s="107">
        <f t="shared" si="105"/>
        <v>1.1064661427006017E-2</v>
      </c>
      <c r="BN77" s="107">
        <f t="shared" si="106"/>
        <v>1.1003895883329375E-2</v>
      </c>
      <c r="BO77" s="107"/>
      <c r="BP77" s="107"/>
      <c r="BQ77" s="107"/>
      <c r="BR77" s="107"/>
      <c r="BS77" s="107"/>
      <c r="BT77" s="107"/>
      <c r="BU77" s="76"/>
      <c r="BV77" s="76"/>
      <c r="BW77" s="76"/>
      <c r="CA77" s="321" t="str">
        <f>CPPIB.!A73</f>
        <v>2Q2016/17</v>
      </c>
      <c r="CB77" s="50">
        <f>CPPIB.!B73</f>
        <v>362574</v>
      </c>
      <c r="CC77" s="50">
        <f>CPPIB.!C73</f>
        <v>75309</v>
      </c>
      <c r="CD77" s="40">
        <f>CPPIB.!D73</f>
        <v>287265</v>
      </c>
      <c r="CE77" s="40">
        <f>CPPIB.!E73</f>
        <v>137731</v>
      </c>
      <c r="CF77" s="234">
        <f t="shared" si="91"/>
        <v>1.469127880089327E-2</v>
      </c>
      <c r="CG77" s="107">
        <f t="shared" si="108"/>
        <v>1.4584407411222152E-2</v>
      </c>
      <c r="CH77" s="393">
        <f t="shared" si="47"/>
        <v>1.0145844074112222</v>
      </c>
      <c r="CI77" s="107"/>
      <c r="CJ77" s="107"/>
      <c r="CK77" s="107"/>
      <c r="CL77" s="107"/>
      <c r="CM77" s="107"/>
      <c r="CN77" s="410">
        <v>1.2987000000000002</v>
      </c>
      <c r="CO77" s="327" t="str">
        <f t="shared" si="80"/>
        <v>2Q2016/17</v>
      </c>
      <c r="CP77" s="187">
        <f t="shared" si="92"/>
        <v>279182.25918225915</v>
      </c>
      <c r="CQ77" s="187"/>
      <c r="CR77" s="187">
        <f t="shared" si="93"/>
        <v>57987.987987987981</v>
      </c>
      <c r="CS77" s="40">
        <f t="shared" si="94"/>
        <v>221194.27119427116</v>
      </c>
      <c r="CU77" s="40">
        <f t="shared" si="95"/>
        <v>106052.97605297604</v>
      </c>
      <c r="CW77" s="76">
        <f t="shared" si="48"/>
        <v>1.048294584280085E-2</v>
      </c>
      <c r="CX77" s="420">
        <f t="shared" si="49"/>
        <v>1.048294584280085E-2</v>
      </c>
      <c r="CY77" s="205"/>
      <c r="CZ77" s="205"/>
      <c r="DA77" s="205"/>
      <c r="DB77" s="205"/>
      <c r="DC77" s="205"/>
      <c r="DD77" s="205"/>
      <c r="DE77" s="421">
        <f t="shared" si="107"/>
        <v>1.0040589122115273</v>
      </c>
      <c r="DF77" s="321">
        <v>1.2987000000000002</v>
      </c>
      <c r="DG77" s="40">
        <f>CPPIB.!K73</f>
        <v>279</v>
      </c>
      <c r="DH77" s="40">
        <f>CPPIB.!L73</f>
        <v>92</v>
      </c>
      <c r="DI77" s="40">
        <f>CPPIB.!M73</f>
        <v>213</v>
      </c>
      <c r="DJ77" s="40">
        <f t="shared" si="99"/>
        <v>584</v>
      </c>
      <c r="DK77" s="40">
        <f t="shared" si="100"/>
        <v>2.0329660766191496E-3</v>
      </c>
      <c r="DL77" s="326" t="str">
        <f t="shared" si="81"/>
        <v>2Q2016/17</v>
      </c>
      <c r="DM77" s="40">
        <f t="shared" si="38"/>
        <v>214.8302148302148</v>
      </c>
      <c r="DN77" s="40">
        <f t="shared" si="77"/>
        <v>70.840070840070837</v>
      </c>
      <c r="DO77" s="40">
        <f t="shared" si="101"/>
        <v>164.01016401016398</v>
      </c>
      <c r="DP77" s="40">
        <f t="shared" si="78"/>
        <v>449.68044968044961</v>
      </c>
      <c r="DQ77" s="40">
        <f t="shared" si="102"/>
        <v>2.0329660766191496E-3</v>
      </c>
    </row>
    <row r="78" spans="1:121">
      <c r="A78" s="321" t="s">
        <v>3</v>
      </c>
      <c r="B78" s="40">
        <f>NBIM!V77</f>
        <v>7369948</v>
      </c>
      <c r="C78" s="40">
        <f>NBIM!W77</f>
        <v>254398</v>
      </c>
      <c r="D78" s="40">
        <f>B78-C78</f>
        <v>7115550</v>
      </c>
      <c r="E78" s="40">
        <f t="shared" si="84"/>
        <v>3.5752401430669448E-2</v>
      </c>
      <c r="F78" s="40">
        <f>NBIM!Z77</f>
        <v>3420340</v>
      </c>
      <c r="H78" s="107">
        <f>((D78-(F78-F77))/D77)-1</f>
        <v>-4.1664436684104578E-3</v>
      </c>
      <c r="I78" s="107">
        <f t="shared" si="64"/>
        <v>4.2639216208716357E-2</v>
      </c>
      <c r="J78" s="234">
        <f t="shared" si="73"/>
        <v>-4.1751474792024032E-3</v>
      </c>
      <c r="K78" s="321" t="s">
        <v>3</v>
      </c>
      <c r="L78" s="50">
        <f t="shared" si="65"/>
        <v>922131.05113671895</v>
      </c>
      <c r="N78" s="50">
        <f t="shared" si="66"/>
        <v>31830.386747244218</v>
      </c>
      <c r="O78" s="384">
        <f t="shared" si="55"/>
        <v>890300.66438947478</v>
      </c>
      <c r="P78" s="384"/>
      <c r="Q78" s="384">
        <f t="shared" si="56"/>
        <v>427954.40611588646</v>
      </c>
      <c r="R78" s="384"/>
      <c r="S78" s="396">
        <f t="shared" si="74"/>
        <v>4.2630103305857814E-2</v>
      </c>
      <c r="T78" s="384">
        <f t="shared" si="67"/>
        <v>0.99582485252079755</v>
      </c>
      <c r="U78" s="382">
        <f t="shared" si="103"/>
        <v>0.95510847937666943</v>
      </c>
      <c r="V78" s="107">
        <f t="shared" si="76"/>
        <v>4.2630103305857814E-2</v>
      </c>
      <c r="W78" s="205"/>
      <c r="X78" s="321">
        <v>7.9923000000000011</v>
      </c>
      <c r="Y78" s="321" t="s">
        <v>3</v>
      </c>
      <c r="Z78" s="40">
        <f>NBIM!AL77</f>
        <v>363</v>
      </c>
      <c r="AA78" s="40">
        <f>NBIM!AM77</f>
        <v>733</v>
      </c>
      <c r="AB78" s="40">
        <f t="shared" si="83"/>
        <v>1096</v>
      </c>
      <c r="AC78" s="76">
        <f t="shared" si="57"/>
        <v>1.5402885230235189E-4</v>
      </c>
      <c r="AD78" s="173">
        <f>NBIM!AQ77</f>
        <v>171</v>
      </c>
      <c r="AE78" s="321" t="s">
        <v>3</v>
      </c>
      <c r="AF78" s="40">
        <f>Z78/X78</f>
        <v>45.41871551368191</v>
      </c>
      <c r="AG78" s="40">
        <f>AA78/X78</f>
        <v>91.713274026250247</v>
      </c>
      <c r="AH78" s="40">
        <f t="shared" si="96"/>
        <v>137.13198953993216</v>
      </c>
      <c r="AI78" s="76">
        <f t="shared" si="58"/>
        <v>1.5402885230235189E-4</v>
      </c>
      <c r="AJ78" s="382">
        <f t="shared" si="97"/>
        <v>21.395593258511315</v>
      </c>
      <c r="AL78" s="321" t="s">
        <v>3</v>
      </c>
      <c r="AM78" s="91">
        <v>380155014596.10999</v>
      </c>
      <c r="AN78" s="92">
        <f t="shared" si="87"/>
        <v>2.495934333473615E-2</v>
      </c>
      <c r="AO78" s="92">
        <f t="shared" si="88"/>
        <v>2.4652946764411224E-2</v>
      </c>
      <c r="AP78" s="401">
        <f>APG!B78</f>
        <v>2.6521876650206101E-2</v>
      </c>
      <c r="AQ78" s="129">
        <f t="shared" si="86"/>
        <v>1.026521876650206</v>
      </c>
      <c r="AR78" s="405">
        <f t="shared" si="98"/>
        <v>3.8395936508697881E-2</v>
      </c>
      <c r="AS78" s="55"/>
      <c r="AT78" s="55"/>
      <c r="AU78" s="55"/>
      <c r="AV78" s="129"/>
      <c r="AW78" s="188"/>
      <c r="AX78" s="55"/>
      <c r="AY78" s="55"/>
      <c r="AZ78" s="55"/>
      <c r="BA78" s="55"/>
      <c r="BB78" s="55"/>
      <c r="BC78" s="92"/>
      <c r="BD78" s="92"/>
      <c r="BE78" s="92"/>
      <c r="BF78" s="92"/>
      <c r="BG78" s="58"/>
      <c r="BH78" s="92"/>
      <c r="BI78" s="92"/>
      <c r="BJ78" s="409">
        <f t="shared" si="104"/>
        <v>0.9885649977614368</v>
      </c>
      <c r="BK78" s="410">
        <v>0.88983799999999991</v>
      </c>
      <c r="BL78" s="103">
        <f t="shared" si="90"/>
        <v>427218229156.44202</v>
      </c>
      <c r="BM78" s="107">
        <f t="shared" si="105"/>
        <v>3.6815328942166659E-2</v>
      </c>
      <c r="BN78" s="107">
        <f t="shared" si="106"/>
        <v>3.6153831365921082E-2</v>
      </c>
      <c r="BO78" s="107"/>
      <c r="BP78" s="107"/>
      <c r="BQ78" s="107"/>
      <c r="BR78" s="107"/>
      <c r="BS78" s="107"/>
      <c r="BT78" s="107"/>
      <c r="BU78" s="76"/>
      <c r="BV78" s="76"/>
      <c r="BW78" s="76"/>
      <c r="CA78" s="321" t="str">
        <f>CPPIB.!A74</f>
        <v>3Q2016/17</v>
      </c>
      <c r="CB78" s="50">
        <f>CPPIB.!B74</f>
        <v>379652</v>
      </c>
      <c r="CC78" s="50">
        <f>CPPIB.!C74</f>
        <v>79104</v>
      </c>
      <c r="CD78" s="40">
        <f>CPPIB.!D74</f>
        <v>300548</v>
      </c>
      <c r="CE78" s="40">
        <f>CPPIB.!E74</f>
        <v>137363</v>
      </c>
      <c r="CF78" s="234">
        <f t="shared" si="91"/>
        <v>4.7520582040972537E-2</v>
      </c>
      <c r="CG78" s="107">
        <f t="shared" si="108"/>
        <v>4.6426021347587478E-2</v>
      </c>
      <c r="CH78" s="393">
        <f t="shared" si="47"/>
        <v>1.0464260213475876</v>
      </c>
      <c r="CI78" s="107"/>
      <c r="CJ78" s="107"/>
      <c r="CK78" s="107"/>
      <c r="CL78" s="107"/>
      <c r="CM78" s="107"/>
      <c r="CN78" s="410">
        <v>1.3142500000000001</v>
      </c>
      <c r="CO78" s="327" t="str">
        <f t="shared" si="80"/>
        <v>3Q2016/17</v>
      </c>
      <c r="CP78" s="187">
        <f t="shared" si="92"/>
        <v>288873.50199733686</v>
      </c>
      <c r="CQ78" s="187"/>
      <c r="CR78" s="187">
        <f t="shared" si="93"/>
        <v>60189.461670154073</v>
      </c>
      <c r="CS78" s="40">
        <f t="shared" si="94"/>
        <v>228684.04032718277</v>
      </c>
      <c r="CU78" s="40">
        <f t="shared" si="95"/>
        <v>104518.16625451777</v>
      </c>
      <c r="CW78" s="76">
        <f t="shared" si="48"/>
        <v>3.4044872683364646E-2</v>
      </c>
      <c r="CX78" s="420">
        <f t="shared" si="49"/>
        <v>3.4044872683364646E-2</v>
      </c>
      <c r="CY78" s="205"/>
      <c r="CZ78" s="205"/>
      <c r="DA78" s="205"/>
      <c r="DB78" s="205"/>
      <c r="DC78" s="205"/>
      <c r="DD78" s="205"/>
      <c r="DE78" s="421">
        <f t="shared" si="107"/>
        <v>1.011973511973512</v>
      </c>
      <c r="DF78" s="321">
        <v>1.3142500000000001</v>
      </c>
      <c r="DG78" s="40">
        <f>CPPIB.!K74</f>
        <v>331</v>
      </c>
      <c r="DH78" s="40">
        <f>CPPIB.!L74</f>
        <v>151</v>
      </c>
      <c r="DI78" s="40">
        <f>CPPIB.!M74</f>
        <v>228</v>
      </c>
      <c r="DJ78" s="40">
        <f t="shared" si="99"/>
        <v>710</v>
      </c>
      <c r="DK78" s="40">
        <f t="shared" si="100"/>
        <v>2.3623514380398474E-3</v>
      </c>
      <c r="DL78" s="326" t="str">
        <f t="shared" si="81"/>
        <v>3Q2016/17</v>
      </c>
      <c r="DM78" s="40">
        <f>DG78/DF78</f>
        <v>251.85466996385767</v>
      </c>
      <c r="DN78" s="40">
        <f t="shared" si="77"/>
        <v>114.89442647898039</v>
      </c>
      <c r="DO78" s="40">
        <f t="shared" si="101"/>
        <v>173.48297508084457</v>
      </c>
      <c r="DP78" s="40">
        <f t="shared" si="78"/>
        <v>540.23207152368263</v>
      </c>
      <c r="DQ78" s="40">
        <f t="shared" si="102"/>
        <v>2.3623514380398474E-3</v>
      </c>
    </row>
    <row r="79" spans="1:121" ht="15.75" thickBot="1">
      <c r="A79" s="321" t="s">
        <v>5</v>
      </c>
      <c r="B79" s="40">
        <f>NBIM!V78</f>
        <v>7756342</v>
      </c>
      <c r="C79" s="40">
        <f>NBIM!W78</f>
        <v>249579</v>
      </c>
      <c r="D79" s="40">
        <f>B79-C79</f>
        <v>7506763</v>
      </c>
      <c r="E79" s="40">
        <f>C79/D79</f>
        <v>3.3247219873599312E-2</v>
      </c>
      <c r="F79" s="40">
        <f>NBIM!Z78</f>
        <v>3393340</v>
      </c>
      <c r="H79" s="107">
        <f>((D79-(F79-F78))/D78)-1</f>
        <v>5.8774514970733049E-2</v>
      </c>
      <c r="I79" s="107">
        <f t="shared" si="64"/>
        <v>-1.6921645038675881E-2</v>
      </c>
      <c r="J79" s="234">
        <f t="shared" si="73"/>
        <v>5.7112121351938022E-2</v>
      </c>
      <c r="K79" s="321" t="s">
        <v>5</v>
      </c>
      <c r="L79" s="50">
        <f t="shared" si="65"/>
        <v>901093.43959478126</v>
      </c>
      <c r="M79" s="50">
        <f>L79+L78+L77+L76</f>
        <v>3596887.4327614363</v>
      </c>
      <c r="N79" s="50">
        <f t="shared" si="66"/>
        <v>28994.853445171178</v>
      </c>
      <c r="O79" s="384">
        <f t="shared" si="55"/>
        <v>872098.58614961011</v>
      </c>
      <c r="P79" s="384">
        <f>(O79+O78+O77+O76)</f>
        <v>3475593.9155571209</v>
      </c>
      <c r="Q79" s="384">
        <f t="shared" si="56"/>
        <v>394221.45288520737</v>
      </c>
      <c r="R79" s="384">
        <f>Q79+Q78+Q77+Q76</f>
        <v>1654433.8201811453</v>
      </c>
      <c r="S79" s="398">
        <f>V79</f>
        <v>-1.8465187276381023E-2</v>
      </c>
      <c r="T79" s="384">
        <f t="shared" si="67"/>
        <v>1.0571121213519381</v>
      </c>
      <c r="U79" s="382">
        <f>(X79/X78)</f>
        <v>1.0769991116449582</v>
      </c>
      <c r="V79" s="205">
        <f>(T79/U79)-1</f>
        <v>-1.8465187276381023E-2</v>
      </c>
      <c r="W79" s="205">
        <f>((1+V79)*(1+V78)*(1+V77)*(1+V76))-1</f>
        <v>4.4550656697121216E-2</v>
      </c>
      <c r="X79" s="321">
        <v>8.6077000000000012</v>
      </c>
      <c r="Y79" s="321" t="s">
        <v>5</v>
      </c>
      <c r="Z79" s="40">
        <f>NBIM!AL78</f>
        <v>54</v>
      </c>
      <c r="AA79" s="40">
        <f>NBIM!AM78</f>
        <v>771</v>
      </c>
      <c r="AB79" s="40">
        <f>Z79+AA79</f>
        <v>825</v>
      </c>
      <c r="AC79" s="76">
        <f t="shared" si="57"/>
        <v>1.0990089869628227E-4</v>
      </c>
      <c r="AD79" s="173">
        <f>NBIM!AQ78</f>
        <v>-31</v>
      </c>
      <c r="AE79" s="321" t="s">
        <v>5</v>
      </c>
      <c r="AF79" s="40">
        <f>Z79/X79</f>
        <v>6.2734528387374082</v>
      </c>
      <c r="AG79" s="40">
        <f>AA79/X79</f>
        <v>89.570965530861884</v>
      </c>
      <c r="AH79" s="40">
        <f>AF79+AG79</f>
        <v>95.844418369599296</v>
      </c>
      <c r="AI79" s="76">
        <f t="shared" si="58"/>
        <v>1.0990089869628227E-4</v>
      </c>
      <c r="AJ79" s="382">
        <f t="shared" si="97"/>
        <v>-3.6014266296455495</v>
      </c>
      <c r="AL79" s="321" t="s">
        <v>5</v>
      </c>
      <c r="AM79" s="91">
        <v>380976414880.76202</v>
      </c>
      <c r="AN79" s="92">
        <f t="shared" si="87"/>
        <v>2.1606982760038473E-3</v>
      </c>
      <c r="AO79" s="92">
        <f t="shared" si="88"/>
        <v>2.1583673245352199E-3</v>
      </c>
      <c r="AP79" s="401">
        <f>APG!B79</f>
        <v>3.9106062522397999E-3</v>
      </c>
      <c r="AQ79" s="129">
        <f t="shared" si="86"/>
        <v>1.0039106062522398</v>
      </c>
      <c r="AR79" s="407">
        <f t="shared" si="98"/>
        <v>-5.7773078935081545E-2</v>
      </c>
      <c r="AS79" s="55">
        <f>AR76+AR77+AR78+AR79</f>
        <v>6.5870429426688637E-2</v>
      </c>
      <c r="AT79" s="55"/>
      <c r="AU79" s="55"/>
      <c r="AV79" s="129"/>
      <c r="AW79" s="188"/>
      <c r="AX79" s="55"/>
      <c r="AY79" s="55"/>
      <c r="AZ79" s="55"/>
      <c r="BA79" s="55"/>
      <c r="BB79" s="55"/>
      <c r="BC79" s="92"/>
      <c r="BD79" s="92"/>
      <c r="BE79" s="92"/>
      <c r="BF79" s="92"/>
      <c r="BG79" s="58"/>
      <c r="BH79" s="92"/>
      <c r="BI79" s="92"/>
      <c r="BJ79" s="409">
        <f t="shared" si="104"/>
        <v>1.0654658488399011</v>
      </c>
      <c r="BK79" s="410">
        <v>0.94809199999999993</v>
      </c>
      <c r="BL79" s="103">
        <f t="shared" si="90"/>
        <v>401834858727.59399</v>
      </c>
      <c r="BM79" s="107">
        <f t="shared" si="105"/>
        <v>-5.9415466608174539E-2</v>
      </c>
      <c r="BN79" s="107">
        <f t="shared" si="106"/>
        <v>-6.1253752949115559E-2</v>
      </c>
      <c r="BO79" s="107"/>
      <c r="BP79" s="107"/>
      <c r="BQ79" s="107"/>
      <c r="BR79" s="107"/>
      <c r="BS79" s="107"/>
      <c r="BT79" s="107"/>
      <c r="BU79" s="76"/>
      <c r="BV79" s="76"/>
      <c r="BW79" s="76"/>
      <c r="CA79" s="321" t="str">
        <f>CPPIB.!A75</f>
        <v>4Q2016/17</v>
      </c>
      <c r="CB79" s="50">
        <f>CPPIB.!B75</f>
        <v>366548</v>
      </c>
      <c r="CC79" s="50">
        <f>CPPIB.!C75</f>
        <v>68467</v>
      </c>
      <c r="CD79" s="40">
        <f>CPPIB.!D75</f>
        <v>298081</v>
      </c>
      <c r="CE79" s="40">
        <f>CPPIB.!E75</f>
        <v>133249</v>
      </c>
      <c r="CF79" s="234">
        <f>((CD79-(CE79-CE78))/CD78)-1</f>
        <v>5.4799898851431994E-3</v>
      </c>
      <c r="CG79" s="107">
        <f t="shared" si="108"/>
        <v>5.4650293713288094E-3</v>
      </c>
      <c r="CH79" s="393">
        <f t="shared" si="47"/>
        <v>1.0054650293713288</v>
      </c>
      <c r="CI79" s="107">
        <f>((CG79+1)*(CG78+1)*(CG77+1)*(CG76+1))-1</f>
        <v>4.0115470780065277E-2</v>
      </c>
      <c r="CJ79" s="107"/>
      <c r="CK79" s="107"/>
      <c r="CL79" s="107"/>
      <c r="CM79" s="107"/>
      <c r="CN79" s="410">
        <v>1.3410500000000001</v>
      </c>
      <c r="CO79" s="327" t="str">
        <f t="shared" si="80"/>
        <v>4Q2016/17</v>
      </c>
      <c r="CP79" s="187">
        <f t="shared" si="92"/>
        <v>273329.10778867302</v>
      </c>
      <c r="CQ79" s="187">
        <f>CP79+CP78+CP77+CP76</f>
        <v>1110753.6114786095</v>
      </c>
      <c r="CR79" s="187">
        <f t="shared" si="93"/>
        <v>51054.770515640725</v>
      </c>
      <c r="CS79" s="40">
        <f t="shared" si="94"/>
        <v>222274.33727303232</v>
      </c>
      <c r="CT79" s="40">
        <f>CS79+CS78+CS77+CS76</f>
        <v>887809.22616508417</v>
      </c>
      <c r="CU79" s="40">
        <f t="shared" si="95"/>
        <v>99361.69419484731</v>
      </c>
      <c r="CV79" s="40">
        <f>CU79+CU78+CU77+CU76</f>
        <v>413149.04122614174</v>
      </c>
      <c r="CW79" s="76">
        <f t="shared" si="48"/>
        <v>-1.4628526265785036E-2</v>
      </c>
      <c r="CX79" s="420">
        <f t="shared" si="49"/>
        <v>-1.4628526265785036E-2</v>
      </c>
      <c r="CY79" s="205"/>
      <c r="CZ79" s="205"/>
      <c r="DA79" s="205"/>
      <c r="DB79" s="205"/>
      <c r="DC79" s="205"/>
      <c r="DD79" s="205"/>
      <c r="DE79" s="421">
        <f t="shared" si="107"/>
        <v>1.0203918584744149</v>
      </c>
      <c r="DF79" s="321">
        <v>1.3410500000000001</v>
      </c>
      <c r="DG79" s="40">
        <f>CPPIB.!K75</f>
        <v>345</v>
      </c>
      <c r="DH79" s="40">
        <f>CPPIB.!L75</f>
        <v>67</v>
      </c>
      <c r="DI79" s="40">
        <f>CPPIB.!M75</f>
        <v>230</v>
      </c>
      <c r="DJ79" s="40">
        <f>DI79+DH79+DG79</f>
        <v>642</v>
      </c>
      <c r="DK79" s="40">
        <f t="shared" si="100"/>
        <v>2.1537769935017661E-3</v>
      </c>
      <c r="DL79" s="326" t="str">
        <f>CA79</f>
        <v>4Q2016/17</v>
      </c>
      <c r="DM79" s="40">
        <f>DG79/DF79</f>
        <v>257.26110137578763</v>
      </c>
      <c r="DN79" s="40">
        <f t="shared" si="77"/>
        <v>49.960851571529766</v>
      </c>
      <c r="DO79" s="40">
        <f t="shared" si="101"/>
        <v>171.50740091719175</v>
      </c>
      <c r="DP79" s="40">
        <f t="shared" si="78"/>
        <v>478.72935386450911</v>
      </c>
      <c r="DQ79" s="40">
        <f t="shared" si="102"/>
        <v>2.1537769935017661E-3</v>
      </c>
    </row>
    <row r="80" spans="1:121">
      <c r="F80" s="385"/>
      <c r="O80" s="338"/>
      <c r="P80" s="338"/>
      <c r="Q80" s="338"/>
      <c r="R80" s="338"/>
      <c r="T80" s="173"/>
      <c r="U80" s="173"/>
      <c r="V80" s="107"/>
      <c r="W80" s="386"/>
      <c r="AR80" s="387"/>
      <c r="AS80" s="378"/>
      <c r="AT80" s="378"/>
      <c r="BG80" s="58"/>
      <c r="CY80" s="205"/>
      <c r="CZ80" s="205"/>
      <c r="DA80" s="205"/>
      <c r="DB80" s="205"/>
      <c r="DC80" s="205"/>
      <c r="DJ80" s="388"/>
    </row>
    <row r="81" spans="8:46">
      <c r="H81" s="389" t="s">
        <v>233</v>
      </c>
      <c r="I81" s="389"/>
      <c r="T81" s="173"/>
      <c r="U81" s="173"/>
      <c r="V81" s="107"/>
      <c r="AR81" s="378"/>
      <c r="AS81" s="378"/>
      <c r="AT81" s="378"/>
    </row>
  </sheetData>
  <mergeCells count="13">
    <mergeCell ref="A2:J2"/>
    <mergeCell ref="A1:AI1"/>
    <mergeCell ref="Y2:AD2"/>
    <mergeCell ref="K2:W2"/>
    <mergeCell ref="AE2:AJ2"/>
    <mergeCell ref="DM2:DQ2"/>
    <mergeCell ref="CA1:DQ1"/>
    <mergeCell ref="AL1:BN1"/>
    <mergeCell ref="CA2:CG2"/>
    <mergeCell ref="DG2:DK2"/>
    <mergeCell ref="AL2:BG2"/>
    <mergeCell ref="BL2:BY2"/>
    <mergeCell ref="CO2:DD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B82"/>
  <sheetViews>
    <sheetView zoomScale="90" zoomScaleNormal="90" zoomScalePageLayoutView="90" workbookViewId="0">
      <selection activeCell="T2" sqref="T2"/>
    </sheetView>
  </sheetViews>
  <sheetFormatPr defaultColWidth="8.85546875" defaultRowHeight="15"/>
  <cols>
    <col min="1" max="3" width="12.85546875" style="39" customWidth="1"/>
    <col min="4" max="4" width="15.85546875" style="39" bestFit="1" customWidth="1"/>
    <col min="5" max="5" width="15.42578125" style="39" bestFit="1" customWidth="1"/>
    <col min="6" max="9" width="12.85546875" style="39" customWidth="1"/>
    <col min="10" max="10" width="12.85546875" style="39" hidden="1" customWidth="1"/>
    <col min="11" max="28" width="12.85546875" style="39" customWidth="1"/>
    <col min="29" max="16384" width="8.85546875" style="39"/>
  </cols>
  <sheetData>
    <row r="1" spans="1:28" ht="28.5">
      <c r="A1" s="926" t="s">
        <v>836</v>
      </c>
      <c r="B1" s="926"/>
      <c r="C1" s="926"/>
      <c r="D1" s="926"/>
      <c r="E1" s="926"/>
      <c r="F1" s="926"/>
      <c r="G1" s="926"/>
      <c r="H1" s="926"/>
      <c r="I1" s="926"/>
      <c r="J1" s="423"/>
      <c r="L1" s="926" t="s">
        <v>837</v>
      </c>
      <c r="M1" s="926"/>
      <c r="N1" s="926"/>
      <c r="O1" s="926"/>
      <c r="P1" s="926"/>
      <c r="Q1" s="926"/>
      <c r="R1" s="926"/>
      <c r="T1" s="926" t="s">
        <v>838</v>
      </c>
      <c r="U1" s="926"/>
      <c r="V1" s="926"/>
      <c r="W1" s="926"/>
      <c r="X1" s="926"/>
      <c r="Y1" s="926"/>
      <c r="Z1" s="926"/>
      <c r="AA1" s="926"/>
      <c r="AB1" s="926"/>
    </row>
    <row r="2" spans="1:28" ht="15.75" thickBot="1">
      <c r="A2" s="336"/>
      <c r="B2" s="925" t="s">
        <v>131</v>
      </c>
      <c r="C2" s="925"/>
      <c r="D2" s="925"/>
      <c r="E2" s="543"/>
      <c r="F2" s="337"/>
      <c r="G2" s="925" t="s">
        <v>465</v>
      </c>
      <c r="H2" s="925"/>
      <c r="I2" s="925"/>
      <c r="J2" s="424"/>
      <c r="L2" s="337"/>
      <c r="M2" s="925" t="s">
        <v>131</v>
      </c>
      <c r="N2" s="925"/>
      <c r="O2" s="337"/>
      <c r="P2" s="925" t="s">
        <v>465</v>
      </c>
      <c r="Q2" s="925"/>
      <c r="R2" s="431"/>
      <c r="T2" s="337"/>
      <c r="U2" s="925" t="s">
        <v>131</v>
      </c>
      <c r="V2" s="925"/>
      <c r="W2" s="337"/>
      <c r="X2" s="925" t="s">
        <v>471</v>
      </c>
      <c r="Y2" s="925"/>
      <c r="Z2" s="427"/>
      <c r="AA2" s="337" t="s">
        <v>472</v>
      </c>
      <c r="AB2" s="337"/>
    </row>
    <row r="3" spans="1:28" ht="14.25" customHeight="1">
      <c r="A3" s="336" t="str">
        <f>USD!Y3</f>
        <v>Time</v>
      </c>
      <c r="B3" s="337" t="s">
        <v>624</v>
      </c>
      <c r="C3" s="462" t="s">
        <v>625</v>
      </c>
      <c r="D3" s="337" t="s">
        <v>772</v>
      </c>
      <c r="E3" s="462" t="s">
        <v>774</v>
      </c>
      <c r="F3" s="337" t="s">
        <v>86</v>
      </c>
      <c r="G3" s="337" t="s">
        <v>227</v>
      </c>
      <c r="H3" s="337" t="s">
        <v>624</v>
      </c>
      <c r="I3" s="462" t="s">
        <v>625</v>
      </c>
      <c r="J3" s="73" t="s">
        <v>227</v>
      </c>
      <c r="L3" s="337" t="str">
        <f t="shared" ref="L3:L22" si="0">A3</f>
        <v>Time</v>
      </c>
      <c r="M3" s="462" t="s">
        <v>771</v>
      </c>
      <c r="N3" s="462" t="s">
        <v>263</v>
      </c>
      <c r="O3" s="427" t="str">
        <f t="shared" ref="O3:O23" si="1">F3</f>
        <v>Time</v>
      </c>
      <c r="P3" s="337" t="s">
        <v>624</v>
      </c>
      <c r="Q3" s="462" t="s">
        <v>625</v>
      </c>
      <c r="R3" s="337" t="s">
        <v>263</v>
      </c>
      <c r="T3" s="336" t="str">
        <f>L3</f>
        <v>Time</v>
      </c>
      <c r="U3" s="462" t="s">
        <v>625</v>
      </c>
      <c r="V3" s="462" t="s">
        <v>773</v>
      </c>
      <c r="W3" s="336" t="s">
        <v>86</v>
      </c>
      <c r="X3" s="337" t="s">
        <v>624</v>
      </c>
      <c r="Y3" s="321" t="s">
        <v>625</v>
      </c>
      <c r="Z3" s="427" t="s">
        <v>86</v>
      </c>
      <c r="AA3" s="462" t="s">
        <v>625</v>
      </c>
      <c r="AB3" s="337" t="s">
        <v>265</v>
      </c>
    </row>
    <row r="4" spans="1:28">
      <c r="A4" s="337" t="str">
        <f>USD!Y4</f>
        <v>1Q1998</v>
      </c>
      <c r="B4" s="224">
        <f>NBIM!P3</f>
        <v>1.9767430787411389E-2</v>
      </c>
      <c r="C4" s="463">
        <f>USD!S4</f>
        <v>1.9767430787411389E-2</v>
      </c>
      <c r="D4" s="224">
        <f>NBIM!E3</f>
        <v>6.278453497990899E-2</v>
      </c>
      <c r="E4" s="463">
        <f t="shared" ref="E4:E38" si="2">D4</f>
        <v>6.278453497990899E-2</v>
      </c>
      <c r="F4" s="427" t="str">
        <f>USD!AU4</f>
        <v>1997 </v>
      </c>
      <c r="G4" s="425"/>
      <c r="I4" s="412"/>
      <c r="L4" s="337" t="str">
        <f t="shared" si="0"/>
        <v>1Q1998</v>
      </c>
      <c r="M4" s="413">
        <f>USD!AR4</f>
        <v>0</v>
      </c>
      <c r="N4" s="396">
        <f>APG!B4</f>
        <v>3.0797797121220299E-2</v>
      </c>
      <c r="O4" s="427" t="str">
        <f t="shared" si="1"/>
        <v>1997 </v>
      </c>
      <c r="P4" s="39">
        <f>USD!AT4</f>
        <v>0</v>
      </c>
      <c r="Q4" s="412">
        <f>USD!BS4</f>
        <v>0</v>
      </c>
      <c r="T4" s="336" t="str">
        <f t="shared" ref="T4:T67" si="3">L4</f>
        <v>1Q1998</v>
      </c>
      <c r="U4" s="412"/>
      <c r="V4" s="396"/>
      <c r="W4" s="432"/>
      <c r="X4" s="39">
        <v>0</v>
      </c>
      <c r="Y4" s="39">
        <v>0</v>
      </c>
      <c r="Z4" s="427">
        <v>1997</v>
      </c>
      <c r="AA4" s="412">
        <v>0</v>
      </c>
      <c r="AB4" s="39">
        <v>0</v>
      </c>
    </row>
    <row r="5" spans="1:28">
      <c r="A5" s="337" t="str">
        <f>USD!Y5</f>
        <v>2Q1998</v>
      </c>
      <c r="B5" s="224">
        <f>NBIM!P4</f>
        <v>2.1329425489575282E-2</v>
      </c>
      <c r="C5" s="463">
        <f>USD!S5</f>
        <v>2.1329425489575282E-2</v>
      </c>
      <c r="D5" s="224">
        <f>NBIM!E4</f>
        <v>2.7920116796854355E-2</v>
      </c>
      <c r="E5" s="463">
        <f t="shared" si="2"/>
        <v>2.7920116796854355E-2</v>
      </c>
      <c r="F5" s="427" t="str">
        <f>USD!AU5</f>
        <v>1998 </v>
      </c>
      <c r="G5" s="426">
        <f>NBIM!AH3</f>
        <v>0.19206193588897114</v>
      </c>
      <c r="H5" s="93">
        <f>NBIM!S3</f>
        <v>0.14531868618130483</v>
      </c>
      <c r="I5" s="396">
        <f t="shared" ref="I5:I11" si="4">H5</f>
        <v>0.14531868618130483</v>
      </c>
      <c r="J5" s="93">
        <v>9.6000000000000002E-2</v>
      </c>
      <c r="L5" s="337" t="str">
        <f t="shared" si="0"/>
        <v>2Q1998</v>
      </c>
      <c r="M5" s="413">
        <f>USD!AR5</f>
        <v>0</v>
      </c>
      <c r="N5" s="396">
        <f>APG!B5</f>
        <v>3.0797797121220299E-2</v>
      </c>
      <c r="O5" s="427" t="str">
        <f t="shared" si="1"/>
        <v>1998 </v>
      </c>
      <c r="P5" s="39">
        <f>USD!AT5</f>
        <v>0</v>
      </c>
      <c r="Q5" s="412">
        <f>USD!BS5</f>
        <v>0</v>
      </c>
      <c r="R5" s="224">
        <f>APG!F9</f>
        <v>0.1231911884848812</v>
      </c>
      <c r="T5" s="336" t="str">
        <f t="shared" si="3"/>
        <v>2Q1998</v>
      </c>
      <c r="U5" s="412"/>
      <c r="V5" s="396"/>
      <c r="W5" s="432">
        <f>USD!CK4</f>
        <v>35885</v>
      </c>
      <c r="X5" s="39">
        <v>0</v>
      </c>
      <c r="Y5" s="39">
        <v>0</v>
      </c>
      <c r="Z5" s="427">
        <v>1998</v>
      </c>
      <c r="AA5" s="412">
        <v>0</v>
      </c>
      <c r="AB5" s="39">
        <v>0</v>
      </c>
    </row>
    <row r="6" spans="1:28">
      <c r="A6" s="337" t="str">
        <f>USD!Y6</f>
        <v>3Q1998</v>
      </c>
      <c r="B6" s="224">
        <f>NBIM!P5</f>
        <v>-2.2067027632722835E-3</v>
      </c>
      <c r="C6" s="463">
        <f>USD!S6</f>
        <v>-2.2067027632722835E-3</v>
      </c>
      <c r="D6" s="224">
        <f>NBIM!E5</f>
        <v>-3.7523137184266031E-2</v>
      </c>
      <c r="E6" s="463">
        <f t="shared" si="2"/>
        <v>-3.7523137184266031E-2</v>
      </c>
      <c r="F6" s="427" t="str">
        <f>USD!AU6</f>
        <v>1999 </v>
      </c>
      <c r="G6" s="426">
        <f>NBIM!AH4</f>
        <v>0.13454250864627504</v>
      </c>
      <c r="H6" s="93">
        <f>NBIM!S4</f>
        <v>7.8597405953688804E-2</v>
      </c>
      <c r="I6" s="396">
        <f t="shared" si="4"/>
        <v>7.8597405953688804E-2</v>
      </c>
      <c r="J6" s="93">
        <v>0.1244</v>
      </c>
      <c r="L6" s="337" t="str">
        <f t="shared" si="0"/>
        <v>3Q1998</v>
      </c>
      <c r="M6" s="413">
        <f>USD!AR6</f>
        <v>0</v>
      </c>
      <c r="N6" s="396">
        <f>APG!B6</f>
        <v>3.0797797121220299E-2</v>
      </c>
      <c r="O6" s="427" t="str">
        <f t="shared" si="1"/>
        <v>1999 </v>
      </c>
      <c r="P6" s="93">
        <f>USD!AT6</f>
        <v>-5.8692267746834226E-2</v>
      </c>
      <c r="Q6" s="463">
        <f>P6</f>
        <v>-5.8692267746834226E-2</v>
      </c>
      <c r="R6" s="224">
        <f>APG!F10</f>
        <v>9.6454751108524805E-2</v>
      </c>
      <c r="T6" s="336" t="str">
        <f t="shared" si="3"/>
        <v>3Q1998</v>
      </c>
      <c r="U6" s="412"/>
      <c r="V6" s="396"/>
      <c r="W6" s="432">
        <f>USD!CK5</f>
        <v>36250</v>
      </c>
      <c r="X6" s="39">
        <v>0</v>
      </c>
      <c r="Y6" s="39">
        <v>0</v>
      </c>
      <c r="Z6" s="427">
        <v>1999</v>
      </c>
      <c r="AA6" s="412">
        <v>0</v>
      </c>
      <c r="AB6" s="39">
        <v>0</v>
      </c>
    </row>
    <row r="7" spans="1:28">
      <c r="A7" s="337" t="str">
        <f>USD!Y7</f>
        <v>4Q1998</v>
      </c>
      <c r="B7" s="224">
        <f>NBIM!P6</f>
        <v>0.10642853266759045</v>
      </c>
      <c r="C7" s="463">
        <f>USD!S7</f>
        <v>0.10642853266759045</v>
      </c>
      <c r="D7" s="224">
        <f>NBIM!E6</f>
        <v>0.13888042129647382</v>
      </c>
      <c r="E7" s="463">
        <f t="shared" si="2"/>
        <v>0.13888042129647382</v>
      </c>
      <c r="F7" s="427" t="str">
        <f>USD!AU7</f>
        <v>2000 </v>
      </c>
      <c r="G7" s="426">
        <f>NBIM!AH5</f>
        <v>6.5003384062240377E-2</v>
      </c>
      <c r="H7" s="93">
        <f>NBIM!S5</f>
        <v>-2.8714040550387065E-2</v>
      </c>
      <c r="I7" s="396">
        <f t="shared" si="4"/>
        <v>-2.8714040550387065E-2</v>
      </c>
      <c r="J7" s="93">
        <v>2.4899999999999999E-2</v>
      </c>
      <c r="L7" s="337" t="str">
        <f t="shared" si="0"/>
        <v>4Q1998</v>
      </c>
      <c r="M7" s="413">
        <f>USD!AR7</f>
        <v>0</v>
      </c>
      <c r="N7" s="396">
        <f>APG!B7</f>
        <v>3.0797797121220299E-2</v>
      </c>
      <c r="O7" s="427" t="str">
        <f t="shared" si="1"/>
        <v>2000 </v>
      </c>
      <c r="P7" s="93">
        <f>USD!AT7</f>
        <v>-2.8164554540235809E-2</v>
      </c>
      <c r="Q7" s="463">
        <f t="shared" ref="Q7:Q14" si="5">P7</f>
        <v>-2.8164554540235809E-2</v>
      </c>
      <c r="R7" s="224">
        <f>APG!F11</f>
        <v>3.1394096181335082E-2</v>
      </c>
      <c r="T7" s="336" t="str">
        <f t="shared" si="3"/>
        <v>4Q1998</v>
      </c>
      <c r="U7" s="412"/>
      <c r="V7" s="396"/>
      <c r="W7" s="432">
        <f>USD!CK6</f>
        <v>36616</v>
      </c>
      <c r="X7" s="224">
        <f>USD!DD6</f>
        <v>0.4598655462184873</v>
      </c>
      <c r="Y7" s="39">
        <v>0</v>
      </c>
      <c r="Z7" s="427">
        <v>2000</v>
      </c>
      <c r="AA7" s="412">
        <v>0</v>
      </c>
      <c r="AB7" s="39">
        <v>0</v>
      </c>
    </row>
    <row r="8" spans="1:28">
      <c r="A8" s="337" t="str">
        <f>USD!Y8</f>
        <v>1Q1999</v>
      </c>
      <c r="B8" s="224">
        <f>NBIM!P7</f>
        <v>-1.2806109663260901E-2</v>
      </c>
      <c r="C8" s="463">
        <f>USD!S8</f>
        <v>-1.2806109663260901E-2</v>
      </c>
      <c r="D8" s="224">
        <f>NBIM!E7</f>
        <v>1.4206772062699269E-3</v>
      </c>
      <c r="E8" s="463">
        <f t="shared" si="2"/>
        <v>1.4206772062699269E-3</v>
      </c>
      <c r="F8" s="427" t="str">
        <f>USD!AU8</f>
        <v>2001 </v>
      </c>
      <c r="G8" s="426">
        <f>NBIM!AH6</f>
        <v>-5.1069613203912234E-2</v>
      </c>
      <c r="H8" s="93">
        <f>NBIM!S6</f>
        <v>-6.8680816703550751E-2</v>
      </c>
      <c r="I8" s="396">
        <f t="shared" si="4"/>
        <v>-6.8680816703550751E-2</v>
      </c>
      <c r="J8" s="93">
        <v>-2.47E-2</v>
      </c>
      <c r="L8" s="337" t="str">
        <f t="shared" si="0"/>
        <v>1Q1999</v>
      </c>
      <c r="M8" s="396">
        <f>USD!AR8</f>
        <v>-5.8435092498162478E-2</v>
      </c>
      <c r="N8" s="396">
        <f>APG!B8</f>
        <v>2.4113687777131201E-2</v>
      </c>
      <c r="O8" s="427" t="str">
        <f t="shared" si="1"/>
        <v>2001 </v>
      </c>
      <c r="P8" s="93">
        <f>USD!AT8</f>
        <v>-5.6545375726027025E-2</v>
      </c>
      <c r="Q8" s="463">
        <f t="shared" si="5"/>
        <v>-5.6545375726027025E-2</v>
      </c>
      <c r="R8" s="224">
        <f>APG!F12</f>
        <v>-3.1537638492082909E-3</v>
      </c>
      <c r="T8" s="336" t="str">
        <f t="shared" si="3"/>
        <v>1Q1999</v>
      </c>
      <c r="U8" s="412"/>
      <c r="V8" s="396"/>
      <c r="W8" s="432">
        <f>USD!CK7</f>
        <v>36981</v>
      </c>
      <c r="X8" s="224">
        <f>USD!DD7</f>
        <v>-0.16465718277657815</v>
      </c>
      <c r="Y8" s="39">
        <v>0</v>
      </c>
      <c r="Z8" s="427">
        <v>2001</v>
      </c>
      <c r="AA8" s="463">
        <f>USD!DA7</f>
        <v>-0.21113016069121571</v>
      </c>
      <c r="AB8" s="224">
        <f>USD!CJ7</f>
        <v>-0.16162884088106089</v>
      </c>
    </row>
    <row r="9" spans="1:28">
      <c r="A9" s="337" t="str">
        <f>USD!Y9</f>
        <v>2Q1999</v>
      </c>
      <c r="B9" s="224">
        <f>NBIM!P8</f>
        <v>-2.6679188548619504E-3</v>
      </c>
      <c r="C9" s="463">
        <f>USD!S9</f>
        <v>-2.6679188548619504E-3</v>
      </c>
      <c r="D9" s="224">
        <f>NBIM!E8</f>
        <v>1.5875272851554989E-2</v>
      </c>
      <c r="E9" s="463">
        <f t="shared" si="2"/>
        <v>1.5875272851554989E-2</v>
      </c>
      <c r="F9" s="427">
        <f>USD!AU9</f>
        <v>2002</v>
      </c>
      <c r="G9" s="426">
        <f>NBIM!AH7</f>
        <v>-0.20271388485631148</v>
      </c>
      <c r="H9" s="93">
        <f>NBIM!S7</f>
        <v>5.0661719598872446E-2</v>
      </c>
      <c r="I9" s="396">
        <f t="shared" si="4"/>
        <v>5.0661719598872446E-2</v>
      </c>
      <c r="J9" s="93">
        <v>-4.7399999999999998E-2</v>
      </c>
      <c r="L9" s="337" t="str">
        <f t="shared" si="0"/>
        <v>2Q1999</v>
      </c>
      <c r="M9" s="396">
        <f>USD!AR9</f>
        <v>-2.1751370310895357E-2</v>
      </c>
      <c r="N9" s="396">
        <f>APG!B9</f>
        <v>2.4113687777131201E-2</v>
      </c>
      <c r="O9" s="427">
        <f t="shared" si="1"/>
        <v>2002</v>
      </c>
      <c r="P9" s="93">
        <f>USD!AT9</f>
        <v>9.6880110748693071E-2</v>
      </c>
      <c r="Q9" s="463">
        <f t="shared" si="5"/>
        <v>9.6880110748693071E-2</v>
      </c>
      <c r="R9" s="224">
        <f>APG!F13</f>
        <v>-7.079126024068691E-2</v>
      </c>
      <c r="T9" s="336" t="str">
        <f t="shared" si="3"/>
        <v>2Q1999</v>
      </c>
      <c r="U9" s="396"/>
      <c r="V9" s="396"/>
      <c r="W9" s="432">
        <f>USD!CK8</f>
        <v>37346</v>
      </c>
      <c r="X9" s="224">
        <f>USD!DD8</f>
        <v>4.3219380719568656E-2</v>
      </c>
      <c r="Y9" s="93">
        <f>USD!DC8</f>
        <v>-3.0878892764055199E-2</v>
      </c>
      <c r="Z9" s="427">
        <v>2002</v>
      </c>
      <c r="AA9" s="463">
        <f>USD!DA8</f>
        <v>-0.18622153272931408</v>
      </c>
      <c r="AB9" s="224">
        <f>USD!CJ8</f>
        <v>-0.19460784802240905</v>
      </c>
    </row>
    <row r="10" spans="1:28">
      <c r="A10" s="337" t="str">
        <f>USD!Y10</f>
        <v>3Q1999</v>
      </c>
      <c r="B10" s="224">
        <f>NBIM!P9</f>
        <v>3.3740647464486795E-2</v>
      </c>
      <c r="C10" s="463">
        <f>USD!S10</f>
        <v>3.3740647464486795E-2</v>
      </c>
      <c r="D10" s="224">
        <f>NBIM!E9</f>
        <v>1.7983406728286244E-2</v>
      </c>
      <c r="E10" s="463">
        <f t="shared" si="2"/>
        <v>1.7983406728286244E-2</v>
      </c>
      <c r="F10" s="427" t="str">
        <f>USD!AU10</f>
        <v>2003 </v>
      </c>
      <c r="G10" s="426">
        <f>NBIM!AH8</f>
        <v>0.18837836702446698</v>
      </c>
      <c r="H10" s="93">
        <f>NBIM!S8</f>
        <v>0.23254177609509608</v>
      </c>
      <c r="I10" s="396">
        <f t="shared" si="4"/>
        <v>0.23254177609509608</v>
      </c>
      <c r="J10" s="93">
        <v>0.12590000000000001</v>
      </c>
      <c r="L10" s="337" t="str">
        <f t="shared" si="0"/>
        <v>3Q1999</v>
      </c>
      <c r="M10" s="396">
        <f>USD!AR10</f>
        <v>5.7580763906302401E-2</v>
      </c>
      <c r="N10" s="396">
        <f>APG!B10</f>
        <v>2.4113687777131201E-2</v>
      </c>
      <c r="O10" s="427" t="str">
        <f t="shared" si="1"/>
        <v>2003 </v>
      </c>
      <c r="P10" s="93">
        <f>USD!AT10</f>
        <v>0.30402085757776676</v>
      </c>
      <c r="Q10" s="463">
        <f t="shared" si="5"/>
        <v>0.30402085757776676</v>
      </c>
      <c r="R10" s="224">
        <f>APG!F14</f>
        <v>0.1080806279995325</v>
      </c>
      <c r="T10" s="336" t="str">
        <f t="shared" si="3"/>
        <v>3Q1999</v>
      </c>
      <c r="U10" s="396"/>
      <c r="V10" s="396"/>
      <c r="W10" s="432">
        <f>USD!CK9</f>
        <v>37711</v>
      </c>
      <c r="X10" s="224">
        <f>USD!DD9</f>
        <v>6.8336109317107985E-2</v>
      </c>
      <c r="Y10" s="93">
        <f>USD!DC9</f>
        <v>-0.19731584480558206</v>
      </c>
      <c r="Z10" s="427">
        <v>2003</v>
      </c>
      <c r="AA10" s="463">
        <f>USD!DA9</f>
        <v>0.44641942924210642</v>
      </c>
      <c r="AB10" s="224">
        <f>USD!CJ9</f>
        <v>0.18314692203956962</v>
      </c>
    </row>
    <row r="11" spans="1:28">
      <c r="A11" s="337" t="str">
        <f>USD!Y11</f>
        <v>4Q1999</v>
      </c>
      <c r="B11" s="224">
        <f>NBIM!P10</f>
        <v>6.033078700732486E-2</v>
      </c>
      <c r="C11" s="463">
        <f>USD!S11</f>
        <v>6.033078700732486E-2</v>
      </c>
      <c r="D11" s="224">
        <f>NBIM!E10</f>
        <v>9.9263151860163878E-2</v>
      </c>
      <c r="E11" s="463">
        <f t="shared" si="2"/>
        <v>9.9263151860163878E-2</v>
      </c>
      <c r="F11" s="427">
        <f>USD!AU11</f>
        <v>2004</v>
      </c>
      <c r="G11" s="426">
        <f>NBIM!AH9</f>
        <v>4.0188841338295256E-2</v>
      </c>
      <c r="H11" s="93">
        <f>NBIM!S9</f>
        <v>0.1380218205494993</v>
      </c>
      <c r="I11" s="396">
        <f t="shared" si="4"/>
        <v>0.1380218205494993</v>
      </c>
      <c r="J11" s="93">
        <v>8.9399999999999993E-2</v>
      </c>
      <c r="L11" s="337" t="str">
        <f t="shared" si="0"/>
        <v>4Q1999</v>
      </c>
      <c r="M11" s="396">
        <f>USD!AR11</f>
        <v>-3.6086568844078792E-2</v>
      </c>
      <c r="N11" s="396">
        <f>APG!B11</f>
        <v>2.4113687777131201E-2</v>
      </c>
      <c r="O11" s="427">
        <f t="shared" si="1"/>
        <v>2004</v>
      </c>
      <c r="P11" s="93">
        <f>USD!AT11</f>
        <v>0.19210386998337114</v>
      </c>
      <c r="Q11" s="463">
        <f t="shared" si="5"/>
        <v>0.19210386998337114</v>
      </c>
      <c r="R11" s="224">
        <f>APG!F15</f>
        <v>0.10865108258471143</v>
      </c>
      <c r="T11" s="336" t="str">
        <f t="shared" si="3"/>
        <v>4Q1999</v>
      </c>
      <c r="U11" s="396"/>
      <c r="V11" s="396"/>
      <c r="W11" s="432">
        <f>USD!CK10</f>
        <v>38077</v>
      </c>
      <c r="X11" s="224">
        <f>USD!DD10</f>
        <v>0.31621624500665768</v>
      </c>
      <c r="Y11" s="93">
        <f>USD!DC10</f>
        <v>0.47709401119080197</v>
      </c>
      <c r="Z11" s="427">
        <v>2004</v>
      </c>
      <c r="AA11" s="463">
        <f>USD!DA10</f>
        <v>0.21758949600640776</v>
      </c>
      <c r="AB11" s="224">
        <f>USD!CJ10</f>
        <v>0.12892617886637825</v>
      </c>
    </row>
    <row r="12" spans="1:28">
      <c r="A12" s="337" t="str">
        <f>USD!Y12</f>
        <v>1Q2000</v>
      </c>
      <c r="B12" s="224">
        <f>NBIM!P11</f>
        <v>3.3425059086740205E-3</v>
      </c>
      <c r="C12" s="463">
        <f>USD!S12</f>
        <v>3.3425059086740205E-3</v>
      </c>
      <c r="D12" s="224">
        <f>NBIM!E11</f>
        <v>5.3533662537651017E-2</v>
      </c>
      <c r="E12" s="463">
        <f t="shared" si="2"/>
        <v>5.3533662537651017E-2</v>
      </c>
      <c r="F12" s="427" t="str">
        <f>USD!AU12</f>
        <v>2005 </v>
      </c>
      <c r="G12" s="426">
        <f>NBIM!AH10</f>
        <v>0.13591328657566404</v>
      </c>
      <c r="H12" s="93">
        <f>NBIM!S10</f>
        <v>2.2541971465570576E-2</v>
      </c>
      <c r="I12" s="396">
        <f>H12</f>
        <v>2.2541971465570576E-2</v>
      </c>
      <c r="J12" s="93">
        <v>0.1109</v>
      </c>
      <c r="L12" s="337" t="str">
        <f t="shared" si="0"/>
        <v>1Q2000</v>
      </c>
      <c r="M12" s="396">
        <f>USD!AR12</f>
        <v>-3.7848226616450154E-2</v>
      </c>
      <c r="N12" s="396">
        <f>APG!B12</f>
        <v>7.8485240453337705E-3</v>
      </c>
      <c r="O12" s="427" t="str">
        <f t="shared" si="1"/>
        <v>2005 </v>
      </c>
      <c r="P12" s="93">
        <f>USD!AT12</f>
        <v>-1.9730742936255208E-2</v>
      </c>
      <c r="Q12" s="463">
        <f t="shared" si="5"/>
        <v>-1.9730742936255208E-2</v>
      </c>
      <c r="R12" s="224">
        <f>APG!F16</f>
        <v>0.12258387573723489</v>
      </c>
      <c r="T12" s="336" t="str">
        <f t="shared" si="3"/>
        <v>1Q2000</v>
      </c>
      <c r="U12" s="396"/>
      <c r="V12" s="396"/>
      <c r="W12" s="432">
        <f>USD!CK11</f>
        <v>38442</v>
      </c>
      <c r="X12" s="224">
        <f>USD!DD11</f>
        <v>0.17862648262181269</v>
      </c>
      <c r="Y12" s="93">
        <f>USD!DC11</f>
        <v>0.20736379057923693</v>
      </c>
      <c r="Z12" s="427">
        <v>2005</v>
      </c>
      <c r="AA12" s="463">
        <f>USD!DA11</f>
        <v>0.18527045342482196</v>
      </c>
      <c r="AB12" s="224">
        <f>USD!CJ11</f>
        <v>0.15559293925485629</v>
      </c>
    </row>
    <row r="13" spans="1:28">
      <c r="A13" s="337" t="str">
        <f>USD!Y13</f>
        <v>2Q2000</v>
      </c>
      <c r="B13" s="224">
        <f>NBIM!P12</f>
        <v>-1.1156068624270543E-2</v>
      </c>
      <c r="C13" s="463">
        <f>USD!S13</f>
        <v>-1.1156068624270543E-2</v>
      </c>
      <c r="D13" s="224">
        <f>NBIM!E12</f>
        <v>1.5571703740073772E-3</v>
      </c>
      <c r="E13" s="463">
        <f t="shared" si="2"/>
        <v>1.5571703740073772E-3</v>
      </c>
      <c r="F13" s="427" t="str">
        <f>USD!AU13</f>
        <v>2006 </v>
      </c>
      <c r="G13" s="426">
        <f>NBIM!AH11</f>
        <v>6.1098830016568795E-2</v>
      </c>
      <c r="H13" s="93">
        <f>NBIM!S11</f>
        <v>0.14397423298343881</v>
      </c>
      <c r="I13" s="396">
        <f>H13</f>
        <v>0.14397423298343881</v>
      </c>
      <c r="J13" s="93">
        <v>7.9200000000000007E-2</v>
      </c>
      <c r="L13" s="337" t="str">
        <f t="shared" si="0"/>
        <v>2Q2000</v>
      </c>
      <c r="M13" s="396">
        <f>USD!AR13</f>
        <v>9.5845582518836459E-3</v>
      </c>
      <c r="N13" s="396">
        <f>APG!B13</f>
        <v>7.8485240453337705E-3</v>
      </c>
      <c r="O13" s="427" t="str">
        <f t="shared" si="1"/>
        <v>2006 </v>
      </c>
      <c r="P13" s="93">
        <f>USD!AT13</f>
        <v>0.20868661304458969</v>
      </c>
      <c r="Q13" s="463">
        <f t="shared" si="5"/>
        <v>0.20868661304458969</v>
      </c>
      <c r="R13" s="224">
        <f>APG!F17</f>
        <v>9.3200356899274195E-2</v>
      </c>
      <c r="T13" s="336" t="str">
        <f t="shared" si="3"/>
        <v>2Q2000</v>
      </c>
      <c r="U13" s="396"/>
      <c r="V13" s="396"/>
      <c r="W13" s="432">
        <f>USD!CK12</f>
        <v>38807</v>
      </c>
      <c r="X13" s="224">
        <f>USD!DD12</f>
        <v>0.19781994685410598</v>
      </c>
      <c r="Y13" s="93">
        <f>USD!DC12</f>
        <v>0.22118748558233836</v>
      </c>
      <c r="Z13" s="427">
        <v>2006</v>
      </c>
      <c r="AA13" s="463">
        <f>USD!DA12</f>
        <v>0.15261002993067896</v>
      </c>
      <c r="AB13" s="224">
        <f>USD!CJ12</f>
        <v>0.14821922854969927</v>
      </c>
    </row>
    <row r="14" spans="1:28">
      <c r="A14" s="337" t="str">
        <f>USD!Y14</f>
        <v>3Q2000</v>
      </c>
      <c r="B14" s="224">
        <f>NBIM!P13</f>
        <v>-3.5758065980356024E-2</v>
      </c>
      <c r="C14" s="463">
        <f>USD!S14</f>
        <v>-3.5758065980356024E-2</v>
      </c>
      <c r="D14" s="224">
        <f>NBIM!E13</f>
        <v>2.4108704540863224E-2</v>
      </c>
      <c r="E14" s="463">
        <f t="shared" si="2"/>
        <v>2.4108704540863224E-2</v>
      </c>
      <c r="F14" s="427" t="str">
        <f>USD!AU14</f>
        <v>2007 </v>
      </c>
      <c r="G14" s="426">
        <f>NBIM!AJ12</f>
        <v>-4.26242146601441E-2</v>
      </c>
      <c r="H14" s="93">
        <f>NBIM!S12</f>
        <v>9.8752571982640536E-2</v>
      </c>
      <c r="I14" s="396">
        <f>USD!W43</f>
        <v>9.7812411217770734E-2</v>
      </c>
      <c r="J14" s="93">
        <v>4.6199999999999998E-2</v>
      </c>
      <c r="K14" s="224"/>
      <c r="L14" s="337" t="str">
        <f t="shared" si="0"/>
        <v>3Q2000</v>
      </c>
      <c r="M14" s="396">
        <f>USD!AR14</f>
        <v>-7.2164300148073179E-2</v>
      </c>
      <c r="N14" s="396">
        <f>APG!B14</f>
        <v>7.8485240453337705E-3</v>
      </c>
      <c r="O14" s="427" t="str">
        <f t="shared" si="1"/>
        <v>2007 </v>
      </c>
      <c r="P14" s="191">
        <f>USD!AT14</f>
        <v>0.14358951561793143</v>
      </c>
      <c r="Q14" s="464">
        <f t="shared" si="5"/>
        <v>0.14358951561793143</v>
      </c>
      <c r="R14" s="224">
        <f>APG!F18</f>
        <v>3.7492579194132389E-2</v>
      </c>
      <c r="T14" s="336" t="str">
        <f t="shared" si="3"/>
        <v>3Q2000</v>
      </c>
      <c r="U14" s="397"/>
      <c r="V14" s="397"/>
      <c r="W14" s="432">
        <f>USD!CK13</f>
        <v>39172</v>
      </c>
      <c r="X14" s="224">
        <f>USD!DD13</f>
        <v>0.14167329779395832</v>
      </c>
      <c r="Y14" s="93">
        <f>USD!DC13</f>
        <v>0.13539264649738736</v>
      </c>
      <c r="Z14" s="427">
        <v>2007</v>
      </c>
      <c r="AA14" s="463">
        <f>USD!DA13</f>
        <v>0.21301464748413879</v>
      </c>
      <c r="AB14" s="224">
        <f>USD!CJ13</f>
        <v>2.8774431841944281E-2</v>
      </c>
    </row>
    <row r="15" spans="1:28">
      <c r="A15" s="337" t="str">
        <f>USD!Y15</f>
        <v>4Q2000</v>
      </c>
      <c r="B15" s="224">
        <f>NBIM!P14</f>
        <v>1.4857588145565481E-2</v>
      </c>
      <c r="C15" s="463">
        <f>USD!S15</f>
        <v>1.4857588145565481E-2</v>
      </c>
      <c r="D15" s="224">
        <f>NBIM!E14</f>
        <v>-1.4196153390281241E-2</v>
      </c>
      <c r="E15" s="463">
        <f t="shared" si="2"/>
        <v>-1.4196153390281241E-2</v>
      </c>
      <c r="F15" s="427" t="str">
        <f>USD!AU15</f>
        <v>2008 </v>
      </c>
      <c r="G15" s="426">
        <f>NBIM!AJ13</f>
        <v>-7.2843481442374847E-2</v>
      </c>
      <c r="H15" s="93">
        <f>NBIM!S13</f>
        <v>-0.30360971535845727</v>
      </c>
      <c r="I15" s="396">
        <f>USD!W47</f>
        <v>-0.28102700300051109</v>
      </c>
      <c r="J15" s="93">
        <v>-0.2331</v>
      </c>
      <c r="L15" s="337" t="str">
        <f t="shared" si="0"/>
        <v>4Q2000</v>
      </c>
      <c r="M15" s="397">
        <f>USD!AR15</f>
        <v>7.2263413972403878E-2</v>
      </c>
      <c r="N15" s="397">
        <f>APG!B15</f>
        <v>7.8485240453337705E-3</v>
      </c>
      <c r="O15" s="427" t="str">
        <f t="shared" si="1"/>
        <v>2008 </v>
      </c>
      <c r="P15" s="93">
        <f>USD!AT15</f>
        <v>-0.25453543596623374</v>
      </c>
      <c r="Q15" s="396">
        <f>USD!BS15</f>
        <v>-0.25394825131911503</v>
      </c>
      <c r="R15" s="224">
        <f>APG!F19</f>
        <v>-0.21657359105099488</v>
      </c>
      <c r="T15" s="336" t="str">
        <f t="shared" si="3"/>
        <v>4Q2000</v>
      </c>
      <c r="U15" s="396">
        <f>USD!CX15</f>
        <v>-7.8801248872425012E-2</v>
      </c>
      <c r="V15" s="396">
        <f>CPPIB.!H11</f>
        <v>-8.0393111661825251E-2</v>
      </c>
      <c r="W15" s="432">
        <f>USD!CK14</f>
        <v>39538</v>
      </c>
      <c r="X15" s="224">
        <f>USD!DD14</f>
        <v>0.12098733005214157</v>
      </c>
      <c r="Y15" s="93">
        <f>USD!DC14</f>
        <v>0.12051785809166837</v>
      </c>
      <c r="Z15" s="427">
        <v>2008</v>
      </c>
      <c r="AA15" s="463">
        <f>USD!DA14</f>
        <v>-0.32111718322328797</v>
      </c>
      <c r="AB15" s="224">
        <f>USD!CJ14</f>
        <v>-0.15083759328147228</v>
      </c>
    </row>
    <row r="16" spans="1:28">
      <c r="A16" s="337" t="str">
        <f>USD!Y16</f>
        <v>1Q2001</v>
      </c>
      <c r="B16" s="224">
        <f>NBIM!P15</f>
        <v>-7.2598594490699164E-2</v>
      </c>
      <c r="C16" s="463">
        <f>USD!S16</f>
        <v>-7.2598594490699164E-2</v>
      </c>
      <c r="D16" s="224">
        <f>NBIM!E15</f>
        <v>-4.2037518520749328E-2</v>
      </c>
      <c r="E16" s="463">
        <f t="shared" si="2"/>
        <v>-4.2037518520749328E-2</v>
      </c>
      <c r="F16" s="427" t="str">
        <f>USD!AU16</f>
        <v>2009 </v>
      </c>
      <c r="G16" s="426">
        <f>NBIM!AJ14</f>
        <v>6.2304196190066774E-2</v>
      </c>
      <c r="H16" s="93">
        <f>NBIM!S14</f>
        <v>0.29838714328437932</v>
      </c>
      <c r="I16" s="396">
        <f>USD!W51</f>
        <v>0.28762640426230202</v>
      </c>
      <c r="J16" s="93">
        <v>0.25619999999999998</v>
      </c>
      <c r="L16" s="337" t="str">
        <f t="shared" si="0"/>
        <v>1Q2001</v>
      </c>
      <c r="M16" s="396">
        <f>USD!AR16</f>
        <v>-7.2598243954973274E-2</v>
      </c>
      <c r="N16" s="396">
        <f>APG!B16</f>
        <v>-1.5053294593090299E-2</v>
      </c>
      <c r="O16" s="427" t="str">
        <f t="shared" si="1"/>
        <v>2009 </v>
      </c>
      <c r="P16" s="93">
        <f>USD!AT16</f>
        <v>0.24112412195647193</v>
      </c>
      <c r="Q16" s="396">
        <f>USD!BS16</f>
        <v>0.22327686596376539</v>
      </c>
      <c r="R16" s="224">
        <f>APG!F20</f>
        <v>0.19506654143401503</v>
      </c>
      <c r="T16" s="336" t="str">
        <f t="shared" si="3"/>
        <v>1Q2001</v>
      </c>
      <c r="U16" s="396">
        <f>USD!CX16</f>
        <v>-0.17056492080631502</v>
      </c>
      <c r="V16" s="396">
        <f>CPPIB.!H12</f>
        <v>-0.13047371791053514</v>
      </c>
      <c r="W16" s="432">
        <f>USD!CK15</f>
        <v>39903</v>
      </c>
      <c r="X16" s="224">
        <f>USD!DD15</f>
        <v>-0.33616444780034171</v>
      </c>
      <c r="Y16" s="93">
        <f>USD!DC15</f>
        <v>-0.34297629536631491</v>
      </c>
      <c r="Z16" s="427">
        <v>2009</v>
      </c>
      <c r="AA16" s="463">
        <f>USD!DA15</f>
        <v>0.25901781745407937</v>
      </c>
      <c r="AB16" s="224">
        <f>USD!CJ15</f>
        <v>6.9170780824612477E-2</v>
      </c>
    </row>
    <row r="17" spans="1:28">
      <c r="A17" s="337" t="str">
        <f>USD!Y17</f>
        <v>2Q2001</v>
      </c>
      <c r="B17" s="224">
        <f>NBIM!P16</f>
        <v>-4.7676841306213413E-3</v>
      </c>
      <c r="C17" s="463">
        <f>USD!S17</f>
        <v>-4.7676841306213413E-3</v>
      </c>
      <c r="D17" s="224">
        <f>NBIM!E16</f>
        <v>2.0011787962030736E-2</v>
      </c>
      <c r="E17" s="463">
        <f t="shared" si="2"/>
        <v>2.0011787962030736E-2</v>
      </c>
      <c r="F17" s="427" t="str">
        <f>USD!AU17</f>
        <v>2010 </v>
      </c>
      <c r="G17" s="426">
        <f>NBIM!AJ15</f>
        <v>9.2370613242329203E-2</v>
      </c>
      <c r="H17" s="93">
        <f>NBIM!S15</f>
        <v>9.8146004031926304E-2</v>
      </c>
      <c r="I17" s="396">
        <f>USD!W55</f>
        <v>8.5661343411318258E-2</v>
      </c>
      <c r="J17" s="93">
        <v>9.6199999999999994E-2</v>
      </c>
      <c r="L17" s="337" t="str">
        <f t="shared" si="0"/>
        <v>2Q2001</v>
      </c>
      <c r="M17" s="396">
        <f>USD!AR17</f>
        <v>-1.8682681851353911E-2</v>
      </c>
      <c r="N17" s="396">
        <f>APG!B17</f>
        <v>2.4728834678657701E-2</v>
      </c>
      <c r="O17" s="427" t="str">
        <f t="shared" si="1"/>
        <v>2010 </v>
      </c>
      <c r="P17" s="93">
        <f>USD!AT17</f>
        <v>7.9453311970441032E-2</v>
      </c>
      <c r="Q17" s="396">
        <f>USD!BS17</f>
        <v>3.7637742089441817E-2</v>
      </c>
      <c r="R17" s="224">
        <f>APG!F21</f>
        <v>0.13021479934875685</v>
      </c>
      <c r="T17" s="336" t="str">
        <f t="shared" si="3"/>
        <v>2Q2001</v>
      </c>
      <c r="U17" s="396">
        <f>USD!CX17</f>
        <v>4.5589708583753774E-2</v>
      </c>
      <c r="V17" s="396">
        <f>CPPIB.!H13</f>
        <v>7.7397064312870623E-3</v>
      </c>
      <c r="W17" s="432">
        <f>USD!CK16</f>
        <v>40268</v>
      </c>
      <c r="X17" s="224">
        <f>USD!DD16</f>
        <v>0.42488231235523144</v>
      </c>
      <c r="Y17" s="93">
        <f>USD!DC16</f>
        <v>0.419725441515578</v>
      </c>
      <c r="Z17" s="427">
        <v>2010</v>
      </c>
      <c r="AA17" s="463">
        <f>USD!DA16</f>
        <v>0.14541199550368389</v>
      </c>
      <c r="AB17" s="224">
        <f>USD!CJ16</f>
        <v>8.5647569353971109E-2</v>
      </c>
    </row>
    <row r="18" spans="1:28">
      <c r="A18" s="337" t="str">
        <f>USD!Y18</f>
        <v>3Q2001</v>
      </c>
      <c r="B18" s="224">
        <f>NBIM!P17</f>
        <v>-1.4371566095631727E-2</v>
      </c>
      <c r="C18" s="463">
        <f>USD!S18</f>
        <v>-1.4371566095631727E-2</v>
      </c>
      <c r="D18" s="224">
        <f>NBIM!E17</f>
        <v>-6.3600728654100602E-2</v>
      </c>
      <c r="E18" s="463">
        <f t="shared" si="2"/>
        <v>-6.3600728654100602E-2</v>
      </c>
      <c r="F18" s="427" t="str">
        <f>USD!AU18</f>
        <v>2011 </v>
      </c>
      <c r="G18" s="426">
        <f>NBIM!AJ16</f>
        <v>-1.6380652433209186E-2</v>
      </c>
      <c r="H18" s="93">
        <f>NBIM!S16</f>
        <v>-3.0130866679731416E-2</v>
      </c>
      <c r="I18" s="396">
        <f>USD!W59</f>
        <v>-4.2001448113343498E-2</v>
      </c>
      <c r="J18" s="93">
        <v>-2.5399999999999999E-2</v>
      </c>
      <c r="L18" s="337" t="str">
        <f t="shared" si="0"/>
        <v>3Q2001</v>
      </c>
      <c r="M18" s="396">
        <f>USD!AR18</f>
        <v>7.6748178116028409E-3</v>
      </c>
      <c r="N18" s="396">
        <f>APG!B18</f>
        <v>-6.3306387857984994E-2</v>
      </c>
      <c r="O18" s="427" t="str">
        <f t="shared" si="1"/>
        <v>2011 </v>
      </c>
      <c r="P18" s="93">
        <f>USD!AT18</f>
        <v>7.8858906190838463E-3</v>
      </c>
      <c r="Q18" s="396">
        <f>USD!BS18</f>
        <v>1.4333896313787342E-3</v>
      </c>
      <c r="R18" s="224">
        <f>APG!F22</f>
        <v>3.4107997760173273E-2</v>
      </c>
      <c r="T18" s="336" t="str">
        <f t="shared" si="3"/>
        <v>3Q2001</v>
      </c>
      <c r="U18" s="396">
        <f>USD!CX18</f>
        <v>-0.17318577657020084</v>
      </c>
      <c r="V18" s="396">
        <f>CPPIB.!H14</f>
        <v>-0.13935264315231038</v>
      </c>
      <c r="W18" s="432">
        <f>USD!CK17</f>
        <v>40633</v>
      </c>
      <c r="X18" s="224">
        <f>USD!DD17</f>
        <v>0.16708450269853503</v>
      </c>
      <c r="Y18" s="93">
        <f>USD!DC17</f>
        <v>0.16036542450847802</v>
      </c>
      <c r="Z18" s="427">
        <v>2011</v>
      </c>
      <c r="AA18" s="463">
        <f>USD!DA17</f>
        <v>2.7237956981805533E-2</v>
      </c>
      <c r="AB18" s="224">
        <f>USD!CJ17</f>
        <v>5.2669501028252963E-2</v>
      </c>
    </row>
    <row r="19" spans="1:28">
      <c r="A19" s="337" t="str">
        <f>USD!Y19</f>
        <v>4Q2001</v>
      </c>
      <c r="B19" s="224">
        <f>NBIM!P18</f>
        <v>2.3057028013401482E-2</v>
      </c>
      <c r="C19" s="463">
        <f>USD!S19</f>
        <v>2.3057028013401482E-2</v>
      </c>
      <c r="D19" s="224">
        <f>NBIM!E18</f>
        <v>3.4556846008906961E-2</v>
      </c>
      <c r="E19" s="463">
        <f t="shared" si="2"/>
        <v>3.4556846008906961E-2</v>
      </c>
      <c r="F19" s="427" t="str">
        <f>USD!AU19</f>
        <v>2012 </v>
      </c>
      <c r="G19" s="426">
        <f>NBIM!AJ17</f>
        <v>6.5810140254845662E-2</v>
      </c>
      <c r="H19" s="93">
        <f>NBIM!S17</f>
        <v>0.14154910849938662</v>
      </c>
      <c r="I19" s="396">
        <f>USD!W63</f>
        <v>0.1429318766513461</v>
      </c>
      <c r="J19" s="93">
        <v>0.13420000000000001</v>
      </c>
      <c r="L19" s="337" t="str">
        <f t="shared" si="0"/>
        <v>4Q2001</v>
      </c>
      <c r="M19" s="396">
        <f>USD!AR19</f>
        <v>2.7060732268697318E-2</v>
      </c>
      <c r="N19" s="396">
        <f>APG!B19</f>
        <v>5.04770839232093E-2</v>
      </c>
      <c r="O19" s="427" t="str">
        <f t="shared" si="1"/>
        <v>2012 </v>
      </c>
      <c r="P19" s="93">
        <f>USD!AT19</f>
        <v>0.15166410161585953</v>
      </c>
      <c r="Q19" s="396">
        <f>USD!BS19</f>
        <v>0.15096960282978111</v>
      </c>
      <c r="R19" s="224">
        <f>APG!F23</f>
        <v>0.13158915737649363</v>
      </c>
      <c r="T19" s="336" t="str">
        <f t="shared" si="3"/>
        <v>4Q2001</v>
      </c>
      <c r="U19" s="396">
        <f>USD!CX19</f>
        <v>0.10015458760346996</v>
      </c>
      <c r="V19" s="396">
        <f>CPPIB.!H15</f>
        <v>0.11168054723177755</v>
      </c>
      <c r="W19" s="432">
        <f>USD!CK18</f>
        <v>40999</v>
      </c>
      <c r="X19" s="224">
        <f>USD!DD18</f>
        <v>3.7522137175446613E-2</v>
      </c>
      <c r="Y19" s="93">
        <f>USD!DC18</f>
        <v>3.3673185027404795E-2</v>
      </c>
      <c r="Z19" s="427">
        <v>2012</v>
      </c>
      <c r="AA19" s="463">
        <f>USD!DA18</f>
        <v>0.12039747139089818</v>
      </c>
      <c r="AB19" s="224">
        <f>USD!CJ18</f>
        <v>9.5585329991571433E-2</v>
      </c>
    </row>
    <row r="20" spans="1:28">
      <c r="A20" s="337" t="str">
        <f>USD!Y20</f>
        <v>1Q2002</v>
      </c>
      <c r="B20" s="224">
        <f>NBIM!P19</f>
        <v>-5.245273836852693E-3</v>
      </c>
      <c r="C20" s="463">
        <f>USD!S20</f>
        <v>-5.245273836852693E-3</v>
      </c>
      <c r="D20" s="224">
        <f>NBIM!E19</f>
        <v>-2.0506024432779824E-2</v>
      </c>
      <c r="E20" s="463">
        <f t="shared" si="2"/>
        <v>-2.0506024432779824E-2</v>
      </c>
      <c r="F20" s="427" t="str">
        <f>USD!AU20</f>
        <v>2013 </v>
      </c>
      <c r="G20" s="426">
        <f>NBIM!AJ18</f>
        <v>0.24370654591496366</v>
      </c>
      <c r="H20" s="93">
        <f>NBIM!S18</f>
        <v>0.14190508800135371</v>
      </c>
      <c r="I20" s="396">
        <f>USD!W67</f>
        <v>0.1408783560914233</v>
      </c>
      <c r="J20" s="93">
        <v>0.1595</v>
      </c>
      <c r="L20" s="337" t="str">
        <f t="shared" si="0"/>
        <v>1Q2002</v>
      </c>
      <c r="M20" s="396">
        <f>USD!AR20</f>
        <v>-3.8578549556389508E-3</v>
      </c>
      <c r="N20" s="396">
        <f>APG!B20</f>
        <v>1.6693118652624302E-2</v>
      </c>
      <c r="O20" s="427" t="str">
        <f t="shared" si="1"/>
        <v>2013 </v>
      </c>
      <c r="P20" s="93">
        <f>USD!AT20</f>
        <v>0.10716551706609978</v>
      </c>
      <c r="Q20" s="396">
        <f>USD!BS20</f>
        <v>0.11288722059316991</v>
      </c>
      <c r="R20" s="224">
        <f>APG!F24</f>
        <v>6.1446825188221393E-2</v>
      </c>
      <c r="T20" s="336" t="str">
        <f t="shared" si="3"/>
        <v>1Q2002</v>
      </c>
      <c r="U20" s="396">
        <f>USD!CX20</f>
        <v>1.8955222109689585E-2</v>
      </c>
      <c r="V20" s="396">
        <f>CPPIB.!H16</f>
        <v>1.8412630448738521E-2</v>
      </c>
      <c r="W20" s="432">
        <f>USD!CK19</f>
        <v>41364</v>
      </c>
      <c r="X20" s="224">
        <f>USD!DD19</f>
        <v>8.3118706629263128E-2</v>
      </c>
      <c r="Y20" s="93">
        <f>USD!DC19</f>
        <v>7.915123502016308E-2</v>
      </c>
      <c r="Z20" s="427">
        <v>2013</v>
      </c>
      <c r="AA20" s="463">
        <f>USD!DA19</f>
        <v>6.083766145985936E-2</v>
      </c>
      <c r="AB20" s="224">
        <f>USD!CJ19</f>
        <v>0.13200764818831034</v>
      </c>
    </row>
    <row r="21" spans="1:28">
      <c r="A21" s="337" t="str">
        <f>USD!Y21</f>
        <v>2Q2002</v>
      </c>
      <c r="B21" s="224">
        <f>NBIM!P20</f>
        <v>4.5141183052912703E-2</v>
      </c>
      <c r="C21" s="463">
        <f>USD!S21</f>
        <v>4.5141183052912703E-2</v>
      </c>
      <c r="D21" s="224">
        <f>NBIM!E20</f>
        <v>-0.11194300304766092</v>
      </c>
      <c r="E21" s="463">
        <f t="shared" si="2"/>
        <v>-0.11194300304766092</v>
      </c>
      <c r="F21" s="427" t="str">
        <f>USD!AU21</f>
        <v>2014 </v>
      </c>
      <c r="G21" s="426">
        <f>NBIM!AJ19</f>
        <v>0.22791254442772835</v>
      </c>
      <c r="H21" s="93">
        <f>NBIM!S19</f>
        <v>6.9996296689109894E-3</v>
      </c>
      <c r="I21" s="396">
        <f>USD!W71</f>
        <v>-6.4005948394656453E-3</v>
      </c>
      <c r="J21" s="93">
        <v>7.5800000000000006E-2</v>
      </c>
      <c r="L21" s="337" t="str">
        <f t="shared" si="0"/>
        <v>2Q2002</v>
      </c>
      <c r="M21" s="396">
        <f>USD!AR21</f>
        <v>6.5861583204426255E-2</v>
      </c>
      <c r="N21" s="396">
        <f>APG!B21</f>
        <v>-5.8467129632802102E-2</v>
      </c>
      <c r="O21" s="427" t="str">
        <f t="shared" si="1"/>
        <v>2014 </v>
      </c>
      <c r="P21" s="93">
        <f>USD!AT21</f>
        <v>8.3570545908545624E-3</v>
      </c>
      <c r="Q21" s="396">
        <f>USD!BS21</f>
        <v>1.2030714726396496E-3</v>
      </c>
      <c r="R21" s="224">
        <f>APG!F25</f>
        <v>0.13795045529224559</v>
      </c>
      <c r="T21" s="336" t="str">
        <f t="shared" si="3"/>
        <v>2Q2002</v>
      </c>
      <c r="U21" s="396">
        <f>USD!CX21</f>
        <v>-7.1275491553524195E-2</v>
      </c>
      <c r="V21" s="396">
        <f>CPPIB.!H17</f>
        <v>-0.11464391068306069</v>
      </c>
      <c r="W21" s="432">
        <f>USD!CK20</f>
        <v>41729</v>
      </c>
      <c r="X21" s="224">
        <f>USD!DD20</f>
        <v>7.2327746319366115E-2</v>
      </c>
      <c r="Y21" s="93">
        <f>USD!DC20</f>
        <v>6.5285243331471454E-2</v>
      </c>
      <c r="Z21" s="427">
        <v>2014</v>
      </c>
      <c r="AA21" s="463">
        <f>USD!DA20</f>
        <v>5.751997867743408E-2</v>
      </c>
      <c r="AB21" s="224">
        <f>USD!CJ20</f>
        <v>0.15282119087354151</v>
      </c>
    </row>
    <row r="22" spans="1:28">
      <c r="A22" s="337" t="str">
        <f>USD!Y22</f>
        <v>3Q2002</v>
      </c>
      <c r="B22" s="224">
        <f>NBIM!P21</f>
        <v>-5.1110678966358347E-2</v>
      </c>
      <c r="C22" s="463">
        <f>USD!S22</f>
        <v>-5.1110678966358347E-2</v>
      </c>
      <c r="D22" s="224">
        <f>NBIM!E21</f>
        <v>-6.293338748236188E-2</v>
      </c>
      <c r="E22" s="463">
        <f t="shared" si="2"/>
        <v>-6.293338748236188E-2</v>
      </c>
      <c r="F22" s="427">
        <f>USD!AU22</f>
        <v>2015</v>
      </c>
      <c r="G22" s="426">
        <f>NBIM!AJ20</f>
        <v>0.14851835285927684</v>
      </c>
      <c r="H22" s="93">
        <f>NBIM!S20</f>
        <v>-1.9036128195570989E-2</v>
      </c>
      <c r="I22" s="396">
        <f>USD!W75</f>
        <v>-2.7145714893200168E-2</v>
      </c>
      <c r="J22" s="93">
        <v>2.7400000000000001E-2</v>
      </c>
      <c r="L22" s="337" t="str">
        <f t="shared" si="0"/>
        <v>3Q2002</v>
      </c>
      <c r="M22" s="396">
        <f>USD!AR22</f>
        <v>-5.0913851637325869E-2</v>
      </c>
      <c r="N22" s="396">
        <f>APG!B22</f>
        <v>-5.1537168802297903E-2</v>
      </c>
      <c r="O22" s="427">
        <f t="shared" si="1"/>
        <v>2015</v>
      </c>
      <c r="P22" s="93">
        <f>USD!AT22</f>
        <v>-7.9814161411178031E-2</v>
      </c>
      <c r="Q22" s="396">
        <f>USD!BS22</f>
        <v>-7.6315985326085078E-2</v>
      </c>
      <c r="R22" s="224">
        <f>APG!F26</f>
        <v>3.2243592794572402E-2</v>
      </c>
      <c r="T22" s="336" t="str">
        <f t="shared" si="3"/>
        <v>3Q2002</v>
      </c>
      <c r="U22" s="396">
        <f>USD!CX22</f>
        <v>-0.19002639054591275</v>
      </c>
      <c r="V22" s="396">
        <f>CPPIB.!H18</f>
        <v>-0.15525008921291783</v>
      </c>
      <c r="W22" s="432">
        <f>USD!CK21</f>
        <v>42094</v>
      </c>
      <c r="X22" s="224">
        <f>USD!DD21</f>
        <v>3.0980063166206051E-2</v>
      </c>
      <c r="Y22" s="93">
        <f>USD!DC21</f>
        <v>2.6342368944410666E-2</v>
      </c>
      <c r="Z22" s="427">
        <v>2015</v>
      </c>
      <c r="AA22" s="463">
        <f>USD!DA21</f>
        <v>-3.7494525570549109E-2</v>
      </c>
      <c r="AB22" s="224">
        <f>USD!CJ21</f>
        <v>0.15434176950567702</v>
      </c>
    </row>
    <row r="23" spans="1:28" ht="15.75" thickBot="1">
      <c r="A23" s="337" t="str">
        <f>USD!Y23</f>
        <v>4Q2002</v>
      </c>
      <c r="B23" s="224">
        <f>NBIM!P22</f>
        <v>6.1876489349170782E-2</v>
      </c>
      <c r="C23" s="463">
        <f>USD!S23</f>
        <v>6.1876489349170782E-2</v>
      </c>
      <c r="D23" s="224">
        <f>NBIM!E22</f>
        <v>-7.3314698935088574E-3</v>
      </c>
      <c r="E23" s="463">
        <f t="shared" si="2"/>
        <v>-7.3314698935088574E-3</v>
      </c>
      <c r="F23" s="427">
        <v>2016</v>
      </c>
      <c r="G23" s="426">
        <f>NBIM!AJ21</f>
        <v>1.579744193279109E-2</v>
      </c>
      <c r="H23" s="93">
        <f>NBIM!S21</f>
        <v>4.8399118492338356E-2</v>
      </c>
      <c r="I23" s="396">
        <f>USD!W79</f>
        <v>4.4550656697121216E-2</v>
      </c>
      <c r="J23" s="93">
        <v>6.9199999999999998E-2</v>
      </c>
      <c r="L23" s="337" t="str">
        <f t="shared" ref="L23:L67" si="6">A23</f>
        <v>4Q2002</v>
      </c>
      <c r="M23" s="396">
        <f>USD!AR23</f>
        <v>8.5790234137231636E-2</v>
      </c>
      <c r="N23" s="396">
        <f>APG!B23</f>
        <v>2.2519919541788801E-2</v>
      </c>
      <c r="O23" s="427">
        <f t="shared" si="1"/>
        <v>2016</v>
      </c>
      <c r="P23" s="93">
        <f>USD!AT23</f>
        <v>6.5870429426688637E-2</v>
      </c>
      <c r="Q23" s="398">
        <f>USD!BS23</f>
        <v>5.2595179534525194E-2</v>
      </c>
      <c r="R23" s="224">
        <f>APG!F27</f>
        <v>9.1642279050214395E-2</v>
      </c>
      <c r="T23" s="336" t="str">
        <f t="shared" si="3"/>
        <v>4Q2002</v>
      </c>
      <c r="U23" s="396">
        <f>USD!CX23</f>
        <v>6.167922556828298E-2</v>
      </c>
      <c r="V23" s="396">
        <f>CPPIB.!H19</f>
        <v>5.7395562068322699E-2</v>
      </c>
      <c r="W23" s="432">
        <f>USD!CK22</f>
        <v>42460</v>
      </c>
      <c r="X23" s="224">
        <f>USD!DD22</f>
        <v>1.2455835169507878E-2</v>
      </c>
      <c r="Y23" s="93">
        <f>USD!DC22</f>
        <v>1.0750799636823238E-2</v>
      </c>
      <c r="Z23" s="427">
        <v>2016</v>
      </c>
      <c r="AA23" s="465">
        <f>USD!DA22</f>
        <v>7.7382946542327913E-2</v>
      </c>
      <c r="AB23" s="224">
        <f>USD!CJ22</f>
        <v>4.0115470780065277E-2</v>
      </c>
    </row>
    <row r="24" spans="1:28" ht="15.75" thickBot="1">
      <c r="A24" s="337" t="str">
        <f>USD!Y24</f>
        <v>1Q2003</v>
      </c>
      <c r="B24" s="224">
        <f>NBIM!P23</f>
        <v>-5.2966055573544502E-4</v>
      </c>
      <c r="C24" s="463">
        <f>USD!S24</f>
        <v>-5.2966055573544502E-4</v>
      </c>
      <c r="D24" s="224">
        <f>NBIM!E23</f>
        <v>4.6920582615721074E-2</v>
      </c>
      <c r="E24" s="463">
        <f t="shared" si="2"/>
        <v>4.6920582615721074E-2</v>
      </c>
      <c r="F24" s="337" t="s">
        <v>365</v>
      </c>
      <c r="G24" s="337"/>
      <c r="H24" s="429">
        <f>AVERAGE(H5:H23)</f>
        <v>6.2927616278984702E-2</v>
      </c>
      <c r="I24" s="466">
        <f>AVERAGE(I5:I23)</f>
        <v>6.0902581213594431E-2</v>
      </c>
      <c r="L24" s="337" t="str">
        <f t="shared" si="6"/>
        <v>1Q2003</v>
      </c>
      <c r="M24" s="396">
        <f>USD!AR24</f>
        <v>1.9973941470632584E-2</v>
      </c>
      <c r="N24" s="396">
        <f>APG!B24</f>
        <v>-1.9097453219927899E-2</v>
      </c>
      <c r="P24" s="49"/>
      <c r="Q24" s="49"/>
      <c r="T24" s="336" t="str">
        <f t="shared" si="3"/>
        <v>1Q2003</v>
      </c>
      <c r="U24" s="396">
        <f>USD!CX24</f>
        <v>5.0637176272201323E-3</v>
      </c>
      <c r="V24" s="396">
        <f>CPPIB.!H20</f>
        <v>-6.4186304947613793E-2</v>
      </c>
      <c r="W24" s="336" t="s">
        <v>365</v>
      </c>
      <c r="X24" s="429">
        <f>AVERAGE(X9:X23)</f>
        <v>0.10393904320523784</v>
      </c>
      <c r="Y24" s="433">
        <f>AVERAGE(Y9:Y23)</f>
        <v>9.2378563799320676E-2</v>
      </c>
      <c r="Z24" s="337" t="s">
        <v>365</v>
      </c>
      <c r="AA24" s="429">
        <f>AVERAGE(AA8:AA23)</f>
        <v>7.5421655117742223E-2</v>
      </c>
      <c r="AB24" s="429">
        <f>AVERAGE(AB8:AB23)</f>
        <v>5.7496542432094226E-2</v>
      </c>
    </row>
    <row r="25" spans="1:28">
      <c r="A25" s="337" t="str">
        <f>USD!Y25</f>
        <v>2Q2003</v>
      </c>
      <c r="B25" s="224">
        <f>NBIM!P24</f>
        <v>0.10705794985463957</v>
      </c>
      <c r="C25" s="463">
        <f>USD!S25</f>
        <v>0.10705794985463957</v>
      </c>
      <c r="D25" s="224">
        <f>NBIM!E24</f>
        <v>0.10121502959068573</v>
      </c>
      <c r="E25" s="463">
        <f t="shared" si="2"/>
        <v>0.10121502959068573</v>
      </c>
      <c r="G25" s="224"/>
      <c r="H25" s="224"/>
      <c r="I25" s="224"/>
      <c r="J25" s="93"/>
      <c r="L25" s="337" t="str">
        <f t="shared" si="6"/>
        <v>2Q2003</v>
      </c>
      <c r="M25" s="396">
        <f>USD!AR25</f>
        <v>0.12216248352844428</v>
      </c>
      <c r="N25" s="396">
        <f>APG!B25</f>
        <v>6.6316525676841195E-2</v>
      </c>
      <c r="T25" s="336" t="str">
        <f t="shared" si="3"/>
        <v>2Q2003</v>
      </c>
      <c r="U25" s="396">
        <f>USD!CX25</f>
        <v>0.18159377191792281</v>
      </c>
      <c r="V25" s="396">
        <f>CPPIB.!H21</f>
        <v>9.1465065157535969E-2</v>
      </c>
      <c r="X25" s="224"/>
      <c r="Y25" s="93"/>
      <c r="AA25" s="224"/>
    </row>
    <row r="26" spans="1:28">
      <c r="A26" s="337" t="str">
        <f>USD!Y26</f>
        <v>3Q2003</v>
      </c>
      <c r="B26" s="224">
        <f>NBIM!P25</f>
        <v>3.0902312267568233E-2</v>
      </c>
      <c r="C26" s="463">
        <f>USD!S26</f>
        <v>3.0902312267568233E-2</v>
      </c>
      <c r="D26" s="224">
        <f>NBIM!E25</f>
        <v>7.6947280739130264E-3</v>
      </c>
      <c r="E26" s="463">
        <f t="shared" si="2"/>
        <v>7.6947280739130264E-3</v>
      </c>
      <c r="I26" s="224"/>
      <c r="J26" s="93"/>
      <c r="L26" s="337" t="str">
        <f t="shared" si="6"/>
        <v>3Q2003</v>
      </c>
      <c r="M26" s="396">
        <f>USD!AR26</f>
        <v>3.2716804078982031E-2</v>
      </c>
      <c r="N26" s="396">
        <f>APG!B26</f>
        <v>1.8350570878345001E-2</v>
      </c>
      <c r="T26" s="336" t="str">
        <f t="shared" si="3"/>
        <v>3Q2003</v>
      </c>
      <c r="U26" s="396">
        <f>USD!CX26</f>
        <v>6.3240014772481867E-2</v>
      </c>
      <c r="V26" s="396">
        <f>CPPIB.!H22</f>
        <v>5.5962640614333495E-2</v>
      </c>
      <c r="Y26" s="93"/>
    </row>
    <row r="27" spans="1:28">
      <c r="A27" s="337" t="str">
        <f>USD!Y27</f>
        <v>4Q2003</v>
      </c>
      <c r="B27" s="224">
        <f>NBIM!P26</f>
        <v>9.5111174528623721E-2</v>
      </c>
      <c r="C27" s="463">
        <f>USD!S27</f>
        <v>9.5111174528623721E-2</v>
      </c>
      <c r="D27" s="224">
        <f>NBIM!E26</f>
        <v>3.254802674414714E-2</v>
      </c>
      <c r="E27" s="463">
        <f t="shared" si="2"/>
        <v>3.254802674414714E-2</v>
      </c>
      <c r="J27" s="93"/>
      <c r="L27" s="337" t="str">
        <f t="shared" si="6"/>
        <v>4Q2003</v>
      </c>
      <c r="M27" s="396">
        <f>USD!AR27</f>
        <v>0.12916762849970786</v>
      </c>
      <c r="N27" s="396">
        <f>APG!B27</f>
        <v>4.25109846642742E-2</v>
      </c>
      <c r="T27" s="336" t="str">
        <f t="shared" si="3"/>
        <v>4Q2003</v>
      </c>
      <c r="U27" s="396">
        <f>USD!CX27</f>
        <v>0.14551596282400214</v>
      </c>
      <c r="V27" s="396">
        <f>CPPIB.!H23</f>
        <v>9.6960245254968325E-2</v>
      </c>
      <c r="Y27" s="93"/>
    </row>
    <row r="28" spans="1:28">
      <c r="A28" s="337" t="str">
        <f>USD!Y28</f>
        <v>1Q2004</v>
      </c>
      <c r="B28" s="224">
        <f>NBIM!P27</f>
        <v>2.4189732235217587E-2</v>
      </c>
      <c r="C28" s="463">
        <f>USD!S28</f>
        <v>2.4189732235217587E-2</v>
      </c>
      <c r="D28" s="224">
        <f>NBIM!E27</f>
        <v>5.6980799600252041E-2</v>
      </c>
      <c r="E28" s="463">
        <f t="shared" si="2"/>
        <v>5.6980799600252041E-2</v>
      </c>
      <c r="J28" s="93"/>
      <c r="L28" s="337" t="str">
        <f t="shared" si="6"/>
        <v>1Q2004</v>
      </c>
      <c r="M28" s="396">
        <f>USD!AR28</f>
        <v>1.5702229912712973E-2</v>
      </c>
      <c r="N28" s="396">
        <f>APG!B28</f>
        <v>4.2523243235378497E-2</v>
      </c>
      <c r="T28" s="336" t="str">
        <f t="shared" si="3"/>
        <v>1Q2004</v>
      </c>
      <c r="U28" s="396">
        <f>USD!CX28</f>
        <v>2.637835759038154E-2</v>
      </c>
      <c r="V28" s="396">
        <f>CPPIB.!H24</f>
        <v>4.3852007323009499E-2</v>
      </c>
      <c r="Y28" s="93"/>
    </row>
    <row r="29" spans="1:28">
      <c r="A29" s="337" t="str">
        <f>USD!Y29</f>
        <v>2Q2004</v>
      </c>
      <c r="B29" s="224">
        <f>NBIM!P28</f>
        <v>-1.2056496529350924E-2</v>
      </c>
      <c r="C29" s="463">
        <f>USD!S29</f>
        <v>-1.2056496529350924E-2</v>
      </c>
      <c r="D29" s="224">
        <f>NBIM!E28</f>
        <v>-2.6026982570416246E-3</v>
      </c>
      <c r="E29" s="463">
        <f t="shared" si="2"/>
        <v>-2.6026982570416246E-3</v>
      </c>
      <c r="J29" s="93"/>
      <c r="L29" s="337" t="str">
        <f t="shared" si="6"/>
        <v>2Q2004</v>
      </c>
      <c r="M29" s="396">
        <f>USD!AR29</f>
        <v>-1.2903710414989944E-2</v>
      </c>
      <c r="N29" s="396">
        <f>APG!B29</f>
        <v>-2.9652538386926801E-3</v>
      </c>
      <c r="T29" s="336" t="str">
        <f t="shared" si="3"/>
        <v>2Q2004</v>
      </c>
      <c r="U29" s="396">
        <f>USD!CX29</f>
        <v>-1.2189037888511112E-2</v>
      </c>
      <c r="V29" s="396">
        <f>CPPIB.!H25</f>
        <v>7.7287787338624321E-3</v>
      </c>
      <c r="Y29" s="93"/>
    </row>
    <row r="30" spans="1:28">
      <c r="A30" s="337" t="str">
        <f>USD!Y30</f>
        <v>3Q2004</v>
      </c>
      <c r="B30" s="224">
        <f>NBIM!P29</f>
        <v>2.298277123658643E-2</v>
      </c>
      <c r="C30" s="463">
        <f>USD!S30</f>
        <v>2.298277123658643E-2</v>
      </c>
      <c r="D30" s="224">
        <f>NBIM!E29</f>
        <v>-6.5341521201640607E-3</v>
      </c>
      <c r="E30" s="463">
        <f t="shared" si="2"/>
        <v>-6.5341521201640607E-3</v>
      </c>
      <c r="J30" s="93"/>
      <c r="L30" s="337" t="str">
        <f t="shared" si="6"/>
        <v>3Q2004</v>
      </c>
      <c r="M30" s="396">
        <f>USD!AR30</f>
        <v>4.2345965740901992E-2</v>
      </c>
      <c r="N30" s="396">
        <f>APG!B30</f>
        <v>2.1071140395562699E-2</v>
      </c>
      <c r="T30" s="336" t="str">
        <f t="shared" si="3"/>
        <v>3Q2004</v>
      </c>
      <c r="U30" s="396">
        <f>USD!CX30</f>
        <v>6.3910152325288516E-2</v>
      </c>
      <c r="V30" s="396">
        <f>CPPIB.!H26</f>
        <v>4.2375485924065264E-3</v>
      </c>
      <c r="Y30" s="93"/>
    </row>
    <row r="31" spans="1:28">
      <c r="A31" s="337" t="str">
        <f>USD!Y31</f>
        <v>4Q2004</v>
      </c>
      <c r="B31" s="224">
        <f>NBIM!P30</f>
        <v>0.1029058136070462</v>
      </c>
      <c r="C31" s="463">
        <f>USD!S31</f>
        <v>0.1029058136070462</v>
      </c>
      <c r="D31" s="224">
        <f>NBIM!E30</f>
        <v>-7.6551078847511E-3</v>
      </c>
      <c r="E31" s="463">
        <f t="shared" si="2"/>
        <v>-7.6551078847511E-3</v>
      </c>
      <c r="J31" s="93"/>
      <c r="L31" s="337" t="str">
        <f t="shared" si="6"/>
        <v>4Q2004</v>
      </c>
      <c r="M31" s="396">
        <f>USD!AR31</f>
        <v>0.14695938474474612</v>
      </c>
      <c r="N31" s="396">
        <f>APG!B31</f>
        <v>4.8021952792462901E-2</v>
      </c>
      <c r="T31" s="336" t="str">
        <f t="shared" si="3"/>
        <v>4Q2004</v>
      </c>
      <c r="U31" s="396">
        <f>USD!CX31</f>
        <v>0.12879379248009437</v>
      </c>
      <c r="V31" s="396">
        <f>CPPIB.!H27</f>
        <v>6.8677083054817983E-2</v>
      </c>
      <c r="Y31" s="93"/>
    </row>
    <row r="32" spans="1:28">
      <c r="A32" s="337" t="str">
        <f>USD!Y32</f>
        <v>1Q2005</v>
      </c>
      <c r="B32" s="224">
        <f>NBIM!P31</f>
        <v>-1.4334479444104931E-2</v>
      </c>
      <c r="C32" s="463">
        <f>USD!S32</f>
        <v>-1.4334479444104931E-2</v>
      </c>
      <c r="D32" s="224">
        <f>NBIM!E31</f>
        <v>2.7603540376466063E-2</v>
      </c>
      <c r="E32" s="463">
        <f t="shared" si="2"/>
        <v>2.7603540376466063E-2</v>
      </c>
      <c r="J32" s="93"/>
      <c r="L32" s="337" t="str">
        <f t="shared" si="6"/>
        <v>1Q2005</v>
      </c>
      <c r="M32" s="396">
        <f>USD!AR32</f>
        <v>-2.9009643098668603E-2</v>
      </c>
      <c r="N32" s="396">
        <f>APG!B32</f>
        <v>1.55183882471747E-2</v>
      </c>
      <c r="T32" s="336" t="str">
        <f t="shared" si="3"/>
        <v>1Q2005</v>
      </c>
      <c r="U32" s="396">
        <f>USD!CX32</f>
        <v>1.7758504367298755E-2</v>
      </c>
      <c r="V32" s="396">
        <f>CPPIB.!H28</f>
        <v>2.7696971588512767E-2</v>
      </c>
      <c r="Y32" s="93"/>
    </row>
    <row r="33" spans="1:25">
      <c r="A33" s="337" t="str">
        <f>USD!Y33</f>
        <v>2Q2005</v>
      </c>
      <c r="B33" s="224">
        <f>NBIM!P32</f>
        <v>-9.180332122891155E-4</v>
      </c>
      <c r="C33" s="463">
        <f>USD!S33</f>
        <v>-9.180332122891155E-4</v>
      </c>
      <c r="D33" s="224">
        <f>NBIM!E32</f>
        <v>3.4428937423143458E-2</v>
      </c>
      <c r="E33" s="463">
        <f t="shared" si="2"/>
        <v>3.4428937423143458E-2</v>
      </c>
      <c r="J33" s="93"/>
      <c r="L33" s="337" t="str">
        <f t="shared" si="6"/>
        <v>2Q2005</v>
      </c>
      <c r="M33" s="396">
        <f>USD!AR33</f>
        <v>-2.8456134895318508E-2</v>
      </c>
      <c r="N33" s="396">
        <f>APG!B33</f>
        <v>4.2966616164086202E-2</v>
      </c>
      <c r="T33" s="336" t="str">
        <f t="shared" si="3"/>
        <v>2Q2005</v>
      </c>
      <c r="U33" s="396">
        <f>USD!CX33</f>
        <v>2.4132479262439333E-2</v>
      </c>
      <c r="V33" s="396">
        <f>CPPIB.!H29</f>
        <v>3.6787585734294116E-2</v>
      </c>
      <c r="Y33" s="93"/>
    </row>
    <row r="34" spans="1:25">
      <c r="A34" s="337" t="str">
        <f>USD!Y34</f>
        <v>3Q2005</v>
      </c>
      <c r="B34" s="224">
        <f>NBIM!P33</f>
        <v>2.8312557165798058E-2</v>
      </c>
      <c r="C34" s="463">
        <f>USD!S34</f>
        <v>2.8312557165798058E-2</v>
      </c>
      <c r="D34" s="224">
        <f>NBIM!E33</f>
        <v>2.6189179344246583E-2</v>
      </c>
      <c r="E34" s="463">
        <f t="shared" si="2"/>
        <v>2.6189179344246583E-2</v>
      </c>
      <c r="J34" s="93"/>
      <c r="L34" s="337" t="str">
        <f t="shared" si="6"/>
        <v>3Q2005</v>
      </c>
      <c r="M34" s="396">
        <f>USD!AR34</f>
        <v>4.1427996423099245E-2</v>
      </c>
      <c r="N34" s="396">
        <f>APG!B34</f>
        <v>4.5746250579257401E-2</v>
      </c>
      <c r="T34" s="336" t="str">
        <f t="shared" si="3"/>
        <v>3Q2005</v>
      </c>
      <c r="U34" s="396">
        <f>USD!CX34</f>
        <v>0.11455705560983542</v>
      </c>
      <c r="V34" s="396">
        <f>CPPIB.!H30</f>
        <v>5.6135629278882444E-2</v>
      </c>
      <c r="Y34" s="93"/>
    </row>
    <row r="35" spans="1:25">
      <c r="A35" s="337" t="str">
        <f>USD!Y35</f>
        <v>4Q2005</v>
      </c>
      <c r="B35" s="224">
        <f>NBIM!P34</f>
        <v>9.4819269561665642E-3</v>
      </c>
      <c r="C35" s="463">
        <f>USD!S35</f>
        <v>9.4819269561665642E-3</v>
      </c>
      <c r="D35" s="224">
        <f>NBIM!E34</f>
        <v>4.7691629431807936E-2</v>
      </c>
      <c r="E35" s="463">
        <f t="shared" si="2"/>
        <v>4.7691629431807936E-2</v>
      </c>
      <c r="J35" s="93"/>
      <c r="L35" s="337" t="str">
        <f t="shared" si="6"/>
        <v>4Q2005</v>
      </c>
      <c r="M35" s="396">
        <f>USD!AR35</f>
        <v>-3.6929613653673421E-3</v>
      </c>
      <c r="N35" s="396">
        <f>APG!B35</f>
        <v>1.8352620746716598E-2</v>
      </c>
      <c r="T35" s="336" t="str">
        <f t="shared" si="3"/>
        <v>4Q2005</v>
      </c>
      <c r="U35" s="396">
        <f>USD!CX35</f>
        <v>2.0268018383834407E-2</v>
      </c>
      <c r="V35" s="396">
        <f>CPPIB.!H31</f>
        <v>2.6905122932169522E-2</v>
      </c>
      <c r="Y35" s="93"/>
    </row>
    <row r="36" spans="1:25">
      <c r="A36" s="337" t="str">
        <f>USD!Y36</f>
        <v>1Q2006</v>
      </c>
      <c r="B36" s="224">
        <f>NBIM!P35</f>
        <v>3.4367718014040927E-2</v>
      </c>
      <c r="C36" s="463">
        <f>USD!S36</f>
        <v>3.4367718014040927E-2</v>
      </c>
      <c r="D36" s="224">
        <f>NBIM!E35</f>
        <v>2.5327935268155688E-3</v>
      </c>
      <c r="E36" s="463">
        <f t="shared" si="2"/>
        <v>2.5327935268155688E-3</v>
      </c>
      <c r="J36" s="93"/>
      <c r="L36" s="337" t="str">
        <f t="shared" si="6"/>
        <v>1Q2006</v>
      </c>
      <c r="M36" s="396">
        <f>USD!AR36</f>
        <v>5.6267903316775225E-2</v>
      </c>
      <c r="N36" s="396">
        <f>APG!B36</f>
        <v>2.9559101110307101E-2</v>
      </c>
      <c r="T36" s="336" t="str">
        <f t="shared" si="3"/>
        <v>1Q2006</v>
      </c>
      <c r="U36" s="396">
        <f>USD!CX36</f>
        <v>4.8599452797525089E-2</v>
      </c>
      <c r="V36" s="396">
        <f>CPPIB.!H32</f>
        <v>4.7208082552405814E-2</v>
      </c>
      <c r="Y36" s="93"/>
    </row>
    <row r="37" spans="1:25">
      <c r="A37" s="337" t="str">
        <f>USD!Y37</f>
        <v>2Q2006</v>
      </c>
      <c r="B37" s="224">
        <f>NBIM!P36</f>
        <v>1.9907051977573698E-2</v>
      </c>
      <c r="C37" s="463">
        <f>USD!S37</f>
        <v>1.9907051977573698E-2</v>
      </c>
      <c r="D37" s="224">
        <f>NBIM!E36</f>
        <v>-3.2969880214289371E-2</v>
      </c>
      <c r="E37" s="463">
        <f t="shared" si="2"/>
        <v>-3.2969880214289371E-2</v>
      </c>
      <c r="J37" s="93"/>
      <c r="L37" s="337" t="str">
        <f t="shared" si="6"/>
        <v>2Q2006</v>
      </c>
      <c r="M37" s="396">
        <f>USD!AR37</f>
        <v>4.1085220938983591E-2</v>
      </c>
      <c r="N37" s="396">
        <f>APG!B37</f>
        <v>-1.46879215364841E-2</v>
      </c>
      <c r="T37" s="336" t="str">
        <f t="shared" si="3"/>
        <v>2Q2006</v>
      </c>
      <c r="U37" s="396">
        <f>USD!CX37</f>
        <v>1.9213886449635842E-2</v>
      </c>
      <c r="V37" s="396">
        <f>CPPIB.!H33</f>
        <v>-2.840068307848452E-2</v>
      </c>
      <c r="Y37" s="93"/>
    </row>
    <row r="38" spans="1:25">
      <c r="A38" s="337" t="str">
        <f>USD!Y38</f>
        <v>3Q2006</v>
      </c>
      <c r="B38" s="227">
        <f>NBIM!P37</f>
        <v>3.3788384235323488E-2</v>
      </c>
      <c r="C38" s="463">
        <f>USD!S38</f>
        <v>3.3788384235323488E-2</v>
      </c>
      <c r="D38" s="227">
        <f>NBIM!E37</f>
        <v>8.2972495563846671E-2</v>
      </c>
      <c r="E38" s="463">
        <f t="shared" si="2"/>
        <v>8.2972495563846671E-2</v>
      </c>
      <c r="J38" s="93"/>
      <c r="L38" s="337" t="str">
        <f t="shared" si="6"/>
        <v>3Q2006</v>
      </c>
      <c r="M38" s="396">
        <f>USD!AR38</f>
        <v>2.753899370522106E-2</v>
      </c>
      <c r="N38" s="396">
        <f>APG!B38</f>
        <v>3.7191941295608301E-2</v>
      </c>
      <c r="T38" s="336" t="str">
        <f t="shared" si="3"/>
        <v>3Q2006</v>
      </c>
      <c r="U38" s="396">
        <f>USD!CX38</f>
        <v>3.5713599517874117E-2</v>
      </c>
      <c r="V38" s="396">
        <f>CPPIB.!H34</f>
        <v>3.9019761983739146E-2</v>
      </c>
      <c r="Y38" s="93"/>
    </row>
    <row r="39" spans="1:25">
      <c r="A39" s="337" t="str">
        <f>USD!Y39</f>
        <v>4Q2006</v>
      </c>
      <c r="B39" s="622">
        <f>NBIM!P38</f>
        <v>5.5911078756500698E-2</v>
      </c>
      <c r="C39" s="464">
        <f>USD!S39</f>
        <v>5.5911078756500698E-2</v>
      </c>
      <c r="D39" s="622">
        <f>NBIM!E38</f>
        <v>8.5634211401959259E-3</v>
      </c>
      <c r="E39" s="464">
        <f>D39</f>
        <v>8.5634211401959259E-3</v>
      </c>
      <c r="J39" s="93"/>
      <c r="L39" s="337" t="str">
        <f t="shared" si="6"/>
        <v>4Q2006</v>
      </c>
      <c r="M39" s="396">
        <f>USD!AR39</f>
        <v>8.379449508360981E-2</v>
      </c>
      <c r="N39" s="396">
        <f>APG!B39</f>
        <v>4.11372360298429E-2</v>
      </c>
      <c r="T39" s="336" t="str">
        <f t="shared" si="3"/>
        <v>4Q2006</v>
      </c>
      <c r="U39" s="396">
        <f>USD!CX39</f>
        <v>4.1280551036863455E-2</v>
      </c>
      <c r="V39" s="396">
        <f>CPPIB.!H35</f>
        <v>8.6127528563257533E-2</v>
      </c>
      <c r="Y39" s="93"/>
    </row>
    <row r="40" spans="1:25">
      <c r="A40" s="337" t="str">
        <f>USD!Y40</f>
        <v>1Q2007</v>
      </c>
      <c r="B40" s="224">
        <f>NBIM!P39</f>
        <v>1.9500288647023245E-2</v>
      </c>
      <c r="C40" s="463">
        <f>USD!S40</f>
        <v>1.9291200062115932E-2</v>
      </c>
      <c r="D40" s="224">
        <f>NBIM!E39</f>
        <v>-5.1688197253707546E-4</v>
      </c>
      <c r="E40" s="463">
        <f>USD!J40</f>
        <v>-7.2186525024104916E-4</v>
      </c>
      <c r="J40" s="93"/>
      <c r="L40" s="337" t="str">
        <f t="shared" si="6"/>
        <v>1Q2007</v>
      </c>
      <c r="M40" s="396">
        <f>USD!AR40</f>
        <v>2.6919689565400473E-2</v>
      </c>
      <c r="N40" s="396">
        <f>APG!B40</f>
        <v>1.7276799782970899E-2</v>
      </c>
      <c r="T40" s="336" t="str">
        <f t="shared" si="3"/>
        <v>1Q2007</v>
      </c>
      <c r="U40" s="396">
        <f>USD!CX40</f>
        <v>3.2935751825010851E-2</v>
      </c>
      <c r="V40" s="396">
        <f>CPPIB.!H36</f>
        <v>2.4015064099788246E-2</v>
      </c>
      <c r="Y40" s="93"/>
    </row>
    <row r="41" spans="1:25">
      <c r="A41" s="337" t="str">
        <f>USD!Y41</f>
        <v>2Q2007</v>
      </c>
      <c r="B41" s="224">
        <f>NBIM!P40</f>
        <v>3.1522239350871173E-2</v>
      </c>
      <c r="C41" s="463">
        <f>USD!S41</f>
        <v>3.0912484490987158E-2</v>
      </c>
      <c r="D41" s="224">
        <f>NBIM!E40</f>
        <v>-1.8952215084916402E-3</v>
      </c>
      <c r="E41" s="463">
        <f>USD!J41</f>
        <v>-2.4852225924639096E-3</v>
      </c>
      <c r="J41" s="93"/>
      <c r="L41" s="337" t="str">
        <f t="shared" si="6"/>
        <v>2Q2007</v>
      </c>
      <c r="M41" s="396">
        <f>USD!AR41</f>
        <v>2.8359722410894017E-2</v>
      </c>
      <c r="N41" s="396">
        <f>APG!B41</f>
        <v>1.3587908499660401E-2</v>
      </c>
      <c r="T41" s="336" t="str">
        <f t="shared" si="3"/>
        <v>2Q2007</v>
      </c>
      <c r="U41" s="396">
        <f>USD!CX41</f>
        <v>9.1719356240153926E-2</v>
      </c>
      <c r="V41" s="396">
        <f>CPPIB.!H37</f>
        <v>6.6453995583268454E-3</v>
      </c>
      <c r="Y41" s="93"/>
    </row>
    <row r="42" spans="1:25">
      <c r="A42" s="337" t="str">
        <f>USD!Y42</f>
        <v>3Q2007</v>
      </c>
      <c r="B42" s="224">
        <f>NBIM!P41</f>
        <v>4.3511150250077346E-2</v>
      </c>
      <c r="C42" s="463">
        <f>USD!S42</f>
        <v>4.127613941639674E-2</v>
      </c>
      <c r="D42" s="224">
        <f>NBIM!E41</f>
        <v>-4.2017771645181723E-2</v>
      </c>
      <c r="E42" s="463">
        <f>USD!J42</f>
        <v>-4.4069595105173706E-2</v>
      </c>
      <c r="J42" s="70"/>
      <c r="L42" s="337" t="str">
        <f t="shared" si="6"/>
        <v>3Q2007</v>
      </c>
      <c r="M42" s="396">
        <f>USD!AR42</f>
        <v>7.0931206132829105E-2</v>
      </c>
      <c r="N42" s="396">
        <f>APG!B42</f>
        <v>1.7014308856727198E-2</v>
      </c>
      <c r="T42" s="336" t="str">
        <f t="shared" si="3"/>
        <v>3Q2007</v>
      </c>
      <c r="U42" s="396">
        <f>USD!CX42</f>
        <v>6.9658483848700214E-2</v>
      </c>
      <c r="V42" s="396">
        <f>CPPIB.!H38</f>
        <v>-7.8060126866919715E-4</v>
      </c>
      <c r="Y42" s="93"/>
    </row>
    <row r="43" spans="1:25">
      <c r="A43" s="337" t="str">
        <f>USD!Y43</f>
        <v>4Q2007</v>
      </c>
      <c r="B43" s="224">
        <f>NBIM!P42</f>
        <v>4.2188937346687716E-3</v>
      </c>
      <c r="C43" s="463">
        <f>USD!S43</f>
        <v>3.3261828811859129E-3</v>
      </c>
      <c r="D43" s="224">
        <f>NBIM!E42</f>
        <v>5.626439235592251E-3</v>
      </c>
      <c r="E43" s="463">
        <f>USD!J43</f>
        <v>4.7324771298644808E-3</v>
      </c>
      <c r="J43" s="80"/>
      <c r="L43" s="337" t="str">
        <f t="shared" si="6"/>
        <v>4Q2007</v>
      </c>
      <c r="M43" s="396">
        <f>USD!AR43</f>
        <v>1.7378897508807833E-2</v>
      </c>
      <c r="N43" s="396">
        <f>APG!B43</f>
        <v>-1.0386437945226101E-2</v>
      </c>
      <c r="T43" s="336" t="str">
        <f t="shared" si="3"/>
        <v>4Q2007</v>
      </c>
      <c r="U43" s="396">
        <f>USD!CX43</f>
        <v>5.6262127754271862E-3</v>
      </c>
      <c r="V43" s="396">
        <f>CPPIB.!H39</f>
        <v>-1.2047995383838476E-3</v>
      </c>
      <c r="Y43" s="93"/>
    </row>
    <row r="44" spans="1:25">
      <c r="A44" s="337" t="str">
        <f>USD!Y44</f>
        <v>1Q2008</v>
      </c>
      <c r="B44" s="224">
        <f>NBIM!P43</f>
        <v>-1.5138427788787601E-2</v>
      </c>
      <c r="C44" s="463">
        <f>USD!S44</f>
        <v>-2.0625818795430351E-2</v>
      </c>
      <c r="D44" s="224">
        <f>NBIM!E43</f>
        <v>-7.8276509556557183E-2</v>
      </c>
      <c r="E44" s="463">
        <f>USD!J44</f>
        <v>-8.3412111690687241E-2</v>
      </c>
      <c r="J44" s="203"/>
      <c r="L44" s="337" t="str">
        <f t="shared" si="6"/>
        <v>1Q2008</v>
      </c>
      <c r="M44" s="396">
        <f>USD!AR44</f>
        <v>3.4903468280908623E-2</v>
      </c>
      <c r="N44" s="396">
        <f>APG!B44</f>
        <v>-4.5103711398185503E-2</v>
      </c>
      <c r="T44" s="336" t="str">
        <f t="shared" si="3"/>
        <v>1Q2008</v>
      </c>
      <c r="U44" s="396">
        <f>USD!CX44</f>
        <v>-4.5829365225037222E-2</v>
      </c>
      <c r="V44" s="396">
        <f>CPPIB.!H40</f>
        <v>-8.0279853986011136E-3</v>
      </c>
      <c r="Y44" s="93"/>
    </row>
    <row r="45" spans="1:25">
      <c r="A45" s="337" t="str">
        <f>USD!Y45</f>
        <v>2Q2008</v>
      </c>
      <c r="B45" s="224">
        <f>NBIM!P44</f>
        <v>-2.3949471528753929E-2</v>
      </c>
      <c r="C45" s="463">
        <f>USD!S45</f>
        <v>-2.5879253267910962E-2</v>
      </c>
      <c r="D45" s="224">
        <f>NBIM!E44</f>
        <v>-2.1702255277833982E-2</v>
      </c>
      <c r="E45" s="463">
        <f>USD!J45</f>
        <v>-2.3636480062466731E-2</v>
      </c>
      <c r="L45" s="337" t="str">
        <f t="shared" si="6"/>
        <v>2Q2008</v>
      </c>
      <c r="M45" s="396">
        <f>USD!AR45</f>
        <v>-1.1790751166300684E-2</v>
      </c>
      <c r="N45" s="396">
        <f>APG!B45</f>
        <v>-6.1458007436288901E-3</v>
      </c>
      <c r="T45" s="336" t="str">
        <f t="shared" si="3"/>
        <v>2Q2008</v>
      </c>
      <c r="U45" s="396">
        <f>USD!CX45</f>
        <v>2.128369450351375E-2</v>
      </c>
      <c r="V45" s="396">
        <f>CPPIB.!H41</f>
        <v>9.8371154023094744E-3</v>
      </c>
      <c r="Y45" s="93"/>
    </row>
    <row r="46" spans="1:25">
      <c r="A46" s="337" t="str">
        <f>USD!Y46</f>
        <v>3Q2008</v>
      </c>
      <c r="B46" s="224">
        <f>NBIM!P45</f>
        <v>-0.13799866940525107</v>
      </c>
      <c r="C46" s="463">
        <f>USD!S46</f>
        <v>-0.13864006617802127</v>
      </c>
      <c r="D46" s="224">
        <f>NBIM!E45</f>
        <v>5.8123018294797824E-4</v>
      </c>
      <c r="E46" s="463">
        <f>USD!J46</f>
        <v>-1.6328093223965968E-4</v>
      </c>
      <c r="L46" s="337" t="str">
        <f t="shared" si="6"/>
        <v>3Q2008</v>
      </c>
      <c r="M46" s="396">
        <f>USD!AR46</f>
        <v>-0.15230418229798581</v>
      </c>
      <c r="N46" s="396">
        <f>APG!B46</f>
        <v>-4.9167472716617498E-2</v>
      </c>
      <c r="T46" s="336" t="str">
        <f t="shared" si="3"/>
        <v>3Q2008</v>
      </c>
      <c r="U46" s="396">
        <f>USD!CX46</f>
        <v>-0.13033058029439193</v>
      </c>
      <c r="V46" s="396">
        <f>CPPIB.!H42</f>
        <v>-8.8627936493023959E-2</v>
      </c>
      <c r="Y46" s="93"/>
    </row>
    <row r="47" spans="1:25">
      <c r="A47" s="337" t="str">
        <f>USD!Y47</f>
        <v>4Q2008</v>
      </c>
      <c r="B47" s="224">
        <f>NBIM!P46</f>
        <v>-0.12652314663566466</v>
      </c>
      <c r="C47" s="463">
        <f>USD!S47</f>
        <v>-0.12508377757422806</v>
      </c>
      <c r="D47" s="224">
        <f>NBIM!E46</f>
        <v>3.4482735135633824E-2</v>
      </c>
      <c r="E47" s="463">
        <f>USD!J47</f>
        <v>3.6187419624764836E-2</v>
      </c>
      <c r="L47" s="337" t="str">
        <f t="shared" si="6"/>
        <v>4Q2008</v>
      </c>
      <c r="M47" s="396">
        <f>USD!AR47</f>
        <v>-0.12534397078285586</v>
      </c>
      <c r="N47" s="396">
        <f>APG!B47</f>
        <v>-0.116156606192563</v>
      </c>
      <c r="T47" s="336" t="str">
        <f t="shared" si="3"/>
        <v>4Q2008</v>
      </c>
      <c r="U47" s="396">
        <f>USD!CX47</f>
        <v>-0.19893423402980126</v>
      </c>
      <c r="V47" s="396">
        <f>CPPIB.!H43</f>
        <v>-6.9868615415528398E-2</v>
      </c>
      <c r="Y47" s="93"/>
    </row>
    <row r="48" spans="1:25">
      <c r="A48" s="337" t="str">
        <f>USD!Y48</f>
        <v>1Q2009</v>
      </c>
      <c r="B48" s="224">
        <f>NBIM!P47</f>
        <v>-7.366808233547173E-2</v>
      </c>
      <c r="C48" s="463">
        <f>USD!S48</f>
        <v>-8.0771874950076206E-2</v>
      </c>
      <c r="D48" s="224">
        <f>NBIM!E47</f>
        <v>-0.106741443100975</v>
      </c>
      <c r="E48" s="463">
        <f>USD!J48</f>
        <v>-0.11359160492572361</v>
      </c>
      <c r="L48" s="337" t="str">
        <f t="shared" si="6"/>
        <v>1Q2009</v>
      </c>
      <c r="M48" s="396">
        <f>USD!AR48</f>
        <v>-8.5144740843196898E-2</v>
      </c>
      <c r="N48" s="396">
        <f>APG!B48</f>
        <v>-4.2183108675103401E-2</v>
      </c>
      <c r="T48" s="336" t="str">
        <f t="shared" si="3"/>
        <v>1Q2009</v>
      </c>
      <c r="U48" s="396">
        <f>USD!CX48</f>
        <v>-7.6552374253544109E-2</v>
      </c>
      <c r="V48" s="396">
        <f>CPPIB.!H44</f>
        <v>-5.886137680607248E-2</v>
      </c>
      <c r="Y48" s="93"/>
    </row>
    <row r="49" spans="1:25">
      <c r="A49" s="337" t="str">
        <f>USD!Y49</f>
        <v>2Q2009</v>
      </c>
      <c r="B49" s="224">
        <f>NBIM!P48</f>
        <v>0.18391202391512773</v>
      </c>
      <c r="C49" s="463">
        <f>USD!S49</f>
        <v>0.17631546523322417</v>
      </c>
      <c r="D49" s="224">
        <f>NBIM!E48</f>
        <v>0.12858354253208848</v>
      </c>
      <c r="E49" s="463">
        <f>USD!J49</f>
        <v>0.12134199845187547</v>
      </c>
      <c r="L49" s="337" t="str">
        <f t="shared" si="6"/>
        <v>2Q2009</v>
      </c>
      <c r="M49" s="396">
        <f>USD!AR49</f>
        <v>0.15234845920514273</v>
      </c>
      <c r="N49" s="396">
        <f>APG!B49</f>
        <v>9.0773147940176005E-2</v>
      </c>
      <c r="T49" s="336" t="str">
        <f t="shared" si="3"/>
        <v>2Q2009</v>
      </c>
      <c r="U49" s="396">
        <f>USD!CX49</f>
        <v>0.15852803708430363</v>
      </c>
      <c r="V49" s="396">
        <f>CPPIB.!H45</f>
        <v>6.9392787718361118E-2</v>
      </c>
      <c r="Y49" s="93"/>
    </row>
    <row r="50" spans="1:25">
      <c r="A50" s="337" t="str">
        <f>USD!Y50</f>
        <v>3Q2009</v>
      </c>
      <c r="B50" s="224">
        <f>NBIM!P49</f>
        <v>0.1621612663323686</v>
      </c>
      <c r="C50" s="463">
        <f>USD!S50</f>
        <v>0.16083524328588461</v>
      </c>
      <c r="D50" s="224">
        <f>NBIM!E49</f>
        <v>4.7643274058354557E-2</v>
      </c>
      <c r="E50" s="463">
        <f>USD!J50</f>
        <v>4.6447915749537792E-2</v>
      </c>
      <c r="L50" s="337" t="str">
        <f t="shared" si="6"/>
        <v>3Q2009</v>
      </c>
      <c r="M50" s="396">
        <f>USD!AR50</f>
        <v>0.1537196747136429</v>
      </c>
      <c r="N50" s="396">
        <f>APG!B50</f>
        <v>0.10711201238290401</v>
      </c>
      <c r="T50" s="336" t="str">
        <f t="shared" si="3"/>
        <v>3Q2009</v>
      </c>
      <c r="U50" s="396">
        <f>USD!CX50</f>
        <v>0.1301428138880798</v>
      </c>
      <c r="V50" s="396">
        <f>CPPIB.!H46</f>
        <v>4.4458847157253331E-2</v>
      </c>
      <c r="Y50" s="93"/>
    </row>
    <row r="51" spans="1:25">
      <c r="A51" s="337" t="str">
        <f>USD!Y51</f>
        <v>4Q2009</v>
      </c>
      <c r="B51" s="224">
        <f>NBIM!P50</f>
        <v>2.5981935372354714E-2</v>
      </c>
      <c r="C51" s="463">
        <f>USD!S51</f>
        <v>2.5822400485953079E-2</v>
      </c>
      <c r="D51" s="224">
        <f>NBIM!E50</f>
        <v>2.1472940775040694E-2</v>
      </c>
      <c r="E51" s="463">
        <f>USD!J51</f>
        <v>2.1314107013986429E-2</v>
      </c>
      <c r="L51" s="337" t="str">
        <f t="shared" si="6"/>
        <v>4Q2009</v>
      </c>
      <c r="M51" s="396">
        <f>USD!AR51</f>
        <v>2.0200728880883201E-2</v>
      </c>
      <c r="N51" s="396">
        <f>APG!B51</f>
        <v>3.9364489786038397E-2</v>
      </c>
      <c r="T51" s="336" t="str">
        <f t="shared" si="3"/>
        <v>4Q2009</v>
      </c>
      <c r="U51" s="396">
        <f>USD!CX51</f>
        <v>4.1309261057798752E-2</v>
      </c>
      <c r="V51" s="396">
        <f>CPPIB.!H47</f>
        <v>1.7102919808015753E-2</v>
      </c>
      <c r="Y51" s="93"/>
    </row>
    <row r="52" spans="1:25">
      <c r="A52" s="337" t="str">
        <f>USD!Y52</f>
        <v>1Q2010</v>
      </c>
      <c r="B52" s="224">
        <f>NBIM!P51</f>
        <v>1.1211751836495587E-2</v>
      </c>
      <c r="C52" s="463">
        <f>USD!S52</f>
        <v>1.0513750365447327E-2</v>
      </c>
      <c r="D52" s="224">
        <f>NBIM!E51</f>
        <v>3.9026726799592737E-2</v>
      </c>
      <c r="E52" s="463">
        <f>USD!J52</f>
        <v>3.8309525696611516E-2</v>
      </c>
      <c r="L52" s="337" t="str">
        <f t="shared" si="6"/>
        <v>1Q2010</v>
      </c>
      <c r="M52" s="396">
        <f>USD!AR52</f>
        <v>-9.1342007127742653E-3</v>
      </c>
      <c r="N52" s="396">
        <f>APG!B52</f>
        <v>5.0657292640639E-2</v>
      </c>
      <c r="T52" s="336" t="str">
        <f t="shared" si="3"/>
        <v>1Q2010</v>
      </c>
      <c r="U52" s="396">
        <f>USD!CX52</f>
        <v>4.1321314126054887E-2</v>
      </c>
      <c r="V52" s="396">
        <f>CPPIB.!H48</f>
        <v>7.7479269772394018E-3</v>
      </c>
      <c r="Y52" s="93"/>
    </row>
    <row r="53" spans="1:25">
      <c r="A53" s="337" t="str">
        <f>USD!Y53</f>
        <v>2Q2010</v>
      </c>
      <c r="B53" s="224">
        <f>NBIM!P52</f>
        <v>-8.9336162910913175E-2</v>
      </c>
      <c r="C53" s="463">
        <f>USD!S53</f>
        <v>-8.961467897503006E-2</v>
      </c>
      <c r="D53" s="224">
        <f>NBIM!E52</f>
        <v>-2.2771480758975171E-3</v>
      </c>
      <c r="E53" s="463">
        <f>USD!J53</f>
        <v>-2.5822901387312657E-3</v>
      </c>
      <c r="L53" s="337" t="str">
        <f t="shared" si="6"/>
        <v>2Q2010</v>
      </c>
      <c r="M53" s="396">
        <f>USD!AR53</f>
        <v>-9.9550101258882751E-2</v>
      </c>
      <c r="N53" s="396">
        <f>APG!B53</f>
        <v>-5.3082168545352396E-3</v>
      </c>
      <c r="T53" s="336" t="str">
        <f t="shared" si="3"/>
        <v>2Q2010</v>
      </c>
      <c r="U53" s="396">
        <f>USD!CX53</f>
        <v>-5.8498736957299013E-2</v>
      </c>
      <c r="V53" s="396">
        <f>CPPIB.!H49</f>
        <v>-1.3861990860651154E-2</v>
      </c>
      <c r="Y53" s="93"/>
    </row>
    <row r="54" spans="1:25">
      <c r="A54" s="337" t="str">
        <f>USD!Y54</f>
        <v>3Q2010</v>
      </c>
      <c r="B54" s="224">
        <f>NBIM!P53</f>
        <v>0.13702952360709664</v>
      </c>
      <c r="C54" s="463">
        <f>USD!S54</f>
        <v>0.13658222126528474</v>
      </c>
      <c r="D54" s="224">
        <f>NBIM!E53</f>
        <v>2.3914917562701143E-2</v>
      </c>
      <c r="E54" s="463">
        <f>USD!J54</f>
        <v>2.3512114002254357E-2</v>
      </c>
      <c r="L54" s="337" t="str">
        <f t="shared" si="6"/>
        <v>3Q2010</v>
      </c>
      <c r="M54" s="396">
        <f>USD!AR54</f>
        <v>0.17814455901968218</v>
      </c>
      <c r="N54" s="396">
        <f>APG!B54</f>
        <v>5.7067665291108599E-2</v>
      </c>
      <c r="T54" s="336" t="str">
        <f t="shared" si="3"/>
        <v>3Q2010</v>
      </c>
      <c r="U54" s="396">
        <f>USD!CX54</f>
        <v>0.10089503304817837</v>
      </c>
      <c r="V54" s="396">
        <f>CPPIB.!H50</f>
        <v>6.2770592059920027E-2</v>
      </c>
      <c r="Y54" s="93"/>
    </row>
    <row r="55" spans="1:25">
      <c r="A55" s="337" t="str">
        <f>USD!Y55</f>
        <v>4Q2010</v>
      </c>
      <c r="B55" s="224">
        <f>NBIM!P54</f>
        <v>3.9240891499247255E-2</v>
      </c>
      <c r="C55" s="463">
        <f>USD!S55</f>
        <v>3.8307621655095936E-2</v>
      </c>
      <c r="D55" s="224">
        <f>NBIM!E54</f>
        <v>3.1485892189367481E-2</v>
      </c>
      <c r="E55" s="463">
        <f>USD!J55</f>
        <v>3.0559586569831421E-2</v>
      </c>
      <c r="L55" s="337" t="str">
        <f t="shared" si="6"/>
        <v>4Q2010</v>
      </c>
      <c r="M55" s="396">
        <f>USD!AR55</f>
        <v>9.9930549224158671E-3</v>
      </c>
      <c r="N55" s="396">
        <f>APG!B55</f>
        <v>2.7798058271544499E-2</v>
      </c>
      <c r="T55" s="336" t="str">
        <f t="shared" si="3"/>
        <v>4Q2010</v>
      </c>
      <c r="U55" s="396">
        <f>USD!CX55</f>
        <v>6.1231542828701802E-2</v>
      </c>
      <c r="V55" s="396">
        <f>CPPIB.!H51</f>
        <v>2.7920965571710709E-2</v>
      </c>
      <c r="Y55" s="93"/>
    </row>
    <row r="56" spans="1:25">
      <c r="A56" s="337" t="str">
        <f>USD!Y56</f>
        <v>1Q2011</v>
      </c>
      <c r="B56" s="224">
        <f>NBIM!P55</f>
        <v>4.6048246290932848E-2</v>
      </c>
      <c r="C56" s="463">
        <f>USD!S56</f>
        <v>4.5711627495188756E-2</v>
      </c>
      <c r="D56" s="224">
        <f>NBIM!E55</f>
        <v>-4.4770087879797416E-3</v>
      </c>
      <c r="E56" s="463">
        <f>USD!J56</f>
        <v>-4.7973685339336696E-3</v>
      </c>
      <c r="L56" s="337" t="str">
        <f t="shared" si="6"/>
        <v>1Q2011</v>
      </c>
      <c r="M56" s="396">
        <f>USD!AR56</f>
        <v>6.7314308550062041E-2</v>
      </c>
      <c r="N56" s="396">
        <f>APG!B56</f>
        <v>8.9890723103776098E-3</v>
      </c>
      <c r="T56" s="336" t="str">
        <f t="shared" si="3"/>
        <v>1Q2011</v>
      </c>
      <c r="U56" s="396">
        <f>USD!CX56</f>
        <v>5.4915832433081624E-2</v>
      </c>
      <c r="V56" s="396">
        <f>CPPIB.!H52</f>
        <v>3.2727193679142987E-2</v>
      </c>
      <c r="Y56" s="93"/>
    </row>
    <row r="57" spans="1:25">
      <c r="A57" s="337" t="str">
        <f>USD!Y57</f>
        <v>2Q2011</v>
      </c>
      <c r="B57" s="224">
        <f>NBIM!P56</f>
        <v>1.66669986382042E-2</v>
      </c>
      <c r="C57" s="463">
        <f>USD!S57</f>
        <v>1.6233376975580471E-2</v>
      </c>
      <c r="D57" s="224">
        <f>NBIM!E56</f>
        <v>-1.3896877508319694E-2</v>
      </c>
      <c r="E57" s="463">
        <f>USD!J57</f>
        <v>-1.4317463281307381E-2</v>
      </c>
      <c r="L57" s="337" t="str">
        <f t="shared" si="6"/>
        <v>2Q2011</v>
      </c>
      <c r="M57" s="396">
        <f>USD!AR57</f>
        <v>2.978164295389929E-2</v>
      </c>
      <c r="N57" s="396">
        <f>APG!B57</f>
        <v>7.9415717520550707E-3</v>
      </c>
      <c r="T57" s="336" t="str">
        <f t="shared" si="3"/>
        <v>2Q2011</v>
      </c>
      <c r="U57" s="396">
        <f>USD!CX57</f>
        <v>1.6048596239324642E-2</v>
      </c>
      <c r="V57" s="396">
        <f>CPPIB.!H53</f>
        <v>8.0580829921071285E-3</v>
      </c>
      <c r="Y57" s="93"/>
    </row>
    <row r="58" spans="1:25">
      <c r="A58" s="337" t="str">
        <f>USD!Y58</f>
        <v>3Q2011</v>
      </c>
      <c r="B58" s="224">
        <f>NBIM!P57</f>
        <v>-0.12539796928419322</v>
      </c>
      <c r="C58" s="463">
        <f>USD!S58</f>
        <v>-0.12665855641056489</v>
      </c>
      <c r="D58" s="224">
        <f>NBIM!E57</f>
        <v>-4.2990145778545652E-2</v>
      </c>
      <c r="E58" s="463">
        <f>USD!J58</f>
        <v>-4.4369509488752255E-2</v>
      </c>
      <c r="L58" s="337" t="str">
        <f t="shared" si="6"/>
        <v>3Q2011</v>
      </c>
      <c r="M58" s="396">
        <f>USD!AR58</f>
        <v>-0.10143781305154509</v>
      </c>
      <c r="N58" s="396">
        <f>APG!B58</f>
        <v>-2.90084847149913E-2</v>
      </c>
      <c r="T58" s="336" t="str">
        <f t="shared" si="3"/>
        <v>3Q2011</v>
      </c>
      <c r="U58" s="396">
        <f>USD!CX58</f>
        <v>-8.1796735840098833E-2</v>
      </c>
      <c r="V58" s="396">
        <f>CPPIB.!H54</f>
        <v>-8.5859378118070279E-3</v>
      </c>
      <c r="Y58" s="93"/>
    </row>
    <row r="59" spans="1:25">
      <c r="A59" s="337" t="str">
        <f>USD!Y59</f>
        <v>4Q2011</v>
      </c>
      <c r="B59" s="224">
        <f>NBIM!P58</f>
        <v>3.2551857675324758E-2</v>
      </c>
      <c r="C59" s="463">
        <f>USD!S59</f>
        <v>3.2227419324049267E-2</v>
      </c>
      <c r="D59" s="224">
        <f>NBIM!E58</f>
        <v>4.9602769377185219E-2</v>
      </c>
      <c r="E59" s="463">
        <f>USD!J59</f>
        <v>4.9272973455111453E-2</v>
      </c>
      <c r="L59" s="337" t="str">
        <f t="shared" si="6"/>
        <v>4Q2011</v>
      </c>
      <c r="M59" s="396">
        <f>USD!AR59</f>
        <v>1.2227752166667605E-2</v>
      </c>
      <c r="N59" s="396">
        <f>APG!B59</f>
        <v>4.6185838412731897E-2</v>
      </c>
      <c r="T59" s="336" t="str">
        <f t="shared" si="3"/>
        <v>4Q2011</v>
      </c>
      <c r="U59" s="396">
        <f>USD!CX59</f>
        <v>4.3758284463026431E-2</v>
      </c>
      <c r="V59" s="396">
        <f>CPPIB.!H55</f>
        <v>1.9919267937696512E-2</v>
      </c>
      <c r="Y59" s="93"/>
    </row>
    <row r="60" spans="1:25">
      <c r="A60" s="337" t="str">
        <f>USD!Y60</f>
        <v>1Q2012</v>
      </c>
      <c r="B60" s="224">
        <f>NBIM!P59</f>
        <v>8.5392939036764925E-2</v>
      </c>
      <c r="C60" s="463">
        <f>USD!S60</f>
        <v>8.4757952615789334E-2</v>
      </c>
      <c r="D60" s="224">
        <f>NBIM!E59</f>
        <v>3.739736323405185E-2</v>
      </c>
      <c r="E60" s="463">
        <f>USD!J60</f>
        <v>3.6790455620119775E-2</v>
      </c>
      <c r="L60" s="337" t="str">
        <f t="shared" si="6"/>
        <v>1Q2012</v>
      </c>
      <c r="M60" s="396">
        <f>USD!AR60</f>
        <v>8.5606856930382724E-2</v>
      </c>
      <c r="N60" s="396">
        <f>APG!B60</f>
        <v>5.8256949329522502E-2</v>
      </c>
      <c r="T60" s="336" t="str">
        <f t="shared" si="3"/>
        <v>1Q2012</v>
      </c>
      <c r="U60" s="396">
        <f>USD!CX60</f>
        <v>6.1524451112405121E-2</v>
      </c>
      <c r="V60" s="396">
        <f>CPPIB.!H56</f>
        <v>4.1925472785949748E-2</v>
      </c>
      <c r="Y60" s="93"/>
    </row>
    <row r="61" spans="1:25">
      <c r="A61" s="337" t="str">
        <f>USD!Y61</f>
        <v>2Q2012</v>
      </c>
      <c r="B61" s="224">
        <f>NBIM!P60</f>
        <v>-4.2464435330273775E-2</v>
      </c>
      <c r="C61" s="463">
        <f>USD!S61</f>
        <v>-4.2563545352649501E-2</v>
      </c>
      <c r="D61" s="224">
        <f>NBIM!E60</f>
        <v>-2.108626782556966E-3</v>
      </c>
      <c r="E61" s="463">
        <f>USD!J61</f>
        <v>-2.2119138456985358E-3</v>
      </c>
      <c r="L61" s="337" t="str">
        <f t="shared" si="6"/>
        <v>2Q2012</v>
      </c>
      <c r="M61" s="396">
        <f>USD!AR61</f>
        <v>-4.6180629183128374E-2</v>
      </c>
      <c r="N61" s="396">
        <f>APG!B61</f>
        <v>9.0699386000863704E-4</v>
      </c>
      <c r="T61" s="336" t="str">
        <f t="shared" si="3"/>
        <v>2Q2012</v>
      </c>
      <c r="U61" s="396">
        <f>USD!CX61</f>
        <v>-1.5224825335710568E-2</v>
      </c>
      <c r="V61" s="396">
        <f>CPPIB.!H57</f>
        <v>4.4815166456650219E-3</v>
      </c>
      <c r="Y61" s="93"/>
    </row>
    <row r="62" spans="1:25">
      <c r="A62" s="337" t="str">
        <f>USD!Y62</f>
        <v>3Q2012</v>
      </c>
      <c r="B62" s="224">
        <f>NBIM!P61</f>
        <v>6.2146843955037889E-2</v>
      </c>
      <c r="C62" s="463">
        <f>USD!S62</f>
        <v>6.1883850340186841E-2</v>
      </c>
      <c r="D62" s="224">
        <f>NBIM!E61</f>
        <v>2.2900058419836888E-2</v>
      </c>
      <c r="E62" s="463">
        <f>USD!J62</f>
        <v>2.2646782532866956E-2</v>
      </c>
      <c r="L62" s="337" t="str">
        <f t="shared" si="6"/>
        <v>3Q2012</v>
      </c>
      <c r="M62" s="396">
        <f>USD!AR62</f>
        <v>6.2371966303622184E-2</v>
      </c>
      <c r="N62" s="396">
        <f>APG!B62</f>
        <v>4.7962370793199899E-2</v>
      </c>
      <c r="T62" s="336" t="str">
        <f t="shared" si="3"/>
        <v>3Q2012</v>
      </c>
      <c r="U62" s="396">
        <f>USD!CX62</f>
        <v>5.4691416092790934E-2</v>
      </c>
      <c r="V62" s="396">
        <f>CPPIB.!H58</f>
        <v>1.7964214884988627E-2</v>
      </c>
      <c r="Y62" s="93"/>
    </row>
    <row r="63" spans="1:25">
      <c r="A63" s="337" t="str">
        <f>USD!Y63</f>
        <v>4Q2012</v>
      </c>
      <c r="B63" s="224">
        <f>NBIM!P62</f>
        <v>3.6473760837857583E-2</v>
      </c>
      <c r="C63" s="463">
        <f>USD!S63</f>
        <v>3.6335863211270469E-2</v>
      </c>
      <c r="D63" s="224">
        <f>NBIM!E62</f>
        <v>7.587268988067164E-3</v>
      </c>
      <c r="E63" s="463">
        <f>USD!J63</f>
        <v>7.4532145640937948E-3</v>
      </c>
      <c r="L63" s="337" t="str">
        <f t="shared" si="6"/>
        <v>4Q2012</v>
      </c>
      <c r="M63" s="396">
        <f>USD!AR63</f>
        <v>4.9865907564982992E-2</v>
      </c>
      <c r="N63" s="396">
        <f>APG!B63</f>
        <v>2.44628433937626E-2</v>
      </c>
      <c r="T63" s="336" t="str">
        <f t="shared" si="3"/>
        <v>4Q2012</v>
      </c>
      <c r="U63" s="396">
        <f>USD!CX63</f>
        <v>1.6200992159832728E-2</v>
      </c>
      <c r="V63" s="396">
        <f>CPPIB.!H59</f>
        <v>2.8336122662274948E-2</v>
      </c>
      <c r="Y63" s="93"/>
    </row>
    <row r="64" spans="1:25">
      <c r="A64" s="337" t="str">
        <f>USD!Y64</f>
        <v>1Q2013</v>
      </c>
      <c r="B64" s="224">
        <f>NBIM!P63</f>
        <v>3.0131645291717746E-2</v>
      </c>
      <c r="C64" s="463">
        <f>USD!S64</f>
        <v>2.7596859938547214E-2</v>
      </c>
      <c r="D64" s="224">
        <f>NBIM!E63</f>
        <v>7.959980614778206E-2</v>
      </c>
      <c r="E64" s="463">
        <f>USD!J64</f>
        <v>7.6943297352603371E-2</v>
      </c>
      <c r="L64" s="337" t="str">
        <f t="shared" si="6"/>
        <v>1Q2013</v>
      </c>
      <c r="M64" s="396">
        <f>USD!AR64</f>
        <v>8.7694412746850414E-3</v>
      </c>
      <c r="N64" s="396">
        <f>APG!B64</f>
        <v>3.5715799061705897E-2</v>
      </c>
      <c r="T64" s="336" t="str">
        <f t="shared" si="3"/>
        <v>1Q2013</v>
      </c>
      <c r="U64" s="396">
        <f>USD!CX64</f>
        <v>2.244556210925297E-2</v>
      </c>
      <c r="V64" s="396">
        <f>CPPIB.!H60</f>
        <v>4.3239498669173183E-2</v>
      </c>
      <c r="Y64" s="93"/>
    </row>
    <row r="65" spans="1:25">
      <c r="A65" s="337" t="str">
        <f>USD!Y65</f>
        <v>2Q2013</v>
      </c>
      <c r="B65" s="224">
        <f>NBIM!P64</f>
        <v>-9.145964174462673E-3</v>
      </c>
      <c r="C65" s="463">
        <f>USD!S65</f>
        <v>-9.8375336375877698E-3</v>
      </c>
      <c r="D65" s="224">
        <f>NBIM!E64</f>
        <v>3.7326066944281422E-2</v>
      </c>
      <c r="E65" s="463">
        <f>USD!J65</f>
        <v>3.6602062191548657E-2</v>
      </c>
      <c r="L65" s="337" t="str">
        <f t="shared" si="6"/>
        <v>2Q2013</v>
      </c>
      <c r="M65" s="396">
        <f>USD!AR65</f>
        <v>-6.8760494217233736E-3</v>
      </c>
      <c r="N65" s="396">
        <f>APG!B65</f>
        <v>-1.8909494554289401E-2</v>
      </c>
      <c r="T65" s="336" t="str">
        <f t="shared" si="3"/>
        <v>2Q2013</v>
      </c>
      <c r="U65" s="396">
        <f>USD!CX65</f>
        <v>-2.7150122727053416E-2</v>
      </c>
      <c r="V65" s="396">
        <f>CPPIB.!H61</f>
        <v>1.0195362005113439E-2</v>
      </c>
      <c r="Y65" s="93"/>
    </row>
    <row r="66" spans="1:25">
      <c r="A66" s="337" t="str">
        <f>USD!Y66</f>
        <v>3Q2013</v>
      </c>
      <c r="B66" s="224">
        <f>NBIM!P65</f>
        <v>7.474759563946165E-2</v>
      </c>
      <c r="C66" s="463">
        <f>USD!S66</f>
        <v>7.3295153074385277E-2</v>
      </c>
      <c r="D66" s="224">
        <f>NBIM!E65</f>
        <v>5.8589550867522044E-2</v>
      </c>
      <c r="E66" s="463">
        <f>USD!J66</f>
        <v>5.7158944715097436E-2</v>
      </c>
      <c r="L66" s="337" t="str">
        <f t="shared" si="6"/>
        <v>3Q2013</v>
      </c>
      <c r="M66" s="396">
        <f>USD!AR66</f>
        <v>6.3122747785508526E-2</v>
      </c>
      <c r="N66" s="396">
        <f>APG!B66</f>
        <v>2.0868413751507699E-2</v>
      </c>
      <c r="T66" s="336" t="str">
        <f t="shared" si="3"/>
        <v>3Q2013</v>
      </c>
      <c r="U66" s="396">
        <f>USD!CX66</f>
        <v>4.3921207811157714E-2</v>
      </c>
      <c r="V66" s="396">
        <f>CPPIB.!H62</f>
        <v>1.7153997354461464E-2</v>
      </c>
      <c r="Y66" s="93"/>
    </row>
    <row r="67" spans="1:25">
      <c r="A67" s="337" t="str">
        <f>USD!Y67</f>
        <v>4Q2013</v>
      </c>
      <c r="B67" s="224">
        <f>NBIM!P66</f>
        <v>4.6171811244636984E-2</v>
      </c>
      <c r="C67" s="463">
        <f>USD!S67</f>
        <v>4.4698436545951292E-2</v>
      </c>
      <c r="D67" s="224">
        <f>NBIM!E66</f>
        <v>5.532152023103909E-2</v>
      </c>
      <c r="E67" s="463">
        <f>USD!J67</f>
        <v>5.3835259551698801E-2</v>
      </c>
      <c r="L67" s="337" t="str">
        <f t="shared" si="6"/>
        <v>4Q2013</v>
      </c>
      <c r="M67" s="396">
        <f>USD!AR67</f>
        <v>4.2149377427629586E-2</v>
      </c>
      <c r="N67" s="396">
        <f>APG!B67</f>
        <v>2.3772106929297199E-2</v>
      </c>
      <c r="T67" s="336" t="str">
        <f t="shared" si="3"/>
        <v>4Q2013</v>
      </c>
      <c r="U67" s="396">
        <f>USD!CX67</f>
        <v>2.16336433648876E-2</v>
      </c>
      <c r="V67" s="396">
        <f>CPPIB.!H63</f>
        <v>5.6022712399253792E-2</v>
      </c>
      <c r="Y67" s="93"/>
    </row>
    <row r="68" spans="1:25">
      <c r="A68" s="337" t="str">
        <f>USD!Y68</f>
        <v>1Q2014</v>
      </c>
      <c r="B68" s="224">
        <f>NBIM!P67</f>
        <v>1.9531607307754051E-2</v>
      </c>
      <c r="C68" s="463">
        <f>USD!S68</f>
        <v>1.9311530179193293E-2</v>
      </c>
      <c r="D68" s="224">
        <f>NBIM!E67</f>
        <v>6.1212506542751566E-3</v>
      </c>
      <c r="E68" s="463">
        <f>USD!J68</f>
        <v>5.9040682989260585E-3</v>
      </c>
      <c r="L68" s="337" t="str">
        <f t="shared" ref="L68:L79" si="7">A68</f>
        <v>1Q2014</v>
      </c>
      <c r="M68" s="396">
        <f>USD!AR68</f>
        <v>3.0799711349195125E-2</v>
      </c>
      <c r="N68" s="396">
        <f>APG!B68</f>
        <v>3.05752897374445E-2</v>
      </c>
      <c r="T68" s="336" t="str">
        <f t="shared" ref="T68:T79" si="8">L68</f>
        <v>1Q2014</v>
      </c>
      <c r="U68" s="396">
        <f>USD!CX68</f>
        <v>2.6732184381401236E-2</v>
      </c>
      <c r="V68" s="396">
        <f>CPPIB.!H64</f>
        <v>6.6593551539737922E-2</v>
      </c>
      <c r="Y68" s="93"/>
    </row>
    <row r="69" spans="1:25">
      <c r="A69" s="337" t="str">
        <f>USD!Y69</f>
        <v>2Q2014</v>
      </c>
      <c r="B69" s="224">
        <f>NBIM!P68</f>
        <v>3.7243232472950805E-2</v>
      </c>
      <c r="C69" s="463">
        <f>USD!S69</f>
        <v>3.5569410329010953E-2</v>
      </c>
      <c r="D69" s="224">
        <f>NBIM!E68</f>
        <v>6.310046641063094E-2</v>
      </c>
      <c r="E69" s="463">
        <f>USD!J69</f>
        <v>6.1384917881412246E-2</v>
      </c>
      <c r="L69" s="337" t="str">
        <f t="shared" si="7"/>
        <v>2Q2014</v>
      </c>
      <c r="M69" s="396">
        <f>USD!AR69</f>
        <v>4.3393728757311401E-2</v>
      </c>
      <c r="N69" s="396">
        <f>APG!B69</f>
        <v>5.0328039398318203E-2</v>
      </c>
      <c r="T69" s="336" t="str">
        <f t="shared" si="8"/>
        <v>2Q2014</v>
      </c>
      <c r="U69" s="396">
        <f>USD!CX69</f>
        <v>5.2243073260522799E-2</v>
      </c>
      <c r="V69" s="396">
        <f>CPPIB.!H65</f>
        <v>1.5444357402895504E-2</v>
      </c>
      <c r="Y69" s="93"/>
    </row>
    <row r="70" spans="1:25">
      <c r="A70" s="337" t="str">
        <f>USD!Y70</f>
        <v>3Q2014</v>
      </c>
      <c r="B70" s="224">
        <f>NBIM!P69</f>
        <v>-4.1121467446430415E-2</v>
      </c>
      <c r="C70" s="463">
        <f>USD!S70</f>
        <v>-4.1258899704833318E-2</v>
      </c>
      <c r="D70" s="224">
        <f>NBIM!E69</f>
        <v>3.6401569281874213E-3</v>
      </c>
      <c r="E70" s="463">
        <f>USD!J70</f>
        <v>3.4963091636300652E-3</v>
      </c>
      <c r="L70" s="337" t="str">
        <f t="shared" si="7"/>
        <v>3Q2014</v>
      </c>
      <c r="M70" s="396">
        <f>USD!AR70</f>
        <v>-5.0633333238247813E-2</v>
      </c>
      <c r="N70" s="396">
        <f>APG!B70</f>
        <v>2.89536921994085E-2</v>
      </c>
      <c r="T70" s="336" t="str">
        <f t="shared" si="8"/>
        <v>3Q2014</v>
      </c>
      <c r="U70" s="396">
        <f>USD!CX70</f>
        <v>-1.5627784347121643E-2</v>
      </c>
      <c r="V70" s="396">
        <f>CPPIB.!H66</f>
        <v>3.2798356666079186E-2</v>
      </c>
      <c r="Y70" s="93"/>
    </row>
    <row r="71" spans="1:25">
      <c r="A71" s="337" t="str">
        <f>USD!Y71</f>
        <v>4Q2014</v>
      </c>
      <c r="B71" s="224">
        <f>NBIM!P70</f>
        <v>-8.6537426653634508E-3</v>
      </c>
      <c r="C71" s="463">
        <f>USD!S71</f>
        <v>-1.8198192988486461E-2</v>
      </c>
      <c r="D71" s="224">
        <f>NBIM!E70</f>
        <v>0.15724076628847561</v>
      </c>
      <c r="E71" s="463">
        <f>USD!J71</f>
        <v>0.14609912236334477</v>
      </c>
      <c r="L71" s="337" t="str">
        <f t="shared" si="7"/>
        <v>4Q2014</v>
      </c>
      <c r="M71" s="396">
        <f>USD!AR71</f>
        <v>-1.520305227740415E-2</v>
      </c>
      <c r="N71" s="396">
        <f>APG!B71</f>
        <v>2.80934339570744E-2</v>
      </c>
      <c r="T71" s="336" t="str">
        <f t="shared" si="8"/>
        <v>4Q2014</v>
      </c>
      <c r="U71" s="396">
        <f>USD!CX71</f>
        <v>-5.611753408553577E-3</v>
      </c>
      <c r="V71" s="396">
        <f>CPPIB.!H67</f>
        <v>3.0602824584620585E-2</v>
      </c>
      <c r="Y71" s="93"/>
    </row>
    <row r="72" spans="1:25">
      <c r="A72" s="337" t="str">
        <f>USD!Y72</f>
        <v>1Q2015</v>
      </c>
      <c r="B72" s="224">
        <f>NBIM!P71</f>
        <v>1.359017980707744E-2</v>
      </c>
      <c r="C72" s="463">
        <f>USD!S72</f>
        <v>1.0021297713558308E-2</v>
      </c>
      <c r="D72" s="224">
        <f>NBIM!E71</f>
        <v>8.9505854323508105E-2</v>
      </c>
      <c r="E72" s="463">
        <f>USD!J72</f>
        <v>8.5669670812910548E-2</v>
      </c>
      <c r="L72" s="337" t="str">
        <f t="shared" si="7"/>
        <v>1Q2015</v>
      </c>
      <c r="M72" s="396">
        <f>USD!AR72</f>
        <v>-3.4508696680849216E-2</v>
      </c>
      <c r="N72" s="396">
        <f>APG!B72</f>
        <v>8.7796386099376705E-2</v>
      </c>
      <c r="T72" s="336" t="str">
        <f t="shared" si="8"/>
        <v>1Q2015</v>
      </c>
      <c r="U72" s="396">
        <f>USD!CX72</f>
        <v>-3.537745256251501E-3</v>
      </c>
      <c r="V72" s="396">
        <f>CPPIB.!H68</f>
        <v>8.9591578357830881E-2</v>
      </c>
      <c r="Y72" s="93"/>
    </row>
    <row r="73" spans="1:25">
      <c r="A73" s="337" t="str">
        <f>USD!Y73</f>
        <v>2Q2015</v>
      </c>
      <c r="B73" s="224">
        <f>NBIM!P72</f>
        <v>5.8483820932655473E-3</v>
      </c>
      <c r="C73" s="463">
        <f>USD!S73</f>
        <v>5.5653241133761799E-3</v>
      </c>
      <c r="D73" s="224">
        <f>NBIM!E72</f>
        <v>-1.8065026352972247E-2</v>
      </c>
      <c r="E73" s="463">
        <f>USD!J73</f>
        <v>-1.8341354808603022E-2</v>
      </c>
      <c r="L73" s="337" t="str">
        <f t="shared" si="7"/>
        <v>2Q2015</v>
      </c>
      <c r="M73" s="396">
        <f>USD!AR73</f>
        <v>-7.6731449612380542E-3</v>
      </c>
      <c r="N73" s="396">
        <f>APG!B73</f>
        <v>-4.3476242556845103E-2</v>
      </c>
      <c r="T73" s="336" t="str">
        <f t="shared" si="8"/>
        <v>2Q2015</v>
      </c>
      <c r="U73" s="396">
        <f>USD!CX73</f>
        <v>1.3817515039323824E-2</v>
      </c>
      <c r="V73" s="396">
        <f>CPPIB.!H69</f>
        <v>-6.3128570797971986E-4</v>
      </c>
      <c r="Y73" s="93"/>
    </row>
    <row r="74" spans="1:25">
      <c r="A74" s="337" t="str">
        <f>USD!Y74</f>
        <v>3Q2015</v>
      </c>
      <c r="B74" s="224">
        <f>NBIM!P73</f>
        <v>-6.3015864736086447E-2</v>
      </c>
      <c r="C74" s="463">
        <f>USD!S74</f>
        <v>-6.3282998485200581E-2</v>
      </c>
      <c r="D74" s="224">
        <f>NBIM!E73</f>
        <v>1.5884928350960781E-2</v>
      </c>
      <c r="E74" s="463">
        <f>USD!J74</f>
        <v>1.559530002176544E-2</v>
      </c>
      <c r="L74" s="337" t="str">
        <f t="shared" si="7"/>
        <v>3Q2015</v>
      </c>
      <c r="M74" s="396">
        <f>USD!AR74</f>
        <v>-2.9219933775839646E-2</v>
      </c>
      <c r="N74" s="396">
        <f>APG!B74</f>
        <v>-3.1002481560127599E-2</v>
      </c>
      <c r="T74" s="336" t="str">
        <f t="shared" si="8"/>
        <v>3Q2015</v>
      </c>
      <c r="U74" s="396">
        <f>USD!CX74</f>
        <v>-5.4488292303053965E-2</v>
      </c>
      <c r="V74" s="396">
        <f>CPPIB.!H70</f>
        <v>1.5377104817410045E-2</v>
      </c>
      <c r="Y74" s="93"/>
    </row>
    <row r="75" spans="1:25">
      <c r="A75" s="337" t="str">
        <f>USD!Y75</f>
        <v>4Q2015</v>
      </c>
      <c r="B75" s="224">
        <f>NBIM!P74</f>
        <v>2.454117464017247E-2</v>
      </c>
      <c r="C75" s="463">
        <f>USD!S75</f>
        <v>2.2583010724084529E-2</v>
      </c>
      <c r="D75" s="224">
        <f>NBIM!E74</f>
        <v>6.3138631436259196E-2</v>
      </c>
      <c r="E75" s="463">
        <f>USD!J75</f>
        <v>6.1106697769357871E-2</v>
      </c>
      <c r="L75" s="337" t="str">
        <f t="shared" si="7"/>
        <v>4Q2015</v>
      </c>
      <c r="M75" s="396">
        <f>USD!AR75</f>
        <v>-8.4123859932511147E-3</v>
      </c>
      <c r="N75" s="396">
        <f>APG!B75</f>
        <v>1.8925930812168399E-2</v>
      </c>
      <c r="T75" s="336" t="str">
        <f t="shared" si="8"/>
        <v>4Q2015</v>
      </c>
      <c r="U75" s="396">
        <f>USD!CX75</f>
        <v>7.6637953391380798E-3</v>
      </c>
      <c r="V75" s="396">
        <f>CPPIB.!H71</f>
        <v>4.4041007015437304E-2</v>
      </c>
      <c r="Y75" s="93"/>
    </row>
    <row r="76" spans="1:25">
      <c r="A76" s="337" t="str">
        <f>USD!Y76</f>
        <v>1Q2016</v>
      </c>
      <c r="B76" s="224">
        <f>NBIM!P75</f>
        <v>1.6969715311222711E-2</v>
      </c>
      <c r="C76" s="463">
        <f>USD!S76</f>
        <v>1.5450618395908666E-2</v>
      </c>
      <c r="D76" s="224">
        <f>NBIM!E75</f>
        <v>-4.968047159270339E-2</v>
      </c>
      <c r="E76" s="463">
        <f>USD!J76</f>
        <v>-5.1100009895986495E-2</v>
      </c>
      <c r="L76" s="337" t="str">
        <f t="shared" si="7"/>
        <v>1Q2016</v>
      </c>
      <c r="M76" s="396">
        <f>USD!AR76</f>
        <v>7.2409430985128642E-2</v>
      </c>
      <c r="N76" s="396">
        <f>APG!B76</f>
        <v>2.2296416141178398E-2</v>
      </c>
      <c r="T76" s="336" t="str">
        <f t="shared" si="8"/>
        <v>1Q2016</v>
      </c>
      <c r="U76" s="396">
        <f>USD!CX76</f>
        <v>4.6409654331767802E-2</v>
      </c>
      <c r="V76" s="396">
        <f>CPPIB.!H72</f>
        <v>-2.5643533658178008E-2</v>
      </c>
      <c r="Y76" s="93"/>
    </row>
    <row r="77" spans="1:25">
      <c r="A77" s="337" t="str">
        <f>USD!Y77</f>
        <v>2Q2016</v>
      </c>
      <c r="B77" s="224">
        <f>NBIM!P76</f>
        <v>5.4736187364818889E-3</v>
      </c>
      <c r="C77" s="463">
        <f>USD!S77</f>
        <v>5.1589187565723726E-3</v>
      </c>
      <c r="D77" s="224">
        <f>NBIM!E76</f>
        <v>1.7228710038498907E-2</v>
      </c>
      <c r="E77" s="463">
        <f>USD!J77</f>
        <v>1.6910330870069067E-2</v>
      </c>
      <c r="L77" s="337" t="str">
        <f t="shared" si="7"/>
        <v>2Q2016</v>
      </c>
      <c r="M77" s="396">
        <f>USD!AR77</f>
        <v>1.2838140867943659E-2</v>
      </c>
      <c r="N77" s="396">
        <f>APG!B77</f>
        <v>3.8913380006590101E-2</v>
      </c>
      <c r="T77" s="336" t="str">
        <f t="shared" si="8"/>
        <v>2Q2016</v>
      </c>
      <c r="U77" s="396">
        <f>USD!CX77</f>
        <v>1.048294584280085E-2</v>
      </c>
      <c r="V77" s="396">
        <f>CPPIB.!H73</f>
        <v>1.4584407411222152E-2</v>
      </c>
      <c r="Y77" s="93"/>
    </row>
    <row r="78" spans="1:25">
      <c r="A78" s="337" t="str">
        <f>USD!Y78</f>
        <v>3Q2016</v>
      </c>
      <c r="B78" s="224">
        <f>NBIM!P77</f>
        <v>4.2695058252626872E-2</v>
      </c>
      <c r="C78" s="463">
        <f>USD!S78</f>
        <v>4.2630103305857814E-2</v>
      </c>
      <c r="D78" s="224">
        <f>NBIM!E77</f>
        <v>-4.1131084587662237E-3</v>
      </c>
      <c r="E78" s="463">
        <f>USD!J78</f>
        <v>-4.1751474792024032E-3</v>
      </c>
      <c r="L78" s="337" t="str">
        <f t="shared" si="7"/>
        <v>3Q2016</v>
      </c>
      <c r="M78" s="396">
        <f>USD!AR78</f>
        <v>3.8395936508697881E-2</v>
      </c>
      <c r="N78" s="396">
        <f>APG!B78</f>
        <v>2.6521876650206101E-2</v>
      </c>
      <c r="T78" s="336" t="str">
        <f t="shared" si="8"/>
        <v>3Q2016</v>
      </c>
      <c r="U78" s="396">
        <f>USD!CX78</f>
        <v>3.4044872683364646E-2</v>
      </c>
      <c r="V78" s="396">
        <f>CPPIB.!H74</f>
        <v>4.6426021347587478E-2</v>
      </c>
      <c r="Y78" s="93"/>
    </row>
    <row r="79" spans="1:25" ht="15.75" thickBot="1">
      <c r="A79" s="337" t="str">
        <f>USD!Y79</f>
        <v>4Q2016</v>
      </c>
      <c r="B79" s="224">
        <f>NBIM!P78</f>
        <v>-1.6739273807993116E-2</v>
      </c>
      <c r="C79" s="465">
        <f>USD!S79</f>
        <v>-1.8465187276381023E-2</v>
      </c>
      <c r="D79" s="224">
        <f>NBIM!E78</f>
        <v>5.8970928624168195E-2</v>
      </c>
      <c r="E79" s="465">
        <f>USD!J79</f>
        <v>5.7112121351938022E-2</v>
      </c>
      <c r="L79" s="337" t="str">
        <f t="shared" si="7"/>
        <v>4Q2016</v>
      </c>
      <c r="M79" s="398">
        <f>USD!AR79</f>
        <v>-5.7773078935081545E-2</v>
      </c>
      <c r="N79" s="398">
        <f>APG!B79</f>
        <v>3.9106062522397999E-3</v>
      </c>
      <c r="T79" s="336" t="str">
        <f t="shared" si="8"/>
        <v>4Q2016</v>
      </c>
      <c r="U79" s="398">
        <f>USD!CX79</f>
        <v>-1.4628526265785036E-2</v>
      </c>
      <c r="V79" s="398">
        <f>CPPIB.!H75</f>
        <v>5.4650293713288094E-3</v>
      </c>
      <c r="Y79" s="93"/>
    </row>
    <row r="80" spans="1:25">
      <c r="A80" s="337" t="s">
        <v>365</v>
      </c>
      <c r="B80" s="428">
        <f>AVERAGE(B14:B79)</f>
        <v>1.4841245149716849E-2</v>
      </c>
      <c r="C80" s="428">
        <f>AVERAGE(C16:C79)</f>
        <v>1.4693652852697072E-2</v>
      </c>
      <c r="D80" s="428">
        <f>AVERAGE(D16:D79)</f>
        <v>1.4672048847367227E-2</v>
      </c>
      <c r="E80" s="428">
        <f>AVERAGE(E16:E79)</f>
        <v>1.3721988775293454E-2</v>
      </c>
      <c r="L80" s="337" t="s">
        <v>365</v>
      </c>
      <c r="M80" s="429">
        <f>AVERAGE(M16:M79)</f>
        <v>1.8690244971533709E-2</v>
      </c>
      <c r="N80" s="429">
        <f>AVERAGE(N16:N79)</f>
        <v>1.5527368054979498E-2</v>
      </c>
      <c r="T80" s="336" t="s">
        <v>365</v>
      </c>
      <c r="U80" s="429">
        <f>AVERAGE(U16:U79)</f>
        <v>1.7158295236089534E-2</v>
      </c>
      <c r="V80" s="429">
        <f>AVERAGE(V16:V79)</f>
        <v>1.3850474757553216E-2</v>
      </c>
      <c r="Y80" s="93"/>
    </row>
    <row r="81" spans="1:22">
      <c r="A81" s="337" t="s">
        <v>492</v>
      </c>
      <c r="B81" s="93">
        <f>_xlfn.STDEV.S(B14:B79)</f>
        <v>5.9286423784796073E-2</v>
      </c>
      <c r="C81" s="93">
        <f>_xlfn.STDEV.S(C16:C79)</f>
        <v>5.9753132568700192E-2</v>
      </c>
      <c r="D81" s="93">
        <f>_xlfn.STDEV.S(D16:D79)</f>
        <v>4.9141028942293129E-2</v>
      </c>
      <c r="E81" s="93">
        <f>_xlfn.STDEV.S(E16:E79)</f>
        <v>4.8658741496742042E-2</v>
      </c>
      <c r="L81" s="337" t="s">
        <v>492</v>
      </c>
      <c r="M81" s="93">
        <f>_xlfn.STDEV.S(M16:M79)</f>
        <v>6.5502880023334278E-2</v>
      </c>
      <c r="N81" s="93">
        <f>_xlfn.STDEV.S(N16:N79)</f>
        <v>3.9499982624432391E-2</v>
      </c>
      <c r="T81" s="39" t="s">
        <v>492</v>
      </c>
      <c r="U81" s="93">
        <f>_xlfn.STDEV.S(U16:U79)</f>
        <v>7.6956633447125375E-2</v>
      </c>
      <c r="V81" s="93">
        <f>_xlfn.STDEV.S(V16:V79)</f>
        <v>5.4363003840836643E-2</v>
      </c>
    </row>
    <row r="82" spans="1:22">
      <c r="B82" s="224"/>
      <c r="M82" s="224"/>
      <c r="U82" s="203"/>
    </row>
  </sheetData>
  <mergeCells count="9">
    <mergeCell ref="X2:Y2"/>
    <mergeCell ref="A1:I1"/>
    <mergeCell ref="P2:Q2"/>
    <mergeCell ref="B2:D2"/>
    <mergeCell ref="M2:N2"/>
    <mergeCell ref="U2:V2"/>
    <mergeCell ref="L1:R1"/>
    <mergeCell ref="T1:AB1"/>
    <mergeCell ref="G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9"/>
  <sheetViews>
    <sheetView topLeftCell="A12" workbookViewId="0">
      <selection activeCell="G33" sqref="G33"/>
    </sheetView>
  </sheetViews>
  <sheetFormatPr defaultColWidth="8.85546875" defaultRowHeight="15"/>
  <cols>
    <col min="2" max="3" width="13.140625" customWidth="1"/>
    <col min="4" max="4" width="10.7109375" customWidth="1"/>
    <col min="5" max="5" width="12" customWidth="1"/>
    <col min="7" max="7" width="9.42578125" customWidth="1"/>
    <col min="11" max="11" width="13" customWidth="1"/>
    <col min="12" max="12" width="11" customWidth="1"/>
  </cols>
  <sheetData>
    <row r="1" spans="1:13">
      <c r="A1" s="2"/>
      <c r="B1" s="2" t="s">
        <v>79</v>
      </c>
      <c r="C1" s="2" t="s">
        <v>80</v>
      </c>
      <c r="D1" s="927" t="s">
        <v>87</v>
      </c>
      <c r="E1" s="927"/>
      <c r="H1" s="2"/>
      <c r="I1" s="2" t="s">
        <v>79</v>
      </c>
      <c r="J1" s="2" t="s">
        <v>80</v>
      </c>
      <c r="K1" s="927" t="s">
        <v>87</v>
      </c>
      <c r="L1" s="927"/>
    </row>
    <row r="2" spans="1:13">
      <c r="A2" s="2"/>
      <c r="B2" s="928" t="s">
        <v>85</v>
      </c>
      <c r="C2" s="928"/>
      <c r="D2" s="928"/>
      <c r="E2" s="928"/>
      <c r="H2" s="2"/>
      <c r="I2" s="928" t="s">
        <v>85</v>
      </c>
      <c r="J2" s="928"/>
      <c r="K2" s="928"/>
      <c r="L2" s="928"/>
    </row>
    <row r="3" spans="1:13">
      <c r="A3" s="2"/>
      <c r="B3" s="3" t="s">
        <v>90</v>
      </c>
      <c r="C3" s="3" t="s">
        <v>89</v>
      </c>
      <c r="D3" s="7" t="s">
        <v>91</v>
      </c>
      <c r="E3" s="7" t="s">
        <v>92</v>
      </c>
      <c r="G3" t="s">
        <v>132</v>
      </c>
      <c r="H3" s="2"/>
      <c r="I3" s="3" t="s">
        <v>88</v>
      </c>
      <c r="J3" s="3" t="s">
        <v>89</v>
      </c>
      <c r="K3" s="7" t="s">
        <v>93</v>
      </c>
      <c r="L3" s="7" t="s">
        <v>92</v>
      </c>
      <c r="M3" t="s">
        <v>83</v>
      </c>
    </row>
    <row r="4" spans="1:13">
      <c r="A4" s="2" t="s">
        <v>74</v>
      </c>
      <c r="B4" s="8"/>
      <c r="C4" s="9"/>
      <c r="D4" s="15"/>
      <c r="E4" s="15"/>
      <c r="G4" s="15"/>
      <c r="H4" s="2" t="s">
        <v>74</v>
      </c>
      <c r="I4" s="8"/>
      <c r="J4" s="9"/>
      <c r="K4" s="15"/>
      <c r="L4" s="15"/>
      <c r="M4" s="16" t="s">
        <v>139</v>
      </c>
    </row>
    <row r="5" spans="1:13">
      <c r="A5" s="2" t="s">
        <v>75</v>
      </c>
      <c r="B5" s="10"/>
      <c r="C5" s="11"/>
      <c r="D5" s="16"/>
      <c r="E5" s="16"/>
      <c r="G5" s="16"/>
      <c r="H5" s="2" t="s">
        <v>75</v>
      </c>
      <c r="I5" s="10"/>
      <c r="J5" s="11"/>
      <c r="K5" s="16"/>
      <c r="L5" s="16"/>
    </row>
    <row r="6" spans="1:13">
      <c r="A6" s="2" t="s">
        <v>76</v>
      </c>
      <c r="B6" s="10"/>
      <c r="C6" s="11"/>
      <c r="D6" s="16"/>
      <c r="E6" s="16"/>
      <c r="G6" s="16"/>
      <c r="H6" s="2" t="s">
        <v>76</v>
      </c>
      <c r="I6" s="10"/>
      <c r="J6" s="11"/>
      <c r="K6" s="16"/>
      <c r="L6" s="16"/>
    </row>
    <row r="7" spans="1:13">
      <c r="A7" s="2" t="s">
        <v>77</v>
      </c>
      <c r="B7" s="10"/>
      <c r="C7" s="11"/>
      <c r="D7" s="16"/>
      <c r="E7" s="16"/>
      <c r="G7" s="16">
        <v>0</v>
      </c>
      <c r="H7" s="2" t="s">
        <v>77</v>
      </c>
      <c r="I7" s="10"/>
      <c r="J7" s="11"/>
      <c r="K7" s="16" t="s">
        <v>138</v>
      </c>
      <c r="L7" s="16"/>
    </row>
    <row r="8" spans="1:13">
      <c r="A8" s="2" t="s">
        <v>70</v>
      </c>
      <c r="B8" s="10"/>
      <c r="C8" s="11"/>
      <c r="D8" s="16"/>
      <c r="E8" s="16"/>
      <c r="G8" s="16"/>
      <c r="H8" s="2" t="s">
        <v>70</v>
      </c>
      <c r="I8" s="10"/>
      <c r="J8" s="11"/>
      <c r="K8" s="16">
        <v>0</v>
      </c>
      <c r="L8" s="16">
        <v>0.05</v>
      </c>
      <c r="M8">
        <v>4.7E-2</v>
      </c>
    </row>
    <row r="9" spans="1:13">
      <c r="A9" s="2" t="s">
        <v>71</v>
      </c>
      <c r="B9" s="10"/>
      <c r="C9" s="11"/>
      <c r="D9" s="16"/>
      <c r="E9" s="16"/>
      <c r="G9" s="16">
        <f>((12144462+7717175)/12144462)-1</f>
        <v>0.63544807501559153</v>
      </c>
      <c r="H9" s="2" t="s">
        <v>71</v>
      </c>
      <c r="I9" s="10"/>
      <c r="J9" s="11"/>
      <c r="K9" s="16"/>
      <c r="L9" s="16"/>
    </row>
    <row r="10" spans="1:13">
      <c r="A10" s="2" t="s">
        <v>72</v>
      </c>
      <c r="B10" s="10"/>
      <c r="C10" s="11"/>
      <c r="D10" s="16"/>
      <c r="E10" s="16"/>
      <c r="G10" s="16">
        <f>((532576637-13640427)/532576637)-1</f>
        <v>-2.5612139272267798E-2</v>
      </c>
      <c r="H10" s="2" t="s">
        <v>72</v>
      </c>
      <c r="I10" s="10"/>
      <c r="J10" s="11"/>
      <c r="K10" s="16"/>
      <c r="L10" s="16"/>
    </row>
    <row r="11" spans="1:13">
      <c r="A11" s="2" t="s">
        <v>73</v>
      </c>
      <c r="B11" s="10"/>
      <c r="C11" s="11"/>
      <c r="D11" s="16"/>
      <c r="E11" s="16"/>
      <c r="G11" s="16">
        <f>((819940210+229397520)/819940210)-1</f>
        <v>0.27977347275114117</v>
      </c>
      <c r="H11" s="2" t="s">
        <v>73</v>
      </c>
      <c r="I11" s="10"/>
      <c r="J11" s="11"/>
      <c r="K11" s="16" t="s">
        <v>137</v>
      </c>
      <c r="L11" s="16"/>
    </row>
    <row r="12" spans="1:13">
      <c r="A12" s="2" t="s">
        <v>59</v>
      </c>
      <c r="B12" s="10"/>
      <c r="C12" s="11"/>
      <c r="D12" s="16"/>
      <c r="E12" s="16"/>
      <c r="G12" s="16"/>
      <c r="H12" s="2" t="s">
        <v>59</v>
      </c>
      <c r="I12" s="10"/>
      <c r="J12" s="11"/>
      <c r="K12" s="16">
        <f>((12144+460136)/12144)-1</f>
        <v>37.88998682476943</v>
      </c>
      <c r="L12" s="16">
        <v>0.40100000000000002</v>
      </c>
    </row>
    <row r="13" spans="1:13">
      <c r="A13" s="2" t="s">
        <v>60</v>
      </c>
      <c r="B13" s="10"/>
      <c r="C13" s="11"/>
      <c r="D13" s="16"/>
      <c r="E13" s="16"/>
      <c r="G13" s="16">
        <f>((2391792809+292965527)/2391792809)-1</f>
        <v>0.12248783669622609</v>
      </c>
      <c r="H13" s="2" t="s">
        <v>60</v>
      </c>
      <c r="I13" s="10"/>
      <c r="J13" s="11"/>
      <c r="K13" s="16"/>
      <c r="L13" s="16"/>
    </row>
    <row r="14" spans="1:13">
      <c r="A14" s="2" t="s">
        <v>61</v>
      </c>
      <c r="B14" s="10"/>
      <c r="C14" s="11"/>
      <c r="D14" s="16"/>
      <c r="E14" s="16"/>
      <c r="G14" s="16">
        <f>((4841327336+95909211)/4841327336)-1</f>
        <v>1.9810519790062875E-2</v>
      </c>
      <c r="H14" s="2" t="s">
        <v>61</v>
      </c>
      <c r="I14" s="10"/>
      <c r="J14" s="11"/>
      <c r="K14" s="16"/>
      <c r="L14" s="16"/>
    </row>
    <row r="15" spans="1:13">
      <c r="A15" s="2" t="s">
        <v>62</v>
      </c>
      <c r="B15" s="10"/>
      <c r="C15" s="11"/>
      <c r="D15" s="16"/>
      <c r="E15" s="16"/>
      <c r="G15" s="16">
        <f>((5860216-452681)/5860216)-1</f>
        <v>-7.7246470095982844E-2</v>
      </c>
      <c r="H15" s="2" t="s">
        <v>62</v>
      </c>
      <c r="I15" s="10"/>
      <c r="J15" s="11"/>
      <c r="K15" s="16" t="s">
        <v>136</v>
      </c>
      <c r="L15" s="16"/>
    </row>
    <row r="16" spans="1:13">
      <c r="A16" s="2" t="s">
        <v>63</v>
      </c>
      <c r="B16" s="10"/>
      <c r="C16" s="11"/>
      <c r="D16" s="16"/>
      <c r="E16" s="16"/>
      <c r="G16" s="16"/>
      <c r="H16" s="2" t="s">
        <v>63</v>
      </c>
      <c r="I16" s="10"/>
      <c r="J16" s="11"/>
      <c r="K16" s="16">
        <f>((2391793-851590)/2391793)-1</f>
        <v>-0.356046698021108</v>
      </c>
      <c r="L16" s="16">
        <v>-9.4E-2</v>
      </c>
      <c r="M16">
        <v>-0.17799999999999999</v>
      </c>
    </row>
    <row r="17" spans="1:13">
      <c r="A17" s="2" t="s">
        <v>64</v>
      </c>
      <c r="B17" s="10"/>
      <c r="C17" s="11"/>
      <c r="D17" s="16"/>
      <c r="E17" s="16"/>
      <c r="G17" s="16">
        <f>((7154169+55586)/7154169)-1</f>
        <v>7.7697353808667824E-3</v>
      </c>
      <c r="H17" s="2" t="s">
        <v>64</v>
      </c>
      <c r="I17" s="10"/>
      <c r="J17" s="11"/>
      <c r="K17" s="16"/>
      <c r="L17" s="16"/>
    </row>
    <row r="18" spans="1:13">
      <c r="A18" s="2" t="s">
        <v>65</v>
      </c>
      <c r="B18" s="10"/>
      <c r="C18" s="11"/>
      <c r="D18" s="16"/>
      <c r="E18" s="16"/>
      <c r="G18" s="16">
        <f>((10967114-1426589)/10967114)-1</f>
        <v>-0.13007879739373551</v>
      </c>
      <c r="H18" s="2" t="s">
        <v>65</v>
      </c>
      <c r="I18" s="10"/>
      <c r="J18" s="11"/>
      <c r="K18" s="16"/>
      <c r="L18" s="16"/>
    </row>
    <row r="19" spans="1:13">
      <c r="A19" s="2" t="s">
        <v>66</v>
      </c>
      <c r="B19" s="10"/>
      <c r="C19" s="11"/>
      <c r="D19" s="16"/>
      <c r="E19" s="16"/>
      <c r="G19" s="16">
        <f>((12011965+1419281)/12011965)-1</f>
        <v>0.11815560568150163</v>
      </c>
      <c r="H19" s="2" t="s">
        <v>66</v>
      </c>
      <c r="I19" s="10"/>
      <c r="J19" s="11"/>
      <c r="K19" s="16" t="s">
        <v>135</v>
      </c>
      <c r="L19" s="16"/>
    </row>
    <row r="20" spans="1:13">
      <c r="A20" s="2" t="s">
        <v>67</v>
      </c>
      <c r="B20" s="10"/>
      <c r="C20" s="11"/>
      <c r="D20" s="16"/>
      <c r="E20" s="16"/>
      <c r="G20" s="16"/>
      <c r="H20" s="2" t="s">
        <v>67</v>
      </c>
      <c r="I20" s="10"/>
      <c r="J20" s="11"/>
      <c r="K20" s="16">
        <f>((7154169+304626)/7154169)-1</f>
        <v>4.2580207428703387E-2</v>
      </c>
      <c r="L20" s="16">
        <v>3.4000000000000002E-2</v>
      </c>
      <c r="M20">
        <v>2.4E-2</v>
      </c>
    </row>
    <row r="21" spans="1:13">
      <c r="A21" s="2" t="s">
        <v>68</v>
      </c>
      <c r="B21" s="10"/>
      <c r="C21" s="11"/>
      <c r="D21" s="16"/>
      <c r="E21" s="16"/>
      <c r="G21" s="16">
        <f>((14284966-1547296)/14284966)-1</f>
        <v>-0.1083163936126974</v>
      </c>
      <c r="H21" s="2" t="s">
        <v>68</v>
      </c>
      <c r="I21" s="10"/>
      <c r="J21" s="11"/>
      <c r="K21" s="16"/>
      <c r="L21" s="16"/>
    </row>
    <row r="22" spans="1:13">
      <c r="A22" s="2" t="s">
        <v>69</v>
      </c>
      <c r="B22" s="10"/>
      <c r="C22" s="11"/>
      <c r="D22" s="16"/>
      <c r="E22" s="16"/>
      <c r="G22" s="16">
        <f>((17095386-2458299)/17095386)-1</f>
        <v>-0.14379897593420821</v>
      </c>
      <c r="H22" s="2" t="s">
        <v>69</v>
      </c>
      <c r="I22" s="10"/>
      <c r="J22" s="11"/>
      <c r="K22" s="16"/>
      <c r="L22" s="16"/>
    </row>
    <row r="23" spans="1:13">
      <c r="A23" s="2" t="s">
        <v>58</v>
      </c>
      <c r="B23" s="10"/>
      <c r="C23" s="11"/>
      <c r="D23" s="16"/>
      <c r="E23" s="16"/>
      <c r="G23" s="16">
        <f>((16914512+999219)/16914512)-1</f>
        <v>5.9074657312017109E-2</v>
      </c>
      <c r="H23" s="2" t="s">
        <v>58</v>
      </c>
      <c r="I23" s="10"/>
      <c r="J23" s="11"/>
      <c r="K23" s="16" t="s">
        <v>134</v>
      </c>
      <c r="L23" s="16"/>
    </row>
    <row r="24" spans="1:13">
      <c r="A24" s="2" t="s">
        <v>57</v>
      </c>
      <c r="B24" s="10"/>
      <c r="C24" s="11"/>
      <c r="D24" s="16"/>
      <c r="E24" s="16"/>
      <c r="G24" s="16"/>
      <c r="H24" s="2" t="s">
        <v>57</v>
      </c>
      <c r="I24" s="10"/>
      <c r="J24" s="11"/>
      <c r="K24" s="16">
        <f>((14284966-4152290)/14284966)-1</f>
        <v>-0.29067552558403009</v>
      </c>
      <c r="L24" s="16">
        <v>-1.4999999999999999E-2</v>
      </c>
    </row>
    <row r="25" spans="1:13">
      <c r="A25" s="2" t="s">
        <v>56</v>
      </c>
      <c r="B25" s="10"/>
      <c r="C25" s="11"/>
      <c r="D25" s="16"/>
      <c r="E25" s="16"/>
      <c r="G25" s="16">
        <f>((17450744+1671406)/17450744)-1</f>
        <v>9.5778495174761558E-2</v>
      </c>
      <c r="H25" s="2" t="s">
        <v>56</v>
      </c>
      <c r="I25" s="10"/>
      <c r="J25" s="11">
        <v>0.02</v>
      </c>
      <c r="K25" s="16"/>
      <c r="L25" s="16"/>
      <c r="M25">
        <v>1.0999999999999999E-2</v>
      </c>
    </row>
    <row r="26" spans="1:13">
      <c r="A26" s="2" t="s">
        <v>55</v>
      </c>
      <c r="B26" s="10"/>
      <c r="C26" s="11"/>
      <c r="D26" s="16"/>
      <c r="E26" s="16"/>
      <c r="G26" s="16">
        <f>((23624551+1359786)/23624551)-1</f>
        <v>5.7558173274912194E-2</v>
      </c>
      <c r="H26" s="2" t="s">
        <v>55</v>
      </c>
      <c r="I26" s="10"/>
      <c r="J26" s="11"/>
      <c r="K26" s="16"/>
      <c r="L26" s="16"/>
    </row>
    <row r="27" spans="1:13">
      <c r="A27" s="2" t="s">
        <v>54</v>
      </c>
      <c r="B27" s="10"/>
      <c r="C27" s="11"/>
      <c r="D27" s="16"/>
      <c r="E27" s="16"/>
      <c r="G27" s="16">
        <f>((17450744+1671406)/17450744)-1</f>
        <v>9.5778495174761558E-2</v>
      </c>
      <c r="H27" s="2" t="s">
        <v>54</v>
      </c>
      <c r="I27" s="10"/>
      <c r="J27" s="11"/>
      <c r="K27" s="16" t="s">
        <v>133</v>
      </c>
      <c r="L27" s="16"/>
    </row>
    <row r="28" spans="1:13">
      <c r="A28" s="2" t="s">
        <v>53</v>
      </c>
      <c r="B28" s="10"/>
      <c r="C28" s="11"/>
      <c r="D28" s="16"/>
      <c r="E28" s="16"/>
      <c r="G28" s="16"/>
      <c r="H28" s="2" t="s">
        <v>53</v>
      </c>
      <c r="I28" s="10"/>
      <c r="J28" s="11"/>
      <c r="K28" s="16">
        <f>((17450744+7209707)/17450744)-1</f>
        <v>0.41314610998820456</v>
      </c>
      <c r="L28" s="16">
        <v>0.17599999999999999</v>
      </c>
    </row>
    <row r="29" spans="1:13">
      <c r="A29" s="2" t="s">
        <v>52</v>
      </c>
      <c r="B29" s="10"/>
      <c r="C29" s="11"/>
      <c r="D29" s="16"/>
      <c r="E29" s="16"/>
      <c r="G29" s="16">
        <f>((32795346+254450)/32795346)-1</f>
        <v>7.7587228382953732E-3</v>
      </c>
      <c r="H29" s="2" t="s">
        <v>52</v>
      </c>
      <c r="I29" s="10"/>
      <c r="J29" s="11">
        <v>-3.0000000000000001E-3</v>
      </c>
      <c r="K29" s="16" t="s">
        <v>109</v>
      </c>
      <c r="L29" s="16"/>
    </row>
    <row r="30" spans="1:13">
      <c r="A30" s="2" t="s">
        <v>51</v>
      </c>
      <c r="B30" s="10"/>
      <c r="C30" s="11"/>
      <c r="D30" s="16"/>
      <c r="E30" s="16"/>
      <c r="G30" s="16">
        <f>((38603195+163930)/38603196)-1</f>
        <v>4.2465136824423322E-3</v>
      </c>
      <c r="H30" s="2" t="s">
        <v>51</v>
      </c>
      <c r="I30" s="10"/>
      <c r="J30" s="11"/>
      <c r="K30" s="16"/>
      <c r="L30" s="16"/>
    </row>
    <row r="31" spans="1:13">
      <c r="A31" s="2" t="s">
        <v>50</v>
      </c>
      <c r="B31" s="10"/>
      <c r="C31" s="11"/>
      <c r="D31" s="16"/>
      <c r="E31" s="16"/>
      <c r="G31" s="16">
        <f>((44215482+3143291)/44215482)-1</f>
        <v>7.109028009691265E-2</v>
      </c>
      <c r="H31" s="2" t="s">
        <v>50</v>
      </c>
      <c r="I31" s="10"/>
      <c r="J31" s="11"/>
      <c r="K31" s="16" t="s">
        <v>106</v>
      </c>
      <c r="L31" s="16"/>
    </row>
    <row r="32" spans="1:13">
      <c r="A32" s="2" t="s">
        <v>6</v>
      </c>
      <c r="B32" s="10"/>
      <c r="C32" s="11"/>
      <c r="D32" s="16"/>
      <c r="E32" s="16"/>
      <c r="G32" s="16"/>
      <c r="H32" s="2" t="s">
        <v>6</v>
      </c>
      <c r="I32" s="10"/>
      <c r="J32" s="11"/>
      <c r="K32" s="16">
        <f>((32795346+4982197)/32795346)-1</f>
        <v>0.15191780565449742</v>
      </c>
      <c r="L32" s="16">
        <v>8.5000000000000006E-2</v>
      </c>
    </row>
    <row r="33" spans="1:13">
      <c r="A33" s="2" t="s">
        <v>7</v>
      </c>
      <c r="B33" s="10"/>
      <c r="C33" s="11"/>
      <c r="D33" s="16"/>
      <c r="E33" s="16"/>
      <c r="G33" s="16">
        <f>((58579779+2195138)/58579779)-1</f>
        <v>3.747262344571145E-2</v>
      </c>
      <c r="H33" s="2" t="s">
        <v>7</v>
      </c>
      <c r="I33" s="10"/>
      <c r="J33" s="11">
        <v>3.5999999999999997E-2</v>
      </c>
      <c r="K33" s="16" t="s">
        <v>109</v>
      </c>
      <c r="L33" s="16"/>
    </row>
    <row r="34" spans="1:13">
      <c r="A34" s="2" t="s">
        <v>8</v>
      </c>
      <c r="B34" s="10"/>
      <c r="C34" s="11"/>
      <c r="D34" s="16"/>
      <c r="E34" s="16"/>
      <c r="G34" s="16">
        <f>((68392196+3949043)/68392196)-1</f>
        <v>5.7741134675658001E-2</v>
      </c>
      <c r="H34" s="2" t="s">
        <v>8</v>
      </c>
      <c r="I34" s="10"/>
      <c r="J34" s="11">
        <v>4.4999999999999998E-2</v>
      </c>
      <c r="K34" s="16"/>
      <c r="L34" s="16"/>
    </row>
    <row r="35" spans="1:13">
      <c r="A35" s="2" t="s">
        <v>9</v>
      </c>
      <c r="B35" s="10"/>
      <c r="C35" s="11"/>
      <c r="D35" s="16"/>
      <c r="E35" s="16"/>
      <c r="G35" s="16">
        <f>((76999.241+2099.795)/76999.241)-1</f>
        <v>2.7270333742640318E-2</v>
      </c>
      <c r="H35" s="2" t="s">
        <v>9</v>
      </c>
      <c r="I35" s="10"/>
      <c r="J35" s="11">
        <v>2.4E-2</v>
      </c>
      <c r="K35" s="16" t="s">
        <v>105</v>
      </c>
      <c r="L35" s="16"/>
    </row>
    <row r="36" spans="1:13">
      <c r="A36" s="2" t="s">
        <v>10</v>
      </c>
      <c r="B36" s="10"/>
      <c r="C36" s="11"/>
      <c r="D36" s="16"/>
      <c r="E36" s="16"/>
      <c r="G36" s="16"/>
      <c r="H36" s="2" t="s">
        <v>10</v>
      </c>
      <c r="I36" s="10"/>
      <c r="J36" s="11"/>
      <c r="K36" s="16">
        <f>((58580+12139)/58580)-1</f>
        <v>0.20722089450324344</v>
      </c>
      <c r="L36" s="16">
        <v>0.155</v>
      </c>
      <c r="M36" t="s">
        <v>108</v>
      </c>
    </row>
    <row r="37" spans="1:13">
      <c r="A37" s="2" t="s">
        <v>11</v>
      </c>
      <c r="B37" s="10"/>
      <c r="C37" s="11"/>
      <c r="D37" s="16"/>
      <c r="E37" s="16"/>
      <c r="G37" s="16">
        <f>((88532-2479)/88532)-1</f>
        <v>-2.8001174716486665E-2</v>
      </c>
      <c r="H37" s="2" t="s">
        <v>11</v>
      </c>
      <c r="I37" s="10"/>
      <c r="J37" s="11">
        <v>-2.5000000000000001E-2</v>
      </c>
      <c r="K37" s="16" t="s">
        <v>107</v>
      </c>
      <c r="L37" s="16"/>
    </row>
    <row r="38" spans="1:13">
      <c r="A38" s="2" t="s">
        <v>12</v>
      </c>
      <c r="B38" s="10"/>
      <c r="C38" s="11"/>
      <c r="D38" s="16"/>
      <c r="E38" s="16"/>
      <c r="G38" s="16">
        <f>((91880+3656)/91880)-1</f>
        <v>3.9791031780583408E-2</v>
      </c>
      <c r="H38" s="2" t="s">
        <v>12</v>
      </c>
      <c r="I38" s="10"/>
      <c r="J38" s="11">
        <v>3.9E-2</v>
      </c>
      <c r="K38" s="16" t="s">
        <v>107</v>
      </c>
      <c r="L38" s="16"/>
    </row>
    <row r="39" spans="1:13">
      <c r="A39" s="2" t="s">
        <v>13</v>
      </c>
      <c r="B39" s="10"/>
      <c r="C39" s="11"/>
      <c r="D39" s="16"/>
      <c r="E39" s="16"/>
      <c r="G39" s="16">
        <f>((98571+8866)/98571)-1</f>
        <v>8.9945318602834501E-2</v>
      </c>
      <c r="H39" s="2" t="s">
        <v>13</v>
      </c>
      <c r="I39" s="10"/>
      <c r="J39" s="11">
        <v>8.6999999999999994E-2</v>
      </c>
      <c r="K39" s="16" t="s">
        <v>107</v>
      </c>
      <c r="L39" s="16" t="s">
        <v>104</v>
      </c>
    </row>
    <row r="40" spans="1:13">
      <c r="A40" s="2" t="s">
        <v>14</v>
      </c>
      <c r="B40" s="10"/>
      <c r="C40" s="11"/>
      <c r="D40" s="16"/>
      <c r="E40" s="16"/>
      <c r="G40" s="16"/>
      <c r="H40" s="2" t="s">
        <v>14</v>
      </c>
      <c r="I40" s="10"/>
      <c r="J40" s="11"/>
      <c r="K40" s="16">
        <f>((88532+12674)/88532)-1</f>
        <v>0.14315727646500709</v>
      </c>
      <c r="L40" s="16">
        <v>0.129</v>
      </c>
      <c r="M40" t="s">
        <v>108</v>
      </c>
    </row>
    <row r="41" spans="1:13">
      <c r="A41" s="2" t="s">
        <v>15</v>
      </c>
      <c r="B41" s="10"/>
      <c r="C41" s="11"/>
      <c r="D41" s="16"/>
      <c r="E41" s="16"/>
      <c r="G41" s="16">
        <f>((115935+773)/115935)-1</f>
        <v>6.6675292189588564E-3</v>
      </c>
      <c r="H41" s="2" t="s">
        <v>15</v>
      </c>
      <c r="I41" s="10"/>
      <c r="J41" s="11" t="s">
        <v>98</v>
      </c>
      <c r="K41" s="16"/>
      <c r="L41" s="16"/>
    </row>
    <row r="42" spans="1:13">
      <c r="A42" s="2" t="s">
        <v>16</v>
      </c>
      <c r="B42" s="10"/>
      <c r="C42" s="11"/>
      <c r="D42" s="16"/>
      <c r="E42" s="16"/>
      <c r="G42" s="16">
        <f>((120467-94)/120467)-1</f>
        <v>-7.8029667875845199E-4</v>
      </c>
      <c r="H42" s="2" t="s">
        <v>16</v>
      </c>
      <c r="I42" s="10"/>
      <c r="J42" s="11" t="s">
        <v>98</v>
      </c>
      <c r="K42" s="16"/>
      <c r="L42" s="16"/>
    </row>
    <row r="43" spans="1:13">
      <c r="A43" s="2" t="s">
        <v>17</v>
      </c>
      <c r="B43" s="10"/>
      <c r="C43" s="11"/>
      <c r="D43" s="16"/>
      <c r="E43" s="16"/>
      <c r="G43" s="16">
        <f>((121255-146)/121255)-1</f>
        <v>-1.2040740588017407E-3</v>
      </c>
      <c r="H43" s="2" t="s">
        <v>17</v>
      </c>
      <c r="I43" s="10"/>
      <c r="J43" s="11">
        <v>-1.4E-3</v>
      </c>
      <c r="K43" s="16" t="s">
        <v>102</v>
      </c>
      <c r="L43" s="16"/>
    </row>
    <row r="44" spans="1:13">
      <c r="A44" s="2" t="s">
        <v>18</v>
      </c>
      <c r="B44" s="10"/>
      <c r="C44" s="11"/>
      <c r="D44" s="16"/>
      <c r="E44" s="16"/>
      <c r="G44" s="16"/>
      <c r="H44" s="2" t="s">
        <v>18</v>
      </c>
      <c r="I44" s="10"/>
      <c r="J44" s="11"/>
      <c r="K44" s="16">
        <f>((115935-422)/115935)-1</f>
        <v>-3.6399706732220816E-3</v>
      </c>
      <c r="L44" s="16">
        <v>-2.8999999999999998E-3</v>
      </c>
    </row>
    <row r="45" spans="1:13">
      <c r="A45" s="2" t="s">
        <v>19</v>
      </c>
      <c r="B45" s="10"/>
      <c r="C45" s="11"/>
      <c r="D45" s="16"/>
      <c r="E45" s="16"/>
      <c r="G45" s="16">
        <f>((122703+1213)/122703)-1</f>
        <v>9.8856588673463808E-3</v>
      </c>
      <c r="H45" s="2" t="s">
        <v>19</v>
      </c>
      <c r="I45" s="10"/>
      <c r="J45" s="11">
        <v>0.01</v>
      </c>
      <c r="K45" s="16"/>
      <c r="L45" s="16"/>
    </row>
    <row r="46" spans="1:13">
      <c r="A46" s="2" t="s">
        <v>20</v>
      </c>
      <c r="B46" s="10"/>
      <c r="C46" s="11"/>
      <c r="D46" s="16"/>
      <c r="E46" s="16"/>
      <c r="G46" s="16">
        <f>((127703-10831)/127703)-1</f>
        <v>-8.4813982443638802E-2</v>
      </c>
      <c r="H46" s="2" t="s">
        <v>20</v>
      </c>
      <c r="I46" s="10"/>
      <c r="J46" s="11">
        <v>-8.5000000000000006E-2</v>
      </c>
      <c r="K46" s="16"/>
      <c r="L46" s="16"/>
    </row>
    <row r="47" spans="1:13">
      <c r="A47" s="2" t="s">
        <v>21</v>
      </c>
      <c r="B47" s="10"/>
      <c r="C47" s="11"/>
      <c r="D47" s="16"/>
      <c r="E47" s="16"/>
      <c r="G47" s="16">
        <f>((117421-7924)/117421)-1</f>
        <v>-6.7483669871658436E-2</v>
      </c>
      <c r="H47" s="2" t="s">
        <v>21</v>
      </c>
      <c r="I47" s="10"/>
      <c r="J47" s="12">
        <v>-6.7000000000000004E-2</v>
      </c>
      <c r="K47" s="16"/>
      <c r="L47" s="16" t="s">
        <v>103</v>
      </c>
    </row>
    <row r="48" spans="1:13">
      <c r="A48" s="2" t="s">
        <v>22</v>
      </c>
      <c r="B48" s="10"/>
      <c r="C48" s="11"/>
      <c r="D48" s="16"/>
      <c r="E48" s="16"/>
      <c r="G48" s="16"/>
      <c r="H48" s="2" t="s">
        <v>22</v>
      </c>
      <c r="I48" s="10"/>
      <c r="J48" s="11"/>
      <c r="K48" s="16">
        <f>((122703-23765)/122703)-1</f>
        <v>-0.19367904615209086</v>
      </c>
      <c r="L48" s="16">
        <v>-0.1862</v>
      </c>
    </row>
    <row r="49" spans="1:13">
      <c r="A49" s="2" t="s">
        <v>23</v>
      </c>
      <c r="B49" s="10"/>
      <c r="C49" s="11"/>
      <c r="D49" s="16"/>
      <c r="E49" s="16"/>
      <c r="G49" s="16">
        <f>((105501+7581)/105501)-1</f>
        <v>7.1857138794892972E-2</v>
      </c>
      <c r="H49" s="2" t="s">
        <v>23</v>
      </c>
      <c r="I49" s="10"/>
      <c r="J49" s="11">
        <v>7.0999999999999994E-2</v>
      </c>
      <c r="K49" s="16"/>
      <c r="L49" s="16"/>
    </row>
    <row r="50" spans="1:13">
      <c r="A50" s="2" t="s">
        <v>24</v>
      </c>
      <c r="B50" s="10"/>
      <c r="C50" s="11"/>
      <c r="D50" s="16"/>
      <c r="E50" s="16"/>
      <c r="G50" s="16">
        <f>((116603+5301)/116603)-1</f>
        <v>4.5461952093856839E-2</v>
      </c>
      <c r="H50" s="2" t="s">
        <v>24</v>
      </c>
      <c r="I50" s="10"/>
      <c r="J50" s="11">
        <v>4.5999999999999999E-2</v>
      </c>
      <c r="K50" s="16"/>
      <c r="L50" s="16"/>
    </row>
    <row r="51" spans="1:13">
      <c r="A51" s="2" t="s">
        <v>25</v>
      </c>
      <c r="B51" s="10"/>
      <c r="C51" s="11"/>
      <c r="D51" s="16"/>
      <c r="E51" s="16"/>
      <c r="G51" s="16">
        <f>((123826+2136)/123826)-1</f>
        <v>1.7250012113772639E-2</v>
      </c>
      <c r="H51" s="2" t="s">
        <v>25</v>
      </c>
      <c r="I51" s="10"/>
      <c r="J51" s="11">
        <v>1.7999999999999999E-2</v>
      </c>
      <c r="K51" s="16"/>
      <c r="L51" s="16" t="s">
        <v>101</v>
      </c>
    </row>
    <row r="52" spans="1:13">
      <c r="A52" s="2" t="s">
        <v>26</v>
      </c>
      <c r="B52" s="10"/>
      <c r="C52" s="11"/>
      <c r="D52" s="16"/>
      <c r="E52" s="16"/>
      <c r="G52" s="16"/>
      <c r="H52" s="2" t="s">
        <v>26</v>
      </c>
      <c r="I52" s="10"/>
      <c r="J52" s="11"/>
      <c r="K52" s="16">
        <f>((105501+15982)/105501)-1</f>
        <v>0.15148671576572736</v>
      </c>
      <c r="L52" s="22">
        <v>1.49E-2</v>
      </c>
    </row>
    <row r="53" spans="1:13">
      <c r="A53" s="2" t="s">
        <v>27</v>
      </c>
      <c r="B53" s="10"/>
      <c r="C53" s="11"/>
      <c r="D53" s="16"/>
      <c r="E53" s="16"/>
      <c r="G53" s="16">
        <f>((127630-1757)/127630)-1</f>
        <v>-1.3766355872443792E-2</v>
      </c>
      <c r="H53" s="2" t="s">
        <v>27</v>
      </c>
      <c r="I53" s="10"/>
      <c r="J53" s="11">
        <v>-1.2999999999999999E-2</v>
      </c>
      <c r="K53" s="16"/>
      <c r="L53" s="16"/>
    </row>
    <row r="54" spans="1:13">
      <c r="A54" s="2" t="s">
        <v>28</v>
      </c>
      <c r="B54" s="10"/>
      <c r="C54" s="11"/>
      <c r="D54" s="16"/>
      <c r="E54" s="16"/>
      <c r="G54" s="16">
        <f>((129680+8401)/129680)-1</f>
        <v>6.4782541640962421E-2</v>
      </c>
      <c r="H54" s="2" t="s">
        <v>28</v>
      </c>
      <c r="I54" s="10"/>
      <c r="J54" s="11">
        <v>6.6000000000000003E-2</v>
      </c>
      <c r="K54" s="16"/>
      <c r="L54" s="16"/>
    </row>
    <row r="55" spans="1:13">
      <c r="A55" s="2" t="s">
        <v>29</v>
      </c>
      <c r="B55" s="10"/>
      <c r="C55" s="11"/>
      <c r="D55" s="16"/>
      <c r="E55" s="16"/>
      <c r="G55" s="16">
        <f>((138622+3925)/138622)-1</f>
        <v>2.8314408968273419E-2</v>
      </c>
      <c r="H55" s="2" t="s">
        <v>29</v>
      </c>
      <c r="I55" s="10"/>
      <c r="J55" s="11">
        <v>0.03</v>
      </c>
      <c r="K55" s="16" t="s">
        <v>100</v>
      </c>
      <c r="L55" s="16"/>
    </row>
    <row r="56" spans="1:13">
      <c r="A56" s="2" t="s">
        <v>30</v>
      </c>
      <c r="B56" s="10"/>
      <c r="C56" s="11"/>
      <c r="D56" s="16"/>
      <c r="E56" s="16"/>
      <c r="G56" s="16"/>
      <c r="H56" s="2" t="s">
        <v>30</v>
      </c>
      <c r="I56" s="10"/>
      <c r="J56" s="11"/>
      <c r="K56" s="16">
        <f>((127630+15230)/127630)-1</f>
        <v>0.11932931129044899</v>
      </c>
      <c r="L56" s="16">
        <v>0.11899999999999999</v>
      </c>
    </row>
    <row r="57" spans="1:13">
      <c r="A57" s="2" t="s">
        <v>31</v>
      </c>
      <c r="B57" s="10"/>
      <c r="C57" s="11"/>
      <c r="D57" s="16"/>
      <c r="E57" s="16"/>
      <c r="G57" s="16">
        <f>((148196+1199)/148196)-1</f>
        <v>8.0906367243380739E-3</v>
      </c>
      <c r="H57" s="2" t="s">
        <v>31</v>
      </c>
      <c r="I57" s="10"/>
      <c r="J57" s="11">
        <v>8.9999999999999993E-3</v>
      </c>
      <c r="K57" s="16"/>
      <c r="L57" s="16"/>
    </row>
    <row r="58" spans="1:13">
      <c r="A58" s="2" t="s">
        <v>32</v>
      </c>
      <c r="B58" s="10"/>
      <c r="C58" s="11"/>
      <c r="D58" s="16"/>
      <c r="E58" s="16"/>
      <c r="G58" s="16">
        <f>((153231-1310)/153231)-1</f>
        <v>-8.5491839118716495E-3</v>
      </c>
      <c r="H58" s="2" t="s">
        <v>32</v>
      </c>
      <c r="I58" s="10"/>
      <c r="J58" s="11">
        <v>-8.0000000000000002E-3</v>
      </c>
      <c r="K58" s="16"/>
      <c r="L58" s="16"/>
    </row>
    <row r="59" spans="1:13">
      <c r="A59" s="2" t="s">
        <v>33</v>
      </c>
      <c r="B59" s="10"/>
      <c r="C59" s="11"/>
      <c r="D59" s="16"/>
      <c r="E59" s="16"/>
      <c r="G59" s="16">
        <f>((152294+3064)/152294)-1</f>
        <v>2.0118980393186936E-2</v>
      </c>
      <c r="H59" s="2" t="s">
        <v>33</v>
      </c>
      <c r="I59" s="10"/>
      <c r="J59" s="11">
        <v>2.1000000000000001E-2</v>
      </c>
      <c r="K59" s="16" t="s">
        <v>99</v>
      </c>
      <c r="L59" s="16"/>
    </row>
    <row r="60" spans="1:13">
      <c r="A60" s="2" t="s">
        <v>34</v>
      </c>
      <c r="B60" s="10"/>
      <c r="C60" s="11">
        <v>8.9999999999999993E-3</v>
      </c>
      <c r="D60" s="16" t="s">
        <v>82</v>
      </c>
      <c r="E60" s="16"/>
      <c r="G60" s="16"/>
      <c r="H60" s="2" t="s">
        <v>34</v>
      </c>
      <c r="I60" s="10"/>
      <c r="J60" s="11"/>
      <c r="K60" s="16">
        <f>((148196+9496)/148196)-1</f>
        <v>6.4077303031121025E-2</v>
      </c>
      <c r="L60" s="22">
        <v>6.6000000000000003E-2</v>
      </c>
      <c r="M60" s="6"/>
    </row>
    <row r="61" spans="1:13">
      <c r="A61" s="2" t="s">
        <v>35</v>
      </c>
      <c r="B61" s="10"/>
      <c r="C61" s="11">
        <v>-8.0000000000000002E-3</v>
      </c>
      <c r="D61" s="16" t="s">
        <v>81</v>
      </c>
      <c r="E61" s="16"/>
      <c r="G61" s="16">
        <f>((161636+726)/161636)-1</f>
        <v>4.4915736593333921E-3</v>
      </c>
      <c r="H61" s="2" t="s">
        <v>35</v>
      </c>
      <c r="I61" s="10"/>
      <c r="J61" s="12">
        <v>5.0000000000000001E-3</v>
      </c>
      <c r="K61" s="16"/>
      <c r="L61" s="16"/>
    </row>
    <row r="62" spans="1:13">
      <c r="A62" s="2" t="s">
        <v>36</v>
      </c>
      <c r="B62" s="10"/>
      <c r="C62" s="12"/>
      <c r="D62" s="16"/>
      <c r="E62" s="16"/>
      <c r="F62" s="1"/>
      <c r="G62" s="16">
        <f>((165779+3005)/165779)-1</f>
        <v>1.8126541962492304E-2</v>
      </c>
      <c r="H62" s="2" t="s">
        <v>36</v>
      </c>
      <c r="I62" s="10"/>
      <c r="J62" s="18">
        <v>1.9E-2</v>
      </c>
      <c r="K62" s="16"/>
      <c r="L62" s="16"/>
    </row>
    <row r="63" spans="1:13">
      <c r="A63" s="2" t="s">
        <v>37</v>
      </c>
      <c r="B63" s="10"/>
      <c r="C63" s="11"/>
      <c r="D63" s="16"/>
      <c r="E63" s="16">
        <v>6.6000000000000003E-2</v>
      </c>
      <c r="G63" s="16">
        <f>((170103+4889)/170103)-1</f>
        <v>2.8741409616526381E-2</v>
      </c>
      <c r="H63" s="2" t="s">
        <v>37</v>
      </c>
      <c r="I63" s="10"/>
      <c r="J63" s="11">
        <v>0.03</v>
      </c>
      <c r="K63" s="16" t="s">
        <v>95</v>
      </c>
      <c r="L63" s="16"/>
    </row>
    <row r="64" spans="1:13">
      <c r="A64" s="2" t="s">
        <v>38</v>
      </c>
      <c r="B64" s="10"/>
      <c r="C64" s="11">
        <v>5.0000000000000001E-3</v>
      </c>
      <c r="D64" s="16"/>
      <c r="E64" s="16"/>
      <c r="G64" s="16"/>
      <c r="H64" s="2" t="s">
        <v>38</v>
      </c>
      <c r="I64" s="10"/>
      <c r="J64" s="11"/>
      <c r="K64" s="16">
        <f>((161636+16246)/161636)-1</f>
        <v>0.10050978742359384</v>
      </c>
      <c r="L64" s="16">
        <v>0.10100000000000001</v>
      </c>
    </row>
    <row r="65" spans="1:12">
      <c r="A65" s="2" t="s">
        <v>39</v>
      </c>
      <c r="B65" s="10"/>
      <c r="C65" s="11">
        <v>1.9E-2</v>
      </c>
      <c r="D65" s="16"/>
      <c r="E65" s="16"/>
      <c r="G65" s="16">
        <f>((183264+1878)/183264)-1</f>
        <v>1.0247511786275476E-2</v>
      </c>
      <c r="H65" s="2" t="s">
        <v>39</v>
      </c>
      <c r="I65" s="10"/>
      <c r="J65" s="11">
        <v>1.0999999999999999E-2</v>
      </c>
      <c r="K65" s="16"/>
      <c r="L65" s="16"/>
    </row>
    <row r="66" spans="1:12">
      <c r="A66" s="2" t="s">
        <v>40</v>
      </c>
      <c r="B66" s="10"/>
      <c r="C66" s="11">
        <v>0.03</v>
      </c>
      <c r="D66" s="16"/>
      <c r="E66" s="16"/>
      <c r="G66" s="16">
        <f>((188938+3269)/188938)-1</f>
        <v>1.7301972075495664E-2</v>
      </c>
      <c r="H66" s="2" t="s">
        <v>40</v>
      </c>
      <c r="I66" s="10"/>
      <c r="J66" s="11">
        <v>1.7999999999999999E-2</v>
      </c>
      <c r="K66" s="16"/>
      <c r="L66" s="16"/>
    </row>
    <row r="67" spans="1:12">
      <c r="A67" s="2" t="s">
        <v>41</v>
      </c>
      <c r="B67" s="10"/>
      <c r="C67" s="11"/>
      <c r="D67" s="16"/>
      <c r="E67" s="16">
        <v>0.10100000000000001</v>
      </c>
      <c r="G67" s="16">
        <f>((192844+11112)/192844)-1</f>
        <v>5.7621704590238743E-2</v>
      </c>
      <c r="H67" s="2" t="s">
        <v>41</v>
      </c>
      <c r="I67" s="10"/>
      <c r="J67" s="11">
        <v>5.8999999999999997E-2</v>
      </c>
      <c r="K67" s="16" t="s">
        <v>94</v>
      </c>
      <c r="L67" s="16"/>
    </row>
    <row r="68" spans="1:12">
      <c r="A68" s="2" t="s">
        <v>42</v>
      </c>
      <c r="B68" s="10"/>
      <c r="C68" s="11">
        <v>1.0999999999999999E-2</v>
      </c>
      <c r="D68" s="16"/>
      <c r="E68" s="16"/>
      <c r="G68" s="16"/>
      <c r="H68" s="2" t="s">
        <v>42</v>
      </c>
      <c r="I68" s="10"/>
      <c r="J68" s="11"/>
      <c r="K68" s="22">
        <f>((183264+30134)/183264)-1</f>
        <v>0.16442945695826783</v>
      </c>
      <c r="L68" s="22">
        <v>1.6500000000000001E-2</v>
      </c>
    </row>
    <row r="69" spans="1:12">
      <c r="A69" s="2" t="s">
        <v>43</v>
      </c>
      <c r="B69" s="10"/>
      <c r="C69" s="11">
        <v>1.7999999999999999E-2</v>
      </c>
      <c r="D69" s="16"/>
      <c r="E69" s="16"/>
      <c r="G69" s="16">
        <f>((219092+3410)/219092)-1</f>
        <v>1.5564237854417406E-2</v>
      </c>
      <c r="H69" s="2" t="s">
        <v>43</v>
      </c>
      <c r="I69" s="10"/>
      <c r="J69" s="11">
        <v>1.6E-2</v>
      </c>
      <c r="K69" s="16"/>
      <c r="L69" s="16"/>
    </row>
    <row r="70" spans="1:12">
      <c r="A70" s="2" t="s">
        <v>44</v>
      </c>
      <c r="B70" s="10"/>
      <c r="C70" s="11">
        <v>5.8999999999999997E-2</v>
      </c>
      <c r="D70" s="16"/>
      <c r="E70" s="16"/>
      <c r="G70" s="16">
        <f>((226800+7562)/226800)-1</f>
        <v>3.3342151675485043E-2</v>
      </c>
      <c r="H70" s="2" t="s">
        <v>44</v>
      </c>
      <c r="I70" s="10"/>
      <c r="J70" s="11">
        <v>3.4000000000000002E-2</v>
      </c>
      <c r="K70" s="16"/>
      <c r="L70" s="16"/>
    </row>
    <row r="71" spans="1:12">
      <c r="A71" s="2" t="s">
        <v>45</v>
      </c>
      <c r="B71" s="10"/>
      <c r="C71" s="11"/>
      <c r="D71" s="16"/>
      <c r="E71" s="16">
        <v>0.16500000000000001</v>
      </c>
      <c r="G71" s="16">
        <f>((234426+7285)/234426)-1</f>
        <v>3.1075904549836553E-2</v>
      </c>
      <c r="H71" s="2" t="s">
        <v>45</v>
      </c>
      <c r="I71" s="10"/>
      <c r="J71" s="11">
        <v>3.3000000000000002E-2</v>
      </c>
      <c r="K71" s="16" t="s">
        <v>96</v>
      </c>
      <c r="L71" s="16"/>
    </row>
    <row r="72" spans="1:12">
      <c r="A72" s="2" t="s">
        <v>46</v>
      </c>
      <c r="B72" s="10"/>
      <c r="C72" s="11">
        <v>1.6E-2</v>
      </c>
      <c r="D72" s="16"/>
      <c r="E72" s="16"/>
      <c r="G72" s="16"/>
      <c r="H72" s="2" t="s">
        <v>46</v>
      </c>
      <c r="I72" s="10"/>
      <c r="J72" s="11"/>
      <c r="K72" s="22">
        <f>((219092+40638)/219092)-1</f>
        <v>0.185483723732496</v>
      </c>
      <c r="L72" s="22">
        <v>1.8700000000000001E-2</v>
      </c>
    </row>
    <row r="73" spans="1:12">
      <c r="A73" s="2" t="s">
        <v>4</v>
      </c>
      <c r="B73" s="10"/>
      <c r="C73" s="11">
        <v>3.4000000000000002E-2</v>
      </c>
      <c r="D73" s="16"/>
      <c r="E73" s="16"/>
      <c r="G73" s="16">
        <f>((264623-167)/264623)-1</f>
        <v>-6.3108648908072329E-4</v>
      </c>
      <c r="H73" s="2" t="s">
        <v>4</v>
      </c>
      <c r="I73" s="10">
        <v>-1E-3</v>
      </c>
      <c r="J73" s="11">
        <v>1E-4</v>
      </c>
      <c r="K73" s="16"/>
      <c r="L73" s="16"/>
    </row>
    <row r="74" spans="1:12">
      <c r="A74" s="2" t="s">
        <v>0</v>
      </c>
      <c r="B74" s="10"/>
      <c r="C74" s="11">
        <v>3.3000000000000002E-2</v>
      </c>
      <c r="D74" s="16"/>
      <c r="E74" s="16"/>
      <c r="G74" s="16">
        <f>((268651+4163)/268651)-1</f>
        <v>1.5495940830296595E-2</v>
      </c>
      <c r="H74" s="2" t="s">
        <v>0</v>
      </c>
      <c r="I74" s="10">
        <v>1.55E-2</v>
      </c>
      <c r="J74" s="11">
        <v>1.6199999999999999E-2</v>
      </c>
      <c r="K74" s="16"/>
      <c r="L74" s="16"/>
    </row>
    <row r="75" spans="1:12">
      <c r="A75" s="2" t="s">
        <v>1</v>
      </c>
      <c r="B75" s="10">
        <v>0</v>
      </c>
      <c r="C75" s="11"/>
      <c r="D75" s="16">
        <v>0.183</v>
      </c>
      <c r="E75" s="16">
        <v>0.187</v>
      </c>
      <c r="G75" s="16">
        <f>((272936+12289)/272936)-1</f>
        <v>4.5025207374622678E-2</v>
      </c>
      <c r="H75" s="2" t="s">
        <v>1</v>
      </c>
      <c r="I75" s="10">
        <v>4.4999999999999998E-2</v>
      </c>
      <c r="J75" s="4">
        <v>4.5999999999999999E-2</v>
      </c>
      <c r="K75" s="16" t="s">
        <v>97</v>
      </c>
      <c r="L75" s="16"/>
    </row>
    <row r="76" spans="1:12">
      <c r="A76" s="2" t="s">
        <v>47</v>
      </c>
      <c r="B76" s="10">
        <v>-1E-3</v>
      </c>
      <c r="C76" s="11">
        <v>1E-4</v>
      </c>
      <c r="D76" s="16"/>
      <c r="E76" s="16"/>
      <c r="G76" s="16"/>
      <c r="H76" s="2" t="s">
        <v>47</v>
      </c>
      <c r="I76" s="10"/>
      <c r="J76" s="4"/>
      <c r="K76" s="16"/>
      <c r="L76" s="16">
        <v>3.6999999999999998E-2</v>
      </c>
    </row>
    <row r="77" spans="1:12">
      <c r="A77" s="2" t="s">
        <v>2</v>
      </c>
      <c r="B77" s="10">
        <v>1.55E-2</v>
      </c>
      <c r="C77" s="11">
        <v>1.6199999999999999E-2</v>
      </c>
      <c r="D77" s="16"/>
      <c r="E77" s="16"/>
      <c r="G77" s="16">
        <f>((278941+4098)/278941)-1</f>
        <v>1.469127880089327E-2</v>
      </c>
      <c r="H77" s="2" t="s">
        <v>2</v>
      </c>
      <c r="I77" s="10">
        <v>1.4500000000000001E-2</v>
      </c>
      <c r="J77" s="4">
        <v>1.5299999999999999E-2</v>
      </c>
      <c r="K77" s="16">
        <f>((264623+9131)/264623)-1</f>
        <v>3.4505693004765359E-2</v>
      </c>
      <c r="L77" s="16"/>
    </row>
    <row r="78" spans="1:12">
      <c r="A78" s="2" t="s">
        <v>3</v>
      </c>
      <c r="B78" s="10">
        <v>4.4999999999999998E-2</v>
      </c>
      <c r="C78" s="11">
        <v>4.5999999999999999E-2</v>
      </c>
      <c r="D78" s="16"/>
      <c r="E78" s="16"/>
      <c r="G78" s="16">
        <f>((287265+13651)/287265)-1</f>
        <v>4.7520582040972537E-2</v>
      </c>
      <c r="H78" s="2" t="s">
        <v>3</v>
      </c>
      <c r="I78" s="10">
        <v>4.7500000000000001E-2</v>
      </c>
      <c r="J78" s="4">
        <v>4.8300000000000003E-2</v>
      </c>
      <c r="K78" s="16"/>
      <c r="L78" s="16"/>
    </row>
    <row r="79" spans="1:12">
      <c r="A79" s="2" t="s">
        <v>5</v>
      </c>
      <c r="B79" s="13"/>
      <c r="C79" s="14"/>
      <c r="D79" s="17">
        <v>3.4000000000000002E-2</v>
      </c>
      <c r="E79" s="17">
        <v>3.6999999999999998E-2</v>
      </c>
      <c r="G79" s="17">
        <f>((300548+1647)/300548)-1</f>
        <v>5.4799898851431994E-3</v>
      </c>
      <c r="H79" s="2" t="s">
        <v>5</v>
      </c>
      <c r="I79" s="19" t="s">
        <v>98</v>
      </c>
      <c r="J79" s="20">
        <v>4.4999999999999998E-2</v>
      </c>
      <c r="K79" s="17"/>
      <c r="L79" s="17"/>
    </row>
  </sheetData>
  <mergeCells count="4">
    <mergeCell ref="D1:E1"/>
    <mergeCell ref="B2:E2"/>
    <mergeCell ref="K1:L1"/>
    <mergeCell ref="I2:L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52"/>
  <sheetViews>
    <sheetView zoomScale="70" zoomScaleNormal="70" zoomScalePageLayoutView="70" workbookViewId="0">
      <selection activeCell="I141" sqref="I141"/>
    </sheetView>
  </sheetViews>
  <sheetFormatPr defaultColWidth="8.85546875" defaultRowHeight="15"/>
  <cols>
    <col min="1" max="1" width="13.85546875" customWidth="1"/>
    <col min="2" max="2" width="12.42578125" customWidth="1"/>
    <col min="3" max="3" width="13.85546875" customWidth="1"/>
    <col min="4" max="4" width="12.140625" customWidth="1"/>
    <col min="5" max="5" width="15.85546875" bestFit="1" customWidth="1"/>
    <col min="6" max="8" width="11" customWidth="1"/>
    <col min="9" max="9" width="15.7109375" customWidth="1"/>
    <col min="10" max="11" width="15" customWidth="1"/>
    <col min="12" max="12" width="14.42578125" bestFit="1" customWidth="1"/>
    <col min="13" max="14" width="12" bestFit="1" customWidth="1"/>
    <col min="15" max="15" width="13.42578125" customWidth="1"/>
    <col min="16" max="16" width="12" bestFit="1" customWidth="1"/>
    <col min="17" max="17" width="14.7109375" customWidth="1"/>
    <col min="18" max="18" width="12.42578125" bestFit="1" customWidth="1"/>
    <col min="20" max="20" width="22.28515625" customWidth="1"/>
    <col min="21" max="21" width="13.42578125" customWidth="1"/>
  </cols>
  <sheetData>
    <row r="1" spans="1:11" ht="31.5">
      <c r="A1" s="154" t="s">
        <v>430</v>
      </c>
    </row>
    <row r="2" spans="1:11" ht="31.5">
      <c r="A2" s="473"/>
      <c r="B2" s="929" t="s">
        <v>239</v>
      </c>
      <c r="C2" s="929"/>
      <c r="D2" s="929"/>
      <c r="E2" s="930" t="s">
        <v>266</v>
      </c>
      <c r="F2" s="930"/>
      <c r="G2" s="930"/>
      <c r="H2" s="472"/>
      <c r="I2" s="930" t="s">
        <v>833</v>
      </c>
      <c r="J2" s="930"/>
      <c r="K2" s="930"/>
    </row>
    <row r="3" spans="1:11" ht="44.25" customHeight="1">
      <c r="A3" s="57" t="str">
        <f>Costs!A2</f>
        <v>Date</v>
      </c>
      <c r="B3" s="474" t="s">
        <v>130</v>
      </c>
      <c r="C3" s="475" t="s">
        <v>818</v>
      </c>
      <c r="D3" s="476" t="s">
        <v>819</v>
      </c>
      <c r="E3" s="474" t="s">
        <v>130</v>
      </c>
      <c r="F3" s="475" t="s">
        <v>818</v>
      </c>
      <c r="G3" s="476" t="s">
        <v>819</v>
      </c>
      <c r="H3" s="333" t="s">
        <v>226</v>
      </c>
      <c r="I3" s="474" t="s">
        <v>130</v>
      </c>
      <c r="J3" s="475" t="s">
        <v>818</v>
      </c>
      <c r="K3" s="476" t="s">
        <v>819</v>
      </c>
    </row>
    <row r="4" spans="1:11">
      <c r="A4" s="337" t="str">
        <f>Costs!A3</f>
        <v>1Q1998</v>
      </c>
      <c r="B4" s="169"/>
      <c r="C4" s="193"/>
      <c r="D4" s="12"/>
      <c r="E4" s="112"/>
      <c r="F4" s="87"/>
      <c r="G4" s="143"/>
      <c r="H4" s="427" t="str">
        <f>Costs!AD4</f>
        <v>1998 </v>
      </c>
      <c r="I4" s="112"/>
      <c r="J4" s="142"/>
      <c r="K4" s="143"/>
    </row>
    <row r="5" spans="1:11">
      <c r="A5" s="337" t="str">
        <f>Costs!A4</f>
        <v>2Q1998</v>
      </c>
      <c r="B5" s="169"/>
      <c r="C5" s="193"/>
      <c r="D5" s="12"/>
      <c r="E5" s="112"/>
      <c r="F5" s="87"/>
      <c r="G5" s="143"/>
      <c r="H5" s="427" t="str">
        <f>Costs!AD5</f>
        <v>1999 </v>
      </c>
      <c r="I5" s="112"/>
      <c r="J5" s="142"/>
      <c r="K5" s="143"/>
    </row>
    <row r="6" spans="1:11">
      <c r="A6" s="337" t="str">
        <f>Costs!A5</f>
        <v>3Q1998</v>
      </c>
      <c r="B6" s="169"/>
      <c r="C6" s="193"/>
      <c r="D6" s="12"/>
      <c r="E6" s="112"/>
      <c r="F6" s="87"/>
      <c r="G6" s="143"/>
      <c r="H6" s="427" t="str">
        <f>Costs!AD6</f>
        <v>2000 </v>
      </c>
      <c r="I6" s="112"/>
      <c r="J6" s="142"/>
      <c r="K6" s="143"/>
    </row>
    <row r="7" spans="1:11">
      <c r="A7" s="337" t="str">
        <f>Costs!A6</f>
        <v>4Q1998</v>
      </c>
      <c r="B7" s="169"/>
      <c r="C7" s="193"/>
      <c r="D7" s="12"/>
      <c r="E7" s="112"/>
      <c r="F7" s="87"/>
      <c r="G7" s="143"/>
      <c r="H7" s="427" t="str">
        <f>Costs!AD7</f>
        <v>2001 </v>
      </c>
      <c r="I7" s="112"/>
      <c r="J7" s="142"/>
      <c r="K7" s="143"/>
    </row>
    <row r="8" spans="1:11">
      <c r="A8" s="337" t="str">
        <f>Costs!A7</f>
        <v>1Q1999</v>
      </c>
      <c r="B8" s="169"/>
      <c r="C8" s="193"/>
      <c r="D8" s="12"/>
      <c r="E8" s="112"/>
      <c r="F8" s="87"/>
      <c r="G8" s="107"/>
      <c r="H8" s="427">
        <f>Costs!AD8</f>
        <v>2002</v>
      </c>
      <c r="I8" s="112"/>
      <c r="J8" s="142"/>
      <c r="K8" s="143"/>
    </row>
    <row r="9" spans="1:11">
      <c r="A9" s="337" t="str">
        <f>Costs!A8</f>
        <v>2Q1999</v>
      </c>
      <c r="B9" s="169"/>
      <c r="C9" s="193"/>
      <c r="D9" s="12"/>
      <c r="E9" s="112"/>
      <c r="F9" s="87"/>
      <c r="G9" s="207"/>
      <c r="H9" s="427" t="str">
        <f>Costs!AD9</f>
        <v>2003 </v>
      </c>
      <c r="I9" s="112"/>
      <c r="J9" s="142"/>
      <c r="K9" s="143"/>
    </row>
    <row r="10" spans="1:11">
      <c r="A10" s="337" t="str">
        <f>Costs!A9</f>
        <v>3Q1999</v>
      </c>
      <c r="B10" s="169"/>
      <c r="C10" s="193"/>
      <c r="D10" s="12"/>
      <c r="E10" s="112"/>
      <c r="F10" s="87"/>
      <c r="G10" s="207"/>
      <c r="H10" s="427">
        <f>Costs!AD10</f>
        <v>2004</v>
      </c>
      <c r="I10" s="112"/>
      <c r="J10" s="142"/>
      <c r="K10" s="143"/>
    </row>
    <row r="11" spans="1:11">
      <c r="A11" s="337" t="str">
        <f>Costs!A10</f>
        <v>4Q1999</v>
      </c>
      <c r="B11" s="169"/>
      <c r="C11" s="193"/>
      <c r="D11" s="12"/>
      <c r="E11" s="112"/>
      <c r="F11" s="87"/>
      <c r="G11" s="207"/>
      <c r="H11" s="427" t="str">
        <f>Costs!AD11</f>
        <v>2005 </v>
      </c>
      <c r="I11" s="200">
        <f>Returns!Q12</f>
        <v>-1.9730742936255208E-2</v>
      </c>
      <c r="J11" s="142"/>
      <c r="K11" s="143"/>
    </row>
    <row r="12" spans="1:11">
      <c r="A12" s="337" t="str">
        <f>Costs!A11</f>
        <v>1Q2000</v>
      </c>
      <c r="B12" s="169"/>
      <c r="C12" s="193"/>
      <c r="D12" s="12"/>
      <c r="E12" s="112"/>
      <c r="F12" s="87"/>
      <c r="G12" s="207"/>
      <c r="H12" s="427" t="str">
        <f>Costs!AD12</f>
        <v>2006 </v>
      </c>
      <c r="I12" s="200">
        <f>Returns!Q13</f>
        <v>0.20868661304458969</v>
      </c>
      <c r="J12" s="142"/>
      <c r="K12" s="143"/>
    </row>
    <row r="13" spans="1:11">
      <c r="A13" s="337" t="str">
        <f>Costs!A12</f>
        <v>2Q2000</v>
      </c>
      <c r="B13" s="169"/>
      <c r="C13" s="193"/>
      <c r="D13" s="12"/>
      <c r="E13" s="478"/>
      <c r="F13" s="87"/>
      <c r="G13" s="199"/>
      <c r="H13" s="427" t="str">
        <f>Costs!AD13</f>
        <v>2007 </v>
      </c>
      <c r="I13" s="201">
        <f>Returns!Q14</f>
        <v>0.14358951561793143</v>
      </c>
      <c r="J13" s="191">
        <f>'Benchmark finished'!K21</f>
        <v>8.9882126162288634E-2</v>
      </c>
      <c r="K13" s="739">
        <f>Costs!AE13/USD!AV14</f>
        <v>1.7074482638326598E-3</v>
      </c>
    </row>
    <row r="14" spans="1:11">
      <c r="A14" s="337" t="str">
        <f>Costs!A13</f>
        <v>3Q2000</v>
      </c>
      <c r="B14" s="169"/>
      <c r="C14" s="193"/>
      <c r="D14" s="12"/>
      <c r="E14" s="135">
        <f>Returns!U14</f>
        <v>0</v>
      </c>
      <c r="F14" s="106"/>
      <c r="G14" s="738">
        <f>Costs!BB13/USD!CP14</f>
        <v>8.1814015828418776E-5</v>
      </c>
      <c r="H14" s="427" t="str">
        <f>Costs!AD14</f>
        <v>2008 </v>
      </c>
      <c r="I14" s="200">
        <f>Returns!Q15</f>
        <v>-0.25394825131911503</v>
      </c>
      <c r="J14" s="107">
        <f>'Benchmark finished'!K22</f>
        <v>-7.9473240079313112E-2</v>
      </c>
      <c r="K14" s="738">
        <f>Costs!AE14/USD!AV15</f>
        <v>1.7396942905901572E-3</v>
      </c>
    </row>
    <row r="15" spans="1:11">
      <c r="A15" s="337" t="str">
        <f>Costs!A14</f>
        <v>4Q2000</v>
      </c>
      <c r="B15" s="169"/>
      <c r="C15" s="193"/>
      <c r="D15" s="12"/>
      <c r="E15" s="135">
        <f>Returns!U15</f>
        <v>-7.8801248872425012E-2</v>
      </c>
      <c r="F15" s="106"/>
      <c r="G15" s="738">
        <f>Costs!BB14/USD!CP15</f>
        <v>7.2796787379986189E-5</v>
      </c>
      <c r="H15" s="427" t="str">
        <f>Costs!AD15</f>
        <v>2009 </v>
      </c>
      <c r="I15" s="200">
        <f>Returns!Q16</f>
        <v>0.22327686596376539</v>
      </c>
      <c r="J15" s="107">
        <f>'Benchmark finished'!K23</f>
        <v>8.3822480150006484E-3</v>
      </c>
      <c r="K15" s="738">
        <f>Costs!AE15/USD!AV16</f>
        <v>4.2216708168077502E-3</v>
      </c>
    </row>
    <row r="16" spans="1:11">
      <c r="A16" s="337" t="str">
        <f>Costs!A15</f>
        <v>1Q2001</v>
      </c>
      <c r="B16" s="477"/>
      <c r="C16" s="42"/>
      <c r="D16" s="12"/>
      <c r="E16" s="135">
        <f>Returns!U16</f>
        <v>-0.17056492080631502</v>
      </c>
      <c r="F16" s="106"/>
      <c r="G16" s="738">
        <f>Costs!BB15/USD!CP16</f>
        <v>4.6951354902916203E-5</v>
      </c>
      <c r="H16" s="427" t="str">
        <f>Costs!AD16</f>
        <v>2010 </v>
      </c>
      <c r="I16" s="200">
        <f>Returns!Q17</f>
        <v>3.7637742089441817E-2</v>
      </c>
      <c r="J16" s="107">
        <f>'Benchmark finished'!K24</f>
        <v>-8.1868600707458272E-2</v>
      </c>
      <c r="K16" s="738">
        <f>Costs!AE16/USD!AV17</f>
        <v>6.5689614188201243E-3</v>
      </c>
    </row>
    <row r="17" spans="1:18">
      <c r="A17" s="337" t="str">
        <f>Costs!A16</f>
        <v>2Q2001</v>
      </c>
      <c r="B17" s="170">
        <f>Returns!C17</f>
        <v>-4.7676841306213413E-3</v>
      </c>
      <c r="C17" s="106">
        <f>'Benchmark finished'!F16</f>
        <v>-2.062570214863936E-2</v>
      </c>
      <c r="D17" s="207"/>
      <c r="E17" s="135">
        <f>Returns!U17</f>
        <v>4.5589708583753774E-2</v>
      </c>
      <c r="F17" s="106"/>
      <c r="G17" s="738">
        <f>Costs!BB16/USD!CP17</f>
        <v>6.362952665284076E-5</v>
      </c>
      <c r="H17" s="427" t="str">
        <f>Costs!AD17</f>
        <v>2011 </v>
      </c>
      <c r="I17" s="200">
        <f>Returns!Q18</f>
        <v>1.4333896313787342E-3</v>
      </c>
      <c r="J17" s="107">
        <f>'Benchmark finished'!K25</f>
        <v>3.7460721870952285E-2</v>
      </c>
      <c r="K17" s="738">
        <f>Costs!AE17/USD!AV18</f>
        <v>5.732020459998103E-3</v>
      </c>
    </row>
    <row r="18" spans="1:18">
      <c r="A18" s="337" t="str">
        <f>Costs!A17</f>
        <v>3Q2001</v>
      </c>
      <c r="B18" s="170">
        <f>Returns!C18</f>
        <v>-1.4371566095631727E-2</v>
      </c>
      <c r="C18" s="106">
        <f>'Benchmark finished'!F17</f>
        <v>4.5138625475249473E-2</v>
      </c>
      <c r="D18" s="207"/>
      <c r="E18" s="135">
        <f>Returns!U18</f>
        <v>-0.17318577657020084</v>
      </c>
      <c r="F18" s="106"/>
      <c r="G18" s="738">
        <f>Costs!BB17/USD!CP18</f>
        <v>5.8400849956985527E-5</v>
      </c>
      <c r="H18" s="427" t="str">
        <f>Costs!AD18</f>
        <v>2012 </v>
      </c>
      <c r="I18" s="200">
        <f>Returns!Q19</f>
        <v>0.15096960282978111</v>
      </c>
      <c r="J18" s="107">
        <f>'Benchmark finished'!K26</f>
        <v>4.1269936458027567E-2</v>
      </c>
      <c r="K18" s="738">
        <f>Costs!AE18/USD!AV19</f>
        <v>5.9909015808441183E-3</v>
      </c>
    </row>
    <row r="19" spans="1:18">
      <c r="A19" s="337" t="str">
        <f>Costs!A18</f>
        <v>4Q2001</v>
      </c>
      <c r="B19" s="170">
        <f>Returns!C19</f>
        <v>2.3057028013401482E-2</v>
      </c>
      <c r="C19" s="106">
        <f>'Benchmark finished'!F18</f>
        <v>-1.0892185926841699E-2</v>
      </c>
      <c r="D19" s="207"/>
      <c r="E19" s="135">
        <f>Returns!U19</f>
        <v>0.10015458760346996</v>
      </c>
      <c r="F19" s="106"/>
      <c r="G19" s="738">
        <f>Costs!BB18/USD!CP19</f>
        <v>5.3297137625085347E-5</v>
      </c>
      <c r="H19" s="427" t="str">
        <f>Costs!AD19</f>
        <v>2013 </v>
      </c>
      <c r="I19" s="200">
        <f>Returns!Q20</f>
        <v>0.11288722059316991</v>
      </c>
      <c r="J19" s="107">
        <f>'Benchmark finished'!K27</f>
        <v>5.0926291186446981E-2</v>
      </c>
      <c r="K19" s="738">
        <f>Costs!AE19/USD!AV20</f>
        <v>7.1178579030453373E-3</v>
      </c>
    </row>
    <row r="20" spans="1:18">
      <c r="A20" s="337" t="str">
        <f>Costs!A19</f>
        <v>1Q2002</v>
      </c>
      <c r="B20" s="170">
        <f>Returns!C20</f>
        <v>-5.245273836852693E-3</v>
      </c>
      <c r="C20" s="106">
        <f>'Benchmark finished'!F19</f>
        <v>-4.7056878782568345E-3</v>
      </c>
      <c r="D20" s="207"/>
      <c r="E20" s="135">
        <f>Returns!U20</f>
        <v>1.8955222109689585E-2</v>
      </c>
      <c r="F20" s="106"/>
      <c r="G20" s="738">
        <f>Costs!BB19/USD!CP20</f>
        <v>5.7020608157319229E-5</v>
      </c>
      <c r="H20" s="427" t="str">
        <f>Costs!AD20</f>
        <v>2014 </v>
      </c>
      <c r="I20" s="200">
        <f>Returns!Q21</f>
        <v>1.2030714726396496E-3</v>
      </c>
      <c r="J20" s="107">
        <f>'Benchmark finished'!K28</f>
        <v>-1.8949595112035311E-2</v>
      </c>
      <c r="K20" s="738">
        <f>Costs!AE20/USD!AV21</f>
        <v>5.6900750780276366E-3</v>
      </c>
    </row>
    <row r="21" spans="1:18">
      <c r="A21" s="337" t="str">
        <f>Costs!A20</f>
        <v>2Q2002</v>
      </c>
      <c r="B21" s="170">
        <f>Returns!C21</f>
        <v>4.5141183052912703E-2</v>
      </c>
      <c r="C21" s="106">
        <f>'Benchmark finished'!F20</f>
        <v>6.444796175305445E-2</v>
      </c>
      <c r="D21" s="207"/>
      <c r="E21" s="135">
        <f>Returns!U21</f>
        <v>-7.1275491553524195E-2</v>
      </c>
      <c r="F21" s="106"/>
      <c r="G21" s="738">
        <f>Costs!BB20/USD!CP21</f>
        <v>4.9867415951198895E-5</v>
      </c>
      <c r="H21" s="427">
        <f>Costs!AD21</f>
        <v>2015</v>
      </c>
      <c r="I21" s="200">
        <f>Returns!Q22</f>
        <v>-7.6315985326085078E-2</v>
      </c>
      <c r="J21" s="107">
        <f>'Benchmark finished'!K29</f>
        <v>-3.8492308601901004E-2</v>
      </c>
      <c r="K21" s="738">
        <f>Costs!AE21/USD!AV22</f>
        <v>4.3816444020515046E-3</v>
      </c>
    </row>
    <row r="22" spans="1:18">
      <c r="A22" s="337" t="str">
        <f>Costs!A21</f>
        <v>3Q2002</v>
      </c>
      <c r="B22" s="170">
        <f>Returns!C22</f>
        <v>-5.1110678966358347E-2</v>
      </c>
      <c r="C22" s="106">
        <f>'Benchmark finished'!F21</f>
        <v>1.350900088547391E-2</v>
      </c>
      <c r="D22" s="207"/>
      <c r="E22" s="135">
        <f>Returns!U22</f>
        <v>-0.19002639054591275</v>
      </c>
      <c r="F22" s="106"/>
      <c r="G22" s="738">
        <f>Costs!BB21/USD!CP22</f>
        <v>5.2030412214891339E-5</v>
      </c>
      <c r="H22" s="427">
        <f>Costs!AD22</f>
        <v>2016</v>
      </c>
      <c r="I22" s="201">
        <f>Returns!Q23</f>
        <v>5.2595179534525194E-2</v>
      </c>
      <c r="J22" s="191">
        <f>'Benchmark finished'!K30</f>
        <v>-2.1188963880102829E-2</v>
      </c>
      <c r="K22" s="739">
        <f>Costs!AE22/USD!AV23</f>
        <v>4.1834344075012938E-3</v>
      </c>
      <c r="R22" s="4"/>
    </row>
    <row r="23" spans="1:18">
      <c r="A23" s="337" t="str">
        <f>Costs!A22</f>
        <v>4Q2002</v>
      </c>
      <c r="B23" s="170">
        <f>Returns!C23</f>
        <v>6.1876489349170782E-2</v>
      </c>
      <c r="C23" s="106">
        <f>'Benchmark finished'!F22</f>
        <v>1.2650736686892206E-2</v>
      </c>
      <c r="D23" s="207"/>
      <c r="E23" s="135">
        <f>Returns!U23</f>
        <v>6.167922556828298E-2</v>
      </c>
      <c r="F23" s="106"/>
      <c r="G23" s="738">
        <f>Costs!BB22/USD!CP23</f>
        <v>3.2518418161059609E-6</v>
      </c>
      <c r="I23" s="31"/>
      <c r="J23" s="31"/>
      <c r="K23" s="31"/>
      <c r="L23" s="31"/>
      <c r="M23" s="31"/>
      <c r="N23" s="31"/>
      <c r="O23" s="31"/>
      <c r="P23" s="31"/>
      <c r="Q23" s="31"/>
      <c r="R23" s="4"/>
    </row>
    <row r="24" spans="1:18" ht="15.75" thickBot="1">
      <c r="A24" s="337" t="str">
        <f>Costs!A23</f>
        <v>1Q2003</v>
      </c>
      <c r="B24" s="170">
        <f>Returns!C24</f>
        <v>-5.2966055573544502E-4</v>
      </c>
      <c r="C24" s="106">
        <f>'Benchmark finished'!F23</f>
        <v>1.4716472029884412E-2</v>
      </c>
      <c r="D24" s="207"/>
      <c r="E24" s="135">
        <f>Returns!U24</f>
        <v>5.0637176272201323E-3</v>
      </c>
      <c r="F24" s="106"/>
      <c r="G24" s="738">
        <f>Costs!BB23/USD!CP24</f>
        <v>1.5942483977246159E-5</v>
      </c>
      <c r="I24" s="31"/>
      <c r="J24" s="31"/>
      <c r="K24" s="31"/>
      <c r="L24" s="31"/>
      <c r="M24" s="31"/>
      <c r="N24" s="31"/>
      <c r="O24" s="31"/>
      <c r="P24" s="31"/>
      <c r="Q24" s="31"/>
      <c r="R24" s="4"/>
    </row>
    <row r="25" spans="1:18" ht="26.25">
      <c r="A25" s="337" t="str">
        <f>Costs!A24</f>
        <v>2Q2003</v>
      </c>
      <c r="B25" s="170">
        <f>Returns!C25</f>
        <v>0.10705794985463957</v>
      </c>
      <c r="C25" s="106">
        <f>'Benchmark finished'!F24</f>
        <v>4.0582151535311806E-2</v>
      </c>
      <c r="D25" s="207"/>
      <c r="E25" s="135">
        <f>Returns!U25</f>
        <v>0.18159377191792281</v>
      </c>
      <c r="F25" s="106"/>
      <c r="G25" s="738">
        <f>Costs!BB24/USD!CP25</f>
        <v>2.0993763102878187E-5</v>
      </c>
      <c r="I25" s="160" t="s">
        <v>839</v>
      </c>
      <c r="J25" s="161"/>
      <c r="K25" s="161"/>
      <c r="L25" s="161"/>
      <c r="M25" s="161" t="s">
        <v>820</v>
      </c>
      <c r="N25" s="161"/>
      <c r="O25" s="161"/>
      <c r="P25" s="161"/>
      <c r="Q25" s="95"/>
      <c r="R25" s="4"/>
    </row>
    <row r="26" spans="1:18" ht="15.75" thickBot="1">
      <c r="A26" s="337" t="str">
        <f>Costs!A25</f>
        <v>3Q2003</v>
      </c>
      <c r="B26" s="170">
        <f>Returns!C26</f>
        <v>3.0902312267568233E-2</v>
      </c>
      <c r="C26" s="106">
        <f>'Benchmark finished'!F25</f>
        <v>-2.07356055674787E-2</v>
      </c>
      <c r="D26" s="207"/>
      <c r="E26" s="135">
        <f>Returns!U26</f>
        <v>6.3240014772481867E-2</v>
      </c>
      <c r="F26" s="106"/>
      <c r="G26" s="738">
        <f>Costs!BB25/USD!CP26</f>
        <v>3.0316233082355726E-5</v>
      </c>
      <c r="I26" s="96"/>
      <c r="J26" s="4"/>
      <c r="K26" s="4"/>
      <c r="L26" s="4"/>
      <c r="M26" s="4"/>
      <c r="N26" s="4"/>
      <c r="O26" s="4"/>
      <c r="P26" s="4"/>
      <c r="Q26" s="97"/>
      <c r="R26" s="4"/>
    </row>
    <row r="27" spans="1:18">
      <c r="A27" s="337" t="str">
        <f>Costs!A26</f>
        <v>4Q2003</v>
      </c>
      <c r="B27" s="170">
        <f>Returns!C27</f>
        <v>9.5111174528623721E-2</v>
      </c>
      <c r="C27" s="106">
        <f>'Benchmark finished'!F26</f>
        <v>2.325122655514042E-2</v>
      </c>
      <c r="D27" s="207"/>
      <c r="E27" s="135">
        <f>Returns!U27</f>
        <v>0.14551596282400214</v>
      </c>
      <c r="F27" s="106"/>
      <c r="G27" s="738">
        <f>Costs!BB26/USD!CP27</f>
        <v>3.4430182726219803E-5</v>
      </c>
      <c r="I27" s="162" t="s">
        <v>431</v>
      </c>
      <c r="J27" s="159"/>
      <c r="K27" s="4"/>
      <c r="L27" s="4"/>
      <c r="M27" s="4"/>
      <c r="N27" s="4"/>
      <c r="O27" s="4"/>
      <c r="P27" s="4"/>
      <c r="Q27" s="97"/>
      <c r="R27" s="4"/>
    </row>
    <row r="28" spans="1:18">
      <c r="A28" s="337" t="str">
        <f>Costs!A27</f>
        <v>1Q2004</v>
      </c>
      <c r="B28" s="170">
        <f>Returns!C28</f>
        <v>2.4189732235217587E-2</v>
      </c>
      <c r="C28" s="106">
        <f>'Benchmark finished'!F27</f>
        <v>1.202258868088113E-3</v>
      </c>
      <c r="D28" s="207"/>
      <c r="E28" s="135">
        <f>Returns!U28</f>
        <v>2.637835759038154E-2</v>
      </c>
      <c r="F28" s="106"/>
      <c r="G28" s="738">
        <f>Costs!BB27/USD!CP28</f>
        <v>8.2330910702492862E-5</v>
      </c>
      <c r="I28" s="163" t="s">
        <v>432</v>
      </c>
      <c r="J28" s="156">
        <v>1.3301653314870902E-2</v>
      </c>
      <c r="K28" s="4"/>
      <c r="L28" s="4"/>
      <c r="M28" s="4"/>
      <c r="N28" s="4"/>
      <c r="O28" s="4"/>
      <c r="P28" s="4"/>
      <c r="Q28" s="97"/>
      <c r="R28" s="4"/>
    </row>
    <row r="29" spans="1:18">
      <c r="A29" s="337" t="str">
        <f>Costs!A28</f>
        <v>2Q2004</v>
      </c>
      <c r="B29" s="170">
        <f>Returns!C29</f>
        <v>-1.2056496529350924E-2</v>
      </c>
      <c r="C29" s="106">
        <f>'Benchmark finished'!F28</f>
        <v>-1.6630139194508672E-2</v>
      </c>
      <c r="D29" s="207"/>
      <c r="E29" s="135">
        <f>Returns!U29</f>
        <v>-1.2189037888511112E-2</v>
      </c>
      <c r="F29" s="106"/>
      <c r="G29" s="738">
        <f>Costs!BB28/USD!CP29</f>
        <v>4.0949121785651778E-5</v>
      </c>
      <c r="I29" s="743" t="s">
        <v>433</v>
      </c>
      <c r="J29" s="744">
        <v>1.7693398090901604E-4</v>
      </c>
      <c r="K29" s="745"/>
      <c r="L29" s="745">
        <f>SQRT(J29)</f>
        <v>1.3301653314870902E-2</v>
      </c>
      <c r="M29" s="4"/>
      <c r="N29" s="4"/>
      <c r="O29" s="4"/>
      <c r="P29" s="4"/>
      <c r="Q29" s="97"/>
      <c r="R29" s="4"/>
    </row>
    <row r="30" spans="1:18">
      <c r="A30" s="337" t="str">
        <f>Costs!A29</f>
        <v>3Q2004</v>
      </c>
      <c r="B30" s="170">
        <f>Returns!C30</f>
        <v>2.298277123658643E-2</v>
      </c>
      <c r="C30" s="106">
        <f>'Benchmark finished'!F29</f>
        <v>2.0858547564377092E-2</v>
      </c>
      <c r="D30" s="207"/>
      <c r="E30" s="135">
        <f>Returns!U30</f>
        <v>6.3910152325288516E-2</v>
      </c>
      <c r="F30" s="106"/>
      <c r="G30" s="738">
        <f>Costs!BB29/USD!CP30</f>
        <v>6.5170511351775919E-5</v>
      </c>
      <c r="I30" s="163" t="s">
        <v>434</v>
      </c>
      <c r="J30" s="156">
        <v>-2.613419933538285E-2</v>
      </c>
      <c r="K30" s="4"/>
      <c r="L30" s="4"/>
      <c r="M30" s="4"/>
      <c r="N30" s="4"/>
      <c r="O30" s="4"/>
      <c r="P30" s="4"/>
      <c r="Q30" s="97"/>
      <c r="R30" s="4"/>
    </row>
    <row r="31" spans="1:18">
      <c r="A31" s="337" t="str">
        <f>Costs!A30</f>
        <v>4Q2004</v>
      </c>
      <c r="B31" s="170">
        <f>Returns!C31</f>
        <v>0.1029058136070462</v>
      </c>
      <c r="C31" s="106">
        <f>'Benchmark finished'!F30</f>
        <v>4.2937854365608284E-2</v>
      </c>
      <c r="D31" s="207"/>
      <c r="E31" s="135">
        <f>Returns!U31</f>
        <v>0.12879379248009437</v>
      </c>
      <c r="F31" s="106"/>
      <c r="G31" s="738">
        <f>Costs!BB30/USD!CP31</f>
        <v>1.2650356622337882E-4</v>
      </c>
      <c r="I31" s="163" t="s">
        <v>435</v>
      </c>
      <c r="J31" s="156">
        <v>6.8727874882057463E-2</v>
      </c>
      <c r="K31" s="4"/>
      <c r="L31" s="4"/>
      <c r="M31" s="4"/>
      <c r="N31" s="4"/>
      <c r="O31" s="4"/>
      <c r="P31" s="4"/>
      <c r="Q31" s="97"/>
      <c r="R31" s="4"/>
    </row>
    <row r="32" spans="1:18" ht="15.75" thickBot="1">
      <c r="A32" s="337" t="str">
        <f>Costs!A31</f>
        <v>1Q2005</v>
      </c>
      <c r="B32" s="170">
        <f>Returns!C32</f>
        <v>-1.4334479444104931E-2</v>
      </c>
      <c r="C32" s="106">
        <f>'Benchmark finished'!F31</f>
        <v>-2.1897401046334728E-3</v>
      </c>
      <c r="D32" s="207"/>
      <c r="E32" s="135">
        <f>Returns!U32</f>
        <v>1.7758504367298755E-2</v>
      </c>
      <c r="F32" s="106"/>
      <c r="G32" s="738">
        <f>Costs!BB31/USD!CP32</f>
        <v>1.6678363826927748E-4</v>
      </c>
      <c r="I32" s="164" t="s">
        <v>436</v>
      </c>
      <c r="J32" s="157">
        <v>40</v>
      </c>
      <c r="K32" s="4"/>
      <c r="L32" s="4"/>
      <c r="M32" s="4"/>
      <c r="N32" s="4"/>
      <c r="O32" s="4"/>
      <c r="P32" s="4"/>
      <c r="Q32" s="97"/>
      <c r="R32" s="4"/>
    </row>
    <row r="33" spans="1:18">
      <c r="A33" s="337" t="str">
        <f>Costs!A32</f>
        <v>2Q2005</v>
      </c>
      <c r="B33" s="170">
        <f>Returns!C33</f>
        <v>-9.180332122891155E-4</v>
      </c>
      <c r="C33" s="106">
        <f>'Benchmark finished'!F32</f>
        <v>-5.8672565839002488E-3</v>
      </c>
      <c r="D33" s="207"/>
      <c r="E33" s="135">
        <f>Returns!U33</f>
        <v>2.4132479262439333E-2</v>
      </c>
      <c r="F33" s="106"/>
      <c r="G33" s="738">
        <f>Costs!BB32/USD!CP33</f>
        <v>1.1720131197165891E-4</v>
      </c>
      <c r="I33" s="96"/>
      <c r="J33" s="4"/>
      <c r="K33" s="4"/>
      <c r="L33" s="4"/>
      <c r="M33" s="4"/>
      <c r="N33" s="4"/>
      <c r="O33" s="4"/>
      <c r="P33" s="4"/>
      <c r="Q33" s="97"/>
      <c r="R33" s="4"/>
    </row>
    <row r="34" spans="1:18" ht="15.75" thickBot="1">
      <c r="A34" s="337" t="str">
        <f>Costs!A33</f>
        <v>3Q2005</v>
      </c>
      <c r="B34" s="170">
        <f>Returns!C34</f>
        <v>2.8312557165798058E-2</v>
      </c>
      <c r="C34" s="106">
        <f>'Benchmark finished'!F33</f>
        <v>3.8798247114433804E-3</v>
      </c>
      <c r="D34" s="207"/>
      <c r="E34" s="135">
        <f>Returns!U34</f>
        <v>0.11455705560983542</v>
      </c>
      <c r="F34" s="106"/>
      <c r="G34" s="738">
        <f>Costs!BB33/USD!CP34</f>
        <v>2.1720479431941846E-4</v>
      </c>
      <c r="I34" s="96" t="s">
        <v>437</v>
      </c>
      <c r="J34" s="4"/>
      <c r="K34" s="4"/>
      <c r="L34" s="4"/>
      <c r="M34" s="4"/>
      <c r="N34" s="4"/>
      <c r="O34" s="4"/>
      <c r="P34" s="4"/>
      <c r="Q34" s="97"/>
      <c r="R34" s="4"/>
    </row>
    <row r="35" spans="1:18">
      <c r="A35" s="337" t="str">
        <f>Costs!A34</f>
        <v>4Q2005</v>
      </c>
      <c r="B35" s="170">
        <f>Returns!C35</f>
        <v>9.4819269561665642E-3</v>
      </c>
      <c r="C35" s="106">
        <f>'Benchmark finished'!F34</f>
        <v>-9.5084381518518724E-3</v>
      </c>
      <c r="D35" s="207"/>
      <c r="E35" s="135">
        <f>Returns!U35</f>
        <v>2.0268018383834407E-2</v>
      </c>
      <c r="F35" s="100"/>
      <c r="G35" s="738">
        <f>Costs!BB34/USD!CP35</f>
        <v>6.447784026910519E-5</v>
      </c>
      <c r="I35" s="165"/>
      <c r="J35" s="158" t="s">
        <v>441</v>
      </c>
      <c r="K35" s="158" t="s">
        <v>442</v>
      </c>
      <c r="L35" s="158" t="s">
        <v>443</v>
      </c>
      <c r="M35" s="158" t="s">
        <v>444</v>
      </c>
      <c r="N35" s="158" t="s">
        <v>445</v>
      </c>
      <c r="O35" s="4"/>
      <c r="P35" s="4"/>
      <c r="Q35" s="97"/>
      <c r="R35" s="4"/>
    </row>
    <row r="36" spans="1:18">
      <c r="A36" s="337" t="str">
        <f>Costs!A35</f>
        <v>1Q2006</v>
      </c>
      <c r="B36" s="170">
        <f>Returns!C36</f>
        <v>3.4367718014040927E-2</v>
      </c>
      <c r="C36" s="106">
        <f>'Benchmark finished'!F35</f>
        <v>1.2263509738140051E-2</v>
      </c>
      <c r="D36" s="207"/>
      <c r="E36" s="135">
        <f>Returns!U36</f>
        <v>4.8599452797525089E-2</v>
      </c>
      <c r="F36" s="106">
        <f>'Benchmark finished'!H35</f>
        <v>4.8676143491861654E-3</v>
      </c>
      <c r="G36" s="738">
        <f>Costs!BB35/USD!CP36</f>
        <v>6.313299573560766E-5</v>
      </c>
      <c r="I36" s="163" t="s">
        <v>430</v>
      </c>
      <c r="J36" s="156">
        <v>1</v>
      </c>
      <c r="K36" s="156">
        <v>3.176417094968853E-5</v>
      </c>
      <c r="L36" s="156">
        <v>3.176417094968853E-5</v>
      </c>
      <c r="M36" s="156">
        <v>6.7246810991398245E-3</v>
      </c>
      <c r="N36" s="156">
        <v>0.93507383728391757</v>
      </c>
      <c r="O36" s="4"/>
      <c r="P36" s="4"/>
      <c r="Q36" s="97"/>
      <c r="R36" s="4"/>
    </row>
    <row r="37" spans="1:18">
      <c r="A37" s="337" t="str">
        <f>Costs!A36</f>
        <v>2Q2006</v>
      </c>
      <c r="B37" s="170">
        <f>Returns!C37</f>
        <v>1.9907051977573698E-2</v>
      </c>
      <c r="C37" s="106">
        <f>'Benchmark finished'!F36</f>
        <v>2.5363385136295557E-2</v>
      </c>
      <c r="D37" s="207"/>
      <c r="E37" s="135">
        <f>Returns!U37</f>
        <v>1.9213886449635842E-2</v>
      </c>
      <c r="F37" s="106">
        <f>'Benchmark finished'!H36</f>
        <v>2.5517927832558861E-2</v>
      </c>
      <c r="G37" s="738">
        <f>Costs!BB36/USD!CP37</f>
        <v>7.405291609804607E-5</v>
      </c>
      <c r="I37" s="163" t="s">
        <v>438</v>
      </c>
      <c r="J37" s="156">
        <v>38</v>
      </c>
      <c r="K37" s="156">
        <v>0.17949378986054229</v>
      </c>
      <c r="L37" s="156">
        <v>4.7235207858037443E-3</v>
      </c>
      <c r="M37" s="156"/>
      <c r="N37" s="156"/>
      <c r="O37" s="4"/>
      <c r="P37" s="4"/>
      <c r="Q37" s="97"/>
      <c r="R37" s="4"/>
    </row>
    <row r="38" spans="1:18" ht="15.75" thickBot="1">
      <c r="A38" s="337" t="str">
        <f>Costs!A37</f>
        <v>3Q2006</v>
      </c>
      <c r="B38" s="170">
        <f>Returns!C38</f>
        <v>3.3788384235323488E-2</v>
      </c>
      <c r="C38" s="106">
        <f>'Benchmark finished'!F37</f>
        <v>1.5916951290794006E-2</v>
      </c>
      <c r="D38" s="207"/>
      <c r="E38" s="135">
        <f>Returns!U38</f>
        <v>3.5713599517874117E-2</v>
      </c>
      <c r="F38" s="106">
        <f>'Benchmark finished'!H37</f>
        <v>8.0475209830137041E-3</v>
      </c>
      <c r="G38" s="738">
        <f>Costs!BB37/USD!CP38</f>
        <v>0</v>
      </c>
      <c r="I38" s="164" t="s">
        <v>439</v>
      </c>
      <c r="J38" s="157">
        <v>39</v>
      </c>
      <c r="K38" s="157">
        <v>0.17952555403149198</v>
      </c>
      <c r="L38" s="157"/>
      <c r="M38" s="157"/>
      <c r="N38" s="157"/>
      <c r="O38" s="4"/>
      <c r="P38" s="4"/>
      <c r="Q38" s="97"/>
      <c r="R38" s="4"/>
    </row>
    <row r="39" spans="1:18" ht="15.75" thickBot="1">
      <c r="A39" s="337" t="str">
        <f>Costs!A38</f>
        <v>4Q2006</v>
      </c>
      <c r="B39" s="170">
        <f>Returns!C39</f>
        <v>5.5911078756500698E-2</v>
      </c>
      <c r="C39" s="106">
        <f>'Benchmark finished'!F38</f>
        <v>2.622481754318156E-2</v>
      </c>
      <c r="D39" s="199"/>
      <c r="E39" s="135">
        <f>Returns!U39</f>
        <v>4.1280551036863455E-2</v>
      </c>
      <c r="F39" s="106">
        <f>'Benchmark finished'!H38</f>
        <v>-1.2147123434780138E-2</v>
      </c>
      <c r="G39" s="738">
        <f>Costs!BB38/USD!CP39</f>
        <v>5.457423004857107E-5</v>
      </c>
      <c r="I39" s="96"/>
      <c r="J39" s="4"/>
      <c r="K39" s="4"/>
      <c r="L39" s="4"/>
      <c r="M39" s="4"/>
      <c r="N39" s="4"/>
      <c r="O39" s="4"/>
      <c r="P39" s="4"/>
      <c r="Q39" s="97"/>
      <c r="R39" s="4"/>
    </row>
    <row r="40" spans="1:18">
      <c r="A40" s="337" t="str">
        <f>Costs!A39</f>
        <v>1Q2007</v>
      </c>
      <c r="B40" s="170">
        <f>Returns!C40</f>
        <v>1.9291200062115932E-2</v>
      </c>
      <c r="C40" s="106">
        <f>'Benchmark finished'!F39</f>
        <v>5.3646565240346739E-3</v>
      </c>
      <c r="D40" s="738">
        <f>Costs!B39/USD!L40</f>
        <v>7.839038817622486E-5</v>
      </c>
      <c r="E40" s="135">
        <f>Returns!U40</f>
        <v>3.2935751825010851E-2</v>
      </c>
      <c r="F40" s="106">
        <f>'Benchmark finished'!H39</f>
        <v>1.2617618575628806E-2</v>
      </c>
      <c r="G40" s="738">
        <f>Costs!BB39/USD!CP40</f>
        <v>1.0003417834426762E-4</v>
      </c>
      <c r="I40" s="165"/>
      <c r="J40" s="158" t="s">
        <v>446</v>
      </c>
      <c r="K40" s="158" t="s">
        <v>435</v>
      </c>
      <c r="L40" s="158" t="s">
        <v>447</v>
      </c>
      <c r="M40" s="158" t="s">
        <v>448</v>
      </c>
      <c r="N40" s="158" t="s">
        <v>449</v>
      </c>
      <c r="O40" s="158" t="s">
        <v>450</v>
      </c>
      <c r="P40" s="158" t="s">
        <v>462</v>
      </c>
      <c r="Q40" s="166" t="s">
        <v>463</v>
      </c>
      <c r="R40" s="536"/>
    </row>
    <row r="41" spans="1:18">
      <c r="A41" s="337" t="str">
        <f>Costs!A40</f>
        <v>2Q2007</v>
      </c>
      <c r="B41" s="170">
        <f>Returns!C41</f>
        <v>3.0912484490987158E-2</v>
      </c>
      <c r="C41" s="106">
        <f>'Benchmark finished'!F40</f>
        <v>6.5228467720664929E-3</v>
      </c>
      <c r="D41" s="738">
        <f>Costs!B40/USD!L41</f>
        <v>9.8993324363660056E-5</v>
      </c>
      <c r="E41" s="135">
        <f>Returns!U41</f>
        <v>9.1719356240153926E-2</v>
      </c>
      <c r="F41" s="106">
        <f>'Benchmark finished'!H40</f>
        <v>4.9086194946907843E-2</v>
      </c>
      <c r="G41" s="738">
        <f>Costs!BB40/USD!CP41</f>
        <v>4.674478956785248E-4</v>
      </c>
      <c r="I41" s="163" t="s">
        <v>440</v>
      </c>
      <c r="J41" s="156">
        <v>1.1926887003061364E-2</v>
      </c>
      <c r="K41" s="156">
        <v>2.017117678532182E-2</v>
      </c>
      <c r="L41" s="156">
        <v>0.59128364844535652</v>
      </c>
      <c r="M41" s="156">
        <v>0.55783155861004707</v>
      </c>
      <c r="N41" s="156">
        <v>-2.8907525560380749E-2</v>
      </c>
      <c r="O41" s="156">
        <v>5.2761299566503481E-2</v>
      </c>
      <c r="P41" s="156">
        <v>-2.8907525560380749E-2</v>
      </c>
      <c r="Q41" s="167">
        <v>5.2761299566503481E-2</v>
      </c>
      <c r="R41" s="156"/>
    </row>
    <row r="42" spans="1:18" ht="15.75" thickBot="1">
      <c r="A42" s="337" t="str">
        <f>Costs!A41</f>
        <v>3Q2007</v>
      </c>
      <c r="B42" s="170">
        <f>Returns!C42</f>
        <v>4.127613941639674E-2</v>
      </c>
      <c r="C42" s="106">
        <f>'Benchmark finished'!F41</f>
        <v>1.9762422876287315E-2</v>
      </c>
      <c r="D42" s="738">
        <f>Costs!B41/USD!L42</f>
        <v>9.1139735085911841E-5</v>
      </c>
      <c r="E42" s="135">
        <f>Returns!U42</f>
        <v>6.9658483848700214E-2</v>
      </c>
      <c r="F42" s="106">
        <f>'Benchmark finished'!H41</f>
        <v>4.8243624263581669E-2</v>
      </c>
      <c r="G42" s="738">
        <f>Costs!BB41/USD!CP42</f>
        <v>4.3037645759573848E-4</v>
      </c>
      <c r="I42" s="164" t="s">
        <v>451</v>
      </c>
      <c r="J42" s="746">
        <v>-19.099847011663229</v>
      </c>
      <c r="K42" s="157">
        <v>232.91316753200402</v>
      </c>
      <c r="L42" s="746">
        <v>-8.2004152938406821E-2</v>
      </c>
      <c r="M42" s="746">
        <v>0.93507383728388971</v>
      </c>
      <c r="N42" s="157">
        <v>-490.60790406170315</v>
      </c>
      <c r="O42" s="157">
        <v>452.40821003837675</v>
      </c>
      <c r="P42" s="157">
        <v>-490.60790406170315</v>
      </c>
      <c r="Q42" s="168">
        <v>452.40821003837675</v>
      </c>
      <c r="R42" s="156"/>
    </row>
    <row r="43" spans="1:18" ht="15.75" thickBot="1">
      <c r="A43" s="337" t="str">
        <f>Costs!A42</f>
        <v>4Q2007</v>
      </c>
      <c r="B43" s="170">
        <f>Returns!C43</f>
        <v>3.3261828811859129E-3</v>
      </c>
      <c r="C43" s="106">
        <f>'Benchmark finished'!F42</f>
        <v>1.9095119979870522E-2</v>
      </c>
      <c r="D43" s="738">
        <f>Costs!B42/USD!L43</f>
        <v>8.4159410776406778E-5</v>
      </c>
      <c r="E43" s="135">
        <f>Returns!U43</f>
        <v>5.6262127754271862E-3</v>
      </c>
      <c r="F43" s="106">
        <f>'Benchmark finished'!H42</f>
        <v>2.2559227965668848E-2</v>
      </c>
      <c r="G43" s="738">
        <f>Costs!BB42/USD!CP43</f>
        <v>3.3695491378885251E-4</v>
      </c>
      <c r="R43" s="4"/>
    </row>
    <row r="44" spans="1:18" ht="26.25">
      <c r="A44" s="337" t="str">
        <f>Costs!A43</f>
        <v>1Q2008</v>
      </c>
      <c r="B44" s="170">
        <f>Returns!C44</f>
        <v>-2.0625818795430351E-2</v>
      </c>
      <c r="C44" s="106">
        <f>'Benchmark finished'!F43</f>
        <v>2.5928833775121306E-2</v>
      </c>
      <c r="D44" s="738">
        <f>Costs!B43/USD!L44</f>
        <v>8.1659593689375695E-5</v>
      </c>
      <c r="E44" s="135">
        <f>Returns!U44</f>
        <v>-4.5829365225037222E-2</v>
      </c>
      <c r="F44" s="106">
        <f>'Benchmark finished'!H43</f>
        <v>6.0881750597270717E-3</v>
      </c>
      <c r="G44" s="738">
        <f>Costs!BB43/USD!CP44</f>
        <v>6.1970667217517048E-4</v>
      </c>
      <c r="I44" s="160" t="s">
        <v>839</v>
      </c>
      <c r="J44" s="161"/>
      <c r="K44" s="161"/>
      <c r="L44" s="161"/>
      <c r="M44" s="161" t="s">
        <v>821</v>
      </c>
      <c r="N44" s="161"/>
      <c r="O44" s="161"/>
      <c r="P44" s="161"/>
      <c r="Q44" s="95"/>
      <c r="R44" s="4"/>
    </row>
    <row r="45" spans="1:18" ht="15.75" thickBot="1">
      <c r="A45" s="337" t="str">
        <f>Costs!A44</f>
        <v>2Q2008</v>
      </c>
      <c r="B45" s="170">
        <f>Returns!C45</f>
        <v>-2.5879253267910962E-2</v>
      </c>
      <c r="C45" s="106">
        <f>'Benchmark finished'!F44</f>
        <v>-1.4852414624684288E-2</v>
      </c>
      <c r="D45" s="738">
        <f>Costs!B44/USD!L45</f>
        <v>6.0762291527861481E-5</v>
      </c>
      <c r="E45" s="135">
        <f>Returns!U45</f>
        <v>2.128369450351375E-2</v>
      </c>
      <c r="F45" s="106">
        <f>'Benchmark finished'!H44</f>
        <v>3.2796103033675979E-2</v>
      </c>
      <c r="G45" s="738">
        <f>Costs!BB44/USD!CP45</f>
        <v>5.4044974182569769E-4</v>
      </c>
      <c r="I45" s="96"/>
      <c r="J45" s="4"/>
      <c r="K45" s="4"/>
      <c r="L45" s="4"/>
      <c r="M45" s="4"/>
      <c r="N45" s="4"/>
      <c r="O45" s="4"/>
      <c r="P45" s="4"/>
      <c r="Q45" s="97"/>
      <c r="R45" s="4"/>
    </row>
    <row r="46" spans="1:18">
      <c r="A46" s="337" t="str">
        <f>Costs!A45</f>
        <v>3Q2008</v>
      </c>
      <c r="B46" s="170">
        <f>Returns!C46</f>
        <v>-0.13864006617802127</v>
      </c>
      <c r="C46" s="106">
        <f>'Benchmark finished'!F45</f>
        <v>-3.3451404042191213E-2</v>
      </c>
      <c r="D46" s="738">
        <f>Costs!B45/USD!L46</f>
        <v>8.2573889061904077E-5</v>
      </c>
      <c r="E46" s="135">
        <f>Returns!U46</f>
        <v>-0.13033058029439193</v>
      </c>
      <c r="F46" s="106">
        <f>'Benchmark finished'!H45</f>
        <v>-1.9092862980576039E-2</v>
      </c>
      <c r="G46" s="738">
        <f>Costs!BB45/USD!CP46</f>
        <v>7.6618270748846854E-4</v>
      </c>
      <c r="I46" s="162" t="s">
        <v>431</v>
      </c>
      <c r="J46" s="159"/>
      <c r="K46" s="4"/>
      <c r="L46" s="4"/>
      <c r="M46" s="4"/>
      <c r="N46" s="4"/>
      <c r="O46" s="4"/>
      <c r="P46" s="4"/>
      <c r="Q46" s="97"/>
      <c r="R46" s="4"/>
    </row>
    <row r="47" spans="1:18">
      <c r="A47" s="337" t="str">
        <f>Costs!A46</f>
        <v>4Q2008</v>
      </c>
      <c r="B47" s="170">
        <f>Returns!C47</f>
        <v>-0.12508377757422806</v>
      </c>
      <c r="C47" s="106">
        <f>'Benchmark finished'!F46</f>
        <v>-2.073482785638088E-2</v>
      </c>
      <c r="D47" s="738">
        <f>Costs!B46/USD!L47</f>
        <v>1.6646171034275542E-4</v>
      </c>
      <c r="E47" s="135">
        <f>Returns!U47</f>
        <v>-0.19893423402980126</v>
      </c>
      <c r="F47" s="106">
        <f>'Benchmark finished'!H46</f>
        <v>-7.9631205168800151E-2</v>
      </c>
      <c r="G47" s="738">
        <f>Costs!BB46/USD!CP47</f>
        <v>7.9862601975096614E-4</v>
      </c>
      <c r="I47" s="163" t="s">
        <v>432</v>
      </c>
      <c r="J47" s="156">
        <v>9.8134316232911328E-2</v>
      </c>
      <c r="K47" s="4"/>
      <c r="L47" s="4"/>
      <c r="M47" s="4"/>
      <c r="N47" s="4"/>
      <c r="O47" s="4"/>
      <c r="P47" s="4"/>
      <c r="Q47" s="97"/>
      <c r="R47" s="4"/>
    </row>
    <row r="48" spans="1:18">
      <c r="A48" s="337" t="str">
        <f>Costs!A47</f>
        <v>1Q2009</v>
      </c>
      <c r="B48" s="170">
        <f>Returns!C48</f>
        <v>-8.0771874950076206E-2</v>
      </c>
      <c r="C48" s="106">
        <f>'Benchmark finished'!F47</f>
        <v>-2.2604723255130237E-2</v>
      </c>
      <c r="D48" s="738">
        <f>Costs!B47/USD!L48</f>
        <v>1.9837664871037537E-4</v>
      </c>
      <c r="E48" s="135">
        <f>Returns!U48</f>
        <v>-7.6552374253544109E-2</v>
      </c>
      <c r="F48" s="106">
        <f>'Benchmark finished'!H47</f>
        <v>-1.7477048575006364E-2</v>
      </c>
      <c r="G48" s="738">
        <f>Costs!BB47/USD!CP48</f>
        <v>1.0401294383301034E-3</v>
      </c>
      <c r="I48" s="743" t="s">
        <v>433</v>
      </c>
      <c r="J48" s="744">
        <v>9.6303440225010452E-3</v>
      </c>
      <c r="K48" s="745"/>
      <c r="L48" s="745">
        <f>SQRT(J48)</f>
        <v>9.8134316232911328E-2</v>
      </c>
      <c r="M48" s="4"/>
      <c r="N48" s="4"/>
      <c r="O48" s="4"/>
      <c r="P48" s="4"/>
      <c r="Q48" s="97"/>
      <c r="R48" s="4"/>
    </row>
    <row r="49" spans="1:18">
      <c r="A49" s="337" t="str">
        <f>Costs!A48</f>
        <v>2Q2009</v>
      </c>
      <c r="B49" s="170">
        <f>Returns!C49</f>
        <v>0.17631546523322417</v>
      </c>
      <c r="C49" s="106">
        <f>'Benchmark finished'!F48</f>
        <v>4.1206493958979074E-2</v>
      </c>
      <c r="D49" s="738">
        <f>Costs!B48/USD!L49</f>
        <v>1.5894446993402594E-4</v>
      </c>
      <c r="E49" s="135">
        <f>Returns!U49</f>
        <v>0.15852803708430363</v>
      </c>
      <c r="F49" s="106">
        <f>'Benchmark finished'!H48</f>
        <v>6.132407522513289E-3</v>
      </c>
      <c r="G49" s="738">
        <f>Costs!BB48/USD!CP49</f>
        <v>7.7866136514247847E-4</v>
      </c>
      <c r="I49" s="163" t="s">
        <v>434</v>
      </c>
      <c r="J49" s="156">
        <v>-1.6432015345327875E-2</v>
      </c>
      <c r="K49" s="4"/>
      <c r="L49" s="4"/>
      <c r="M49" s="4"/>
      <c r="N49" s="4"/>
      <c r="O49" s="4"/>
      <c r="P49" s="4"/>
      <c r="Q49" s="97"/>
      <c r="R49" s="4"/>
    </row>
    <row r="50" spans="1:18">
      <c r="A50" s="337" t="str">
        <f>Costs!A49</f>
        <v>3Q2009</v>
      </c>
      <c r="B50" s="170">
        <f>Returns!C50</f>
        <v>0.16083524328588461</v>
      </c>
      <c r="C50" s="106">
        <f>'Benchmark finished'!F49</f>
        <v>3.6592485818580295E-2</v>
      </c>
      <c r="D50" s="738">
        <f>Costs!B49/USD!L50</f>
        <v>1.8805988790323178E-4</v>
      </c>
      <c r="E50" s="135">
        <f>Returns!U50</f>
        <v>0.1301428138880798</v>
      </c>
      <c r="F50" s="106">
        <f>'Benchmark finished'!H49</f>
        <v>-3.0232250294645324E-3</v>
      </c>
      <c r="G50" s="738">
        <f>Costs!BB49/USD!CP50</f>
        <v>1.0298580824354582E-3</v>
      </c>
      <c r="I50" s="163" t="s">
        <v>435</v>
      </c>
      <c r="J50" s="156">
        <v>1.9309413187769631E-2</v>
      </c>
      <c r="K50" s="4"/>
      <c r="L50" s="4"/>
      <c r="M50" s="4"/>
      <c r="N50" s="4"/>
      <c r="O50" s="4"/>
      <c r="P50" s="4"/>
      <c r="Q50" s="97"/>
      <c r="R50" s="4"/>
    </row>
    <row r="51" spans="1:18" ht="15.75" thickBot="1">
      <c r="A51" s="337" t="str">
        <f>Costs!A50</f>
        <v>4Q2009</v>
      </c>
      <c r="B51" s="170">
        <f>Returns!C51</f>
        <v>2.5822400485953079E-2</v>
      </c>
      <c r="C51" s="106">
        <f>'Benchmark finished'!F50</f>
        <v>1.1029937437323953E-2</v>
      </c>
      <c r="D51" s="738">
        <f>Costs!B50/USD!L51</f>
        <v>9.371776122714463E-5</v>
      </c>
      <c r="E51" s="135">
        <f>Returns!U51</f>
        <v>4.1309261057798752E-2</v>
      </c>
      <c r="F51" s="106">
        <f>'Benchmark finished'!H50</f>
        <v>2.1128529295948363E-2</v>
      </c>
      <c r="G51" s="738">
        <f>Costs!BB50/USD!CP51</f>
        <v>8.8319889951853938E-4</v>
      </c>
      <c r="I51" s="164" t="s">
        <v>436</v>
      </c>
      <c r="J51" s="157">
        <v>40</v>
      </c>
      <c r="K51" s="4"/>
      <c r="L51" s="4"/>
      <c r="M51" s="4"/>
      <c r="N51" s="4"/>
      <c r="O51" s="4"/>
      <c r="P51" s="4"/>
      <c r="Q51" s="97"/>
      <c r="R51" s="4"/>
    </row>
    <row r="52" spans="1:18">
      <c r="A52" s="337" t="str">
        <f>Costs!A51</f>
        <v>1Q2010</v>
      </c>
      <c r="B52" s="170">
        <f>Returns!C52</f>
        <v>1.0513750365447327E-2</v>
      </c>
      <c r="C52" s="106">
        <f>'Benchmark finished'!F51</f>
        <v>-1.6394655431654137E-2</v>
      </c>
      <c r="D52" s="738">
        <f>Costs!B51/USD!L52</f>
        <v>9.5540280756037298E-5</v>
      </c>
      <c r="E52" s="135">
        <f>Returns!U52</f>
        <v>4.1321314126054887E-2</v>
      </c>
      <c r="F52" s="106">
        <f>'Benchmark finished'!H51</f>
        <v>1.3652159570164937E-2</v>
      </c>
      <c r="G52" s="738">
        <f>Costs!BB51/USD!CP52</f>
        <v>9.6474502624562257E-4</v>
      </c>
      <c r="I52" s="96"/>
      <c r="J52" s="4"/>
      <c r="K52" s="4"/>
      <c r="L52" s="4"/>
      <c r="M52" s="4"/>
      <c r="N52" s="4"/>
      <c r="O52" s="4"/>
      <c r="P52" s="4"/>
      <c r="Q52" s="97"/>
      <c r="R52" s="4"/>
    </row>
    <row r="53" spans="1:18" ht="15.75" thickBot="1">
      <c r="A53" s="337" t="str">
        <f>Costs!A52</f>
        <v>2Q2010</v>
      </c>
      <c r="B53" s="170">
        <f>Returns!C53</f>
        <v>-8.961467897503006E-2</v>
      </c>
      <c r="C53" s="106">
        <f>'Benchmark finished'!F52</f>
        <v>-2.2222559821646268E-2</v>
      </c>
      <c r="D53" s="738">
        <f>Costs!B52/USD!L53</f>
        <v>1.1867677303098279E-4</v>
      </c>
      <c r="E53" s="135">
        <f>Returns!U53</f>
        <v>-5.8498736957299013E-2</v>
      </c>
      <c r="F53" s="106">
        <f>'Benchmark finished'!H52</f>
        <v>1.3622995096416707E-2</v>
      </c>
      <c r="G53" s="738">
        <f>Costs!BB52/USD!CP53</f>
        <v>7.722122395639971E-4</v>
      </c>
      <c r="I53" s="96" t="s">
        <v>437</v>
      </c>
      <c r="J53" s="4"/>
      <c r="K53" s="4"/>
      <c r="L53" s="4"/>
      <c r="M53" s="4"/>
      <c r="N53" s="4"/>
      <c r="O53" s="4"/>
      <c r="P53" s="4"/>
      <c r="Q53" s="97"/>
      <c r="R53" s="4"/>
    </row>
    <row r="54" spans="1:18">
      <c r="A54" s="337" t="str">
        <f>Costs!A53</f>
        <v>3Q2010</v>
      </c>
      <c r="B54" s="170">
        <f>Returns!C54</f>
        <v>0.13658222126528474</v>
      </c>
      <c r="C54" s="106">
        <f>'Benchmark finished'!F53</f>
        <v>4.2331588414038945E-2</v>
      </c>
      <c r="D54" s="738">
        <f>Costs!B53/USD!L54</f>
        <v>8.8969082938990062E-5</v>
      </c>
      <c r="E54" s="135">
        <f>Returns!U54</f>
        <v>0.10089503304817837</v>
      </c>
      <c r="F54" s="106">
        <f>'Benchmark finished'!H53</f>
        <v>-1.2208153978201519E-3</v>
      </c>
      <c r="G54" s="738">
        <f>Costs!BB53/USD!CP54</f>
        <v>8.0739462108135205E-4</v>
      </c>
      <c r="I54" s="165"/>
      <c r="J54" s="158" t="s">
        <v>441</v>
      </c>
      <c r="K54" s="158" t="s">
        <v>442</v>
      </c>
      <c r="L54" s="158" t="s">
        <v>443</v>
      </c>
      <c r="M54" s="158" t="s">
        <v>444</v>
      </c>
      <c r="N54" s="158" t="s">
        <v>445</v>
      </c>
      <c r="O54" s="4"/>
      <c r="P54" s="4"/>
      <c r="Q54" s="97"/>
      <c r="R54" s="4"/>
    </row>
    <row r="55" spans="1:18">
      <c r="A55" s="337" t="str">
        <f>Costs!A54</f>
        <v>4Q2010</v>
      </c>
      <c r="B55" s="170">
        <f>Returns!C55</f>
        <v>3.8307621655095936E-2</v>
      </c>
      <c r="C55" s="106">
        <f>'Benchmark finished'!F54</f>
        <v>-2.1458290310960769E-2</v>
      </c>
      <c r="D55" s="738">
        <f>Costs!B54/USD!L55</f>
        <v>1.3943600953918311E-4</v>
      </c>
      <c r="E55" s="135">
        <f>Returns!U55</f>
        <v>6.1231542828701802E-2</v>
      </c>
      <c r="F55" s="106">
        <f>'Benchmark finished'!H54</f>
        <v>-2.075290201975305E-3</v>
      </c>
      <c r="G55" s="738">
        <f>Costs!BB54/USD!CP55</f>
        <v>9.3669340290305559E-4</v>
      </c>
      <c r="I55" s="163" t="s">
        <v>430</v>
      </c>
      <c r="J55" s="156">
        <v>1</v>
      </c>
      <c r="K55" s="156">
        <v>1.3777366906512177E-4</v>
      </c>
      <c r="L55" s="156">
        <v>1.3777366906512177E-4</v>
      </c>
      <c r="M55" s="156">
        <v>0.36951159665109334</v>
      </c>
      <c r="N55" s="156">
        <v>0.54688666020324006</v>
      </c>
      <c r="O55" s="4"/>
      <c r="P55" s="4"/>
      <c r="Q55" s="97"/>
      <c r="R55" s="4"/>
    </row>
    <row r="56" spans="1:18">
      <c r="A56" s="337" t="str">
        <f>Costs!A55</f>
        <v>1Q2011</v>
      </c>
      <c r="B56" s="170">
        <f>Returns!C56</f>
        <v>4.5711627495188756E-2</v>
      </c>
      <c r="C56" s="106">
        <f>'Benchmark finished'!F55</f>
        <v>1.0343285657002335E-2</v>
      </c>
      <c r="D56" s="738">
        <f>Costs!B55/USD!L56</f>
        <v>4.8390246111093821E-5</v>
      </c>
      <c r="E56" s="135">
        <f>Returns!U56</f>
        <v>5.4915832433081624E-2</v>
      </c>
      <c r="F56" s="106">
        <f>'Benchmark finished'!H55</f>
        <v>1.8215185080264554E-2</v>
      </c>
      <c r="G56" s="738">
        <f>Costs!BB55/USD!CP56</f>
        <v>9.4109400555569974E-4</v>
      </c>
      <c r="I56" s="163" t="s">
        <v>438</v>
      </c>
      <c r="J56" s="156">
        <v>38</v>
      </c>
      <c r="K56" s="156">
        <v>1.4168430630928442E-2</v>
      </c>
      <c r="L56" s="156">
        <v>3.7285343765601167E-4</v>
      </c>
      <c r="M56" s="156"/>
      <c r="N56" s="156"/>
      <c r="O56" s="4"/>
      <c r="P56" s="4"/>
      <c r="Q56" s="97"/>
      <c r="R56" s="4"/>
    </row>
    <row r="57" spans="1:18" ht="15.75" thickBot="1">
      <c r="A57" s="337" t="str">
        <f>Costs!A56</f>
        <v>2Q2011</v>
      </c>
      <c r="B57" s="170">
        <f>Returns!C57</f>
        <v>1.6233376975580471E-2</v>
      </c>
      <c r="C57" s="106">
        <f>'Benchmark finished'!F56</f>
        <v>1.1752180933833971E-2</v>
      </c>
      <c r="D57" s="738">
        <f>Costs!B56/USD!L57</f>
        <v>7.2436749802343134E-5</v>
      </c>
      <c r="E57" s="135">
        <f>Returns!U57</f>
        <v>1.6048596239324642E-2</v>
      </c>
      <c r="F57" s="106">
        <f>'Benchmark finished'!H56</f>
        <v>1.1019066013207932E-2</v>
      </c>
      <c r="G57" s="738">
        <f>Costs!BB56/USD!CP57</f>
        <v>7.9759494447512115E-4</v>
      </c>
      <c r="I57" s="164" t="s">
        <v>439</v>
      </c>
      <c r="J57" s="157">
        <v>39</v>
      </c>
      <c r="K57" s="157">
        <v>1.4306204299993564E-2</v>
      </c>
      <c r="L57" s="157"/>
      <c r="M57" s="157"/>
      <c r="N57" s="157"/>
      <c r="O57" s="4"/>
      <c r="P57" s="4"/>
      <c r="Q57" s="97"/>
      <c r="R57" s="4"/>
    </row>
    <row r="58" spans="1:18" ht="15.75" thickBot="1">
      <c r="A58" s="337" t="str">
        <f>Costs!A57</f>
        <v>3Q2011</v>
      </c>
      <c r="B58" s="170">
        <f>Returns!C58</f>
        <v>-0.12665855641056489</v>
      </c>
      <c r="C58" s="106">
        <f>'Benchmark finished'!F57</f>
        <v>-7.771276469740504E-3</v>
      </c>
      <c r="D58" s="738">
        <f>Costs!B57/USD!L58</f>
        <v>8.4230266704432287E-5</v>
      </c>
      <c r="E58" s="135">
        <f>Returns!U58</f>
        <v>-8.1796735840098833E-2</v>
      </c>
      <c r="F58" s="106">
        <f>'Benchmark finished'!H57</f>
        <v>4.7450053871234965E-2</v>
      </c>
      <c r="G58" s="738">
        <f>Costs!BB57/USD!CP58</f>
        <v>9.4495339661657596E-4</v>
      </c>
      <c r="I58" s="96"/>
      <c r="J58" s="4"/>
      <c r="K58" s="4"/>
      <c r="L58" s="4"/>
      <c r="M58" s="4"/>
      <c r="N58" s="4"/>
      <c r="O58" s="4"/>
      <c r="P58" s="4"/>
      <c r="Q58" s="97"/>
      <c r="R58" s="4"/>
    </row>
    <row r="59" spans="1:18">
      <c r="A59" s="337" t="str">
        <f>Costs!A58</f>
        <v>4Q2011</v>
      </c>
      <c r="B59" s="170">
        <f>Returns!C59</f>
        <v>3.2227419324049267E-2</v>
      </c>
      <c r="C59" s="106">
        <f>'Benchmark finished'!F58</f>
        <v>-1.7189336776156763E-2</v>
      </c>
      <c r="D59" s="738">
        <f>Costs!B58/USD!L59</f>
        <v>5.7146122635579187E-5</v>
      </c>
      <c r="E59" s="135">
        <f>Returns!U59</f>
        <v>4.3758284463026431E-2</v>
      </c>
      <c r="F59" s="106">
        <f>'Benchmark finished'!H58</f>
        <v>-7.1603123750934167E-3</v>
      </c>
      <c r="G59" s="738">
        <f>Costs!BB58/USD!CP59</f>
        <v>7.9298210834118045E-4</v>
      </c>
      <c r="I59" s="165"/>
      <c r="J59" s="158" t="s">
        <v>446</v>
      </c>
      <c r="K59" s="158" t="s">
        <v>435</v>
      </c>
      <c r="L59" s="158" t="s">
        <v>447</v>
      </c>
      <c r="M59" s="158" t="s">
        <v>448</v>
      </c>
      <c r="N59" s="158" t="s">
        <v>449</v>
      </c>
      <c r="O59" s="158" t="s">
        <v>450</v>
      </c>
      <c r="P59" s="158" t="s">
        <v>462</v>
      </c>
      <c r="Q59" s="166" t="s">
        <v>463</v>
      </c>
      <c r="R59" s="536"/>
    </row>
    <row r="60" spans="1:18">
      <c r="A60" s="337" t="str">
        <f>Costs!A59</f>
        <v>1Q2012</v>
      </c>
      <c r="B60" s="170">
        <f>Returns!C60</f>
        <v>8.4757952615789334E-2</v>
      </c>
      <c r="C60" s="106">
        <f>'Benchmark finished'!F59</f>
        <v>1.1398539592095261E-2</v>
      </c>
      <c r="D60" s="738">
        <f>Costs!B59/USD!L60</f>
        <v>5.0293484589606541E-5</v>
      </c>
      <c r="E60" s="135">
        <f>Returns!U60</f>
        <v>6.1524451112405121E-2</v>
      </c>
      <c r="F60" s="106">
        <f>'Benchmark finished'!H59</f>
        <v>-1.8955437821391946E-2</v>
      </c>
      <c r="G60" s="738">
        <f>Costs!BB59/USD!CP60</f>
        <v>1.3358628663800362E-3</v>
      </c>
      <c r="I60" s="163" t="s">
        <v>440</v>
      </c>
      <c r="J60" s="156">
        <v>-3.1504441703347481E-3</v>
      </c>
      <c r="K60" s="156">
        <v>5.6671850788305028E-3</v>
      </c>
      <c r="L60" s="156">
        <v>-0.55590987880439635</v>
      </c>
      <c r="M60" s="156">
        <v>0.5815311457446124</v>
      </c>
      <c r="N60" s="156">
        <v>-1.4623060569728218E-2</v>
      </c>
      <c r="O60" s="156">
        <v>8.3221722290587209E-3</v>
      </c>
      <c r="P60" s="156">
        <v>-1.4623060569728218E-2</v>
      </c>
      <c r="Q60" s="167">
        <v>8.3221722290587209E-3</v>
      </c>
      <c r="R60" s="156"/>
    </row>
    <row r="61" spans="1:18" ht="15.75" thickBot="1">
      <c r="A61" s="337" t="str">
        <f>Costs!A60</f>
        <v>2Q2012</v>
      </c>
      <c r="B61" s="170">
        <f>Returns!C61</f>
        <v>-4.2563545352649501E-2</v>
      </c>
      <c r="C61" s="106">
        <f>'Benchmark finished'!F60</f>
        <v>-1.9887874524866071E-2</v>
      </c>
      <c r="D61" s="738">
        <f>Costs!B60/USD!L61</f>
        <v>4.3065270766718171E-5</v>
      </c>
      <c r="E61" s="135">
        <f>Returns!U61</f>
        <v>-1.5224825335710568E-2</v>
      </c>
      <c r="F61" s="106">
        <f>'Benchmark finished'!H60</f>
        <v>1.1500453169978608E-2</v>
      </c>
      <c r="G61" s="738">
        <f>Costs!BB60/USD!CP61</f>
        <v>7.7937115881357454E-4</v>
      </c>
      <c r="I61" s="164" t="s">
        <v>451</v>
      </c>
      <c r="J61" s="746">
        <v>39.778118611530637</v>
      </c>
      <c r="K61" s="157">
        <v>65.438027822999089</v>
      </c>
      <c r="L61" s="746">
        <v>0.6078746553781389</v>
      </c>
      <c r="M61" s="746">
        <v>0.54688666020324106</v>
      </c>
      <c r="N61" s="157">
        <v>-92.694243011257868</v>
      </c>
      <c r="O61" s="157">
        <v>172.25048023431913</v>
      </c>
      <c r="P61" s="157">
        <v>-92.694243011257868</v>
      </c>
      <c r="Q61" s="168">
        <v>172.25048023431913</v>
      </c>
      <c r="R61" s="156"/>
    </row>
    <row r="62" spans="1:18">
      <c r="A62" s="337" t="str">
        <f>Costs!A61</f>
        <v>3Q2012</v>
      </c>
      <c r="B62" s="170">
        <f>Returns!C62</f>
        <v>6.1883850340186841E-2</v>
      </c>
      <c r="C62" s="106">
        <f>'Benchmark finished'!F61</f>
        <v>1.4435061010992387E-2</v>
      </c>
      <c r="D62" s="738">
        <f>Costs!B61/USD!L62</f>
        <v>6.4935520327025668E-6</v>
      </c>
      <c r="E62" s="135">
        <f>Returns!U62</f>
        <v>5.4691416092790934E-2</v>
      </c>
      <c r="F62" s="106">
        <f>'Benchmark finished'!H61</f>
        <v>4.184202896677959E-3</v>
      </c>
      <c r="G62" s="738">
        <f>Costs!BB61/USD!CP62</f>
        <v>1.2771663934949657E-3</v>
      </c>
      <c r="I62" s="96"/>
      <c r="J62" s="4"/>
      <c r="K62" s="4"/>
      <c r="L62" s="4"/>
      <c r="M62" s="4"/>
      <c r="N62" s="4"/>
      <c r="O62" s="4"/>
      <c r="P62" s="4"/>
      <c r="Q62" s="97"/>
      <c r="R62" s="4"/>
    </row>
    <row r="63" spans="1:18">
      <c r="A63" s="337" t="str">
        <f>Costs!A62</f>
        <v>4Q2012</v>
      </c>
      <c r="B63" s="170">
        <f>Returns!C63</f>
        <v>3.6335863211270469E-2</v>
      </c>
      <c r="C63" s="106">
        <f>'Benchmark finished'!F62</f>
        <v>1.6486292881199273E-2</v>
      </c>
      <c r="D63" s="738">
        <f>Costs!B62/USD!L63</f>
        <v>5.5449642440073129E-5</v>
      </c>
      <c r="E63" s="135">
        <f>Returns!U63</f>
        <v>1.6200992159832728E-2</v>
      </c>
      <c r="F63" s="106">
        <f>'Benchmark finished'!H62</f>
        <v>-6.0076899293104065E-3</v>
      </c>
      <c r="G63" s="738">
        <f>Costs!BB62/USD!CP63</f>
        <v>1.0261646194940337E-3</v>
      </c>
      <c r="I63" s="96"/>
      <c r="J63" s="4"/>
      <c r="K63" s="4"/>
      <c r="L63" s="4"/>
      <c r="M63" s="4"/>
      <c r="N63" s="4"/>
      <c r="O63" s="4"/>
      <c r="P63" s="4"/>
      <c r="Q63" s="97"/>
      <c r="R63" s="4"/>
    </row>
    <row r="64" spans="1:18" ht="15.75" thickBot="1">
      <c r="A64" s="337" t="str">
        <f>Costs!A63</f>
        <v>1Q2013</v>
      </c>
      <c r="B64" s="170">
        <f>Returns!C64</f>
        <v>2.7596859938547214E-2</v>
      </c>
      <c r="C64" s="106">
        <f>'Benchmark finished'!F63</f>
        <v>-1.9576027647218296E-2</v>
      </c>
      <c r="D64" s="738">
        <f>Costs!B63/USD!L64</f>
        <v>3.6489556827403938E-5</v>
      </c>
      <c r="E64" s="135">
        <f>Returns!U64</f>
        <v>2.244556210925297E-2</v>
      </c>
      <c r="F64" s="106">
        <f>'Benchmark finished'!H63</f>
        <v>-2.3013062173757919E-2</v>
      </c>
      <c r="G64" s="738">
        <f>Costs!BB63/USD!CP64</f>
        <v>9.7142665728737476E-4</v>
      </c>
      <c r="I64" s="740"/>
      <c r="J64" s="741"/>
      <c r="K64" s="741"/>
      <c r="L64" s="741"/>
      <c r="M64" s="741"/>
      <c r="N64" s="741"/>
      <c r="O64" s="741"/>
      <c r="P64" s="741"/>
      <c r="Q64" s="742"/>
      <c r="R64" s="4"/>
    </row>
    <row r="65" spans="1:18" ht="15.75" thickBot="1">
      <c r="A65" s="337" t="str">
        <f>Costs!A64</f>
        <v>2Q2013</v>
      </c>
      <c r="B65" s="170">
        <f>Returns!C65</f>
        <v>-9.8375336375877698E-3</v>
      </c>
      <c r="C65" s="106">
        <f>'Benchmark finished'!F64</f>
        <v>-1.3820382080736993E-4</v>
      </c>
      <c r="D65" s="738">
        <f>Costs!B64/USD!L65</f>
        <v>7.4053258408519467E-5</v>
      </c>
      <c r="E65" s="135">
        <f>Returns!U65</f>
        <v>-2.7150122727053416E-2</v>
      </c>
      <c r="F65" s="106">
        <f>'Benchmark finished'!H64</f>
        <v>-1.3869352314928949E-2</v>
      </c>
      <c r="G65" s="738">
        <f>Costs!BB64/USD!CP65</f>
        <v>9.5054971288190192E-4</v>
      </c>
      <c r="I65" s="735"/>
      <c r="J65" s="735"/>
      <c r="K65" s="735"/>
      <c r="L65" s="31"/>
      <c r="M65" s="31"/>
      <c r="N65" s="31"/>
      <c r="O65" s="31"/>
      <c r="P65" s="31"/>
      <c r="Q65" s="31"/>
      <c r="R65" s="4"/>
    </row>
    <row r="66" spans="1:18" ht="26.25">
      <c r="A66" s="337" t="str">
        <f>Costs!A65</f>
        <v>3Q2013</v>
      </c>
      <c r="B66" s="170">
        <f>Returns!C66</f>
        <v>7.3295153074385277E-2</v>
      </c>
      <c r="C66" s="106">
        <f>'Benchmark finished'!F65</f>
        <v>1.0562914642408217E-2</v>
      </c>
      <c r="D66" s="738">
        <f>Costs!B65/USD!L66</f>
        <v>2.3126308529514696E-5</v>
      </c>
      <c r="E66" s="135">
        <f>Returns!U66</f>
        <v>4.3921207811157714E-2</v>
      </c>
      <c r="F66" s="106">
        <f>'Benchmark finished'!H65</f>
        <v>-2.16951172082296E-2</v>
      </c>
      <c r="G66" s="738">
        <f>Costs!BB65/USD!CP66</f>
        <v>9.3445173689012703E-4</v>
      </c>
      <c r="I66" s="160" t="s">
        <v>840</v>
      </c>
      <c r="J66" s="161"/>
      <c r="K66" s="161"/>
      <c r="L66" s="161"/>
      <c r="M66" s="161" t="s">
        <v>820</v>
      </c>
      <c r="N66" s="161"/>
      <c r="O66" s="161"/>
      <c r="P66" s="161"/>
      <c r="Q66" s="95"/>
      <c r="R66" s="4"/>
    </row>
    <row r="67" spans="1:18" ht="15.75" thickBot="1">
      <c r="A67" s="337" t="str">
        <f>Costs!A66</f>
        <v>4Q2013</v>
      </c>
      <c r="B67" s="170">
        <f>Returns!C67</f>
        <v>4.4698436545951292E-2</v>
      </c>
      <c r="C67" s="106">
        <f>'Benchmark finished'!F66</f>
        <v>-2.7596524011711532E-3</v>
      </c>
      <c r="D67" s="738">
        <f>Costs!B66/USD!L67</f>
        <v>7.4554666579912149E-5</v>
      </c>
      <c r="E67" s="135">
        <f>Returns!U67</f>
        <v>2.16336433648876E-2</v>
      </c>
      <c r="F67" s="106">
        <f>'Benchmark finished'!H66</f>
        <v>-2.6960847841436139E-2</v>
      </c>
      <c r="G67" s="738">
        <f>Costs!BB66/USD!CP67</f>
        <v>1.1291910359603914E-3</v>
      </c>
      <c r="I67" s="96"/>
      <c r="J67" s="4"/>
      <c r="K67" s="4"/>
      <c r="L67" s="4"/>
      <c r="M67" s="4"/>
      <c r="N67" s="4"/>
      <c r="O67" s="4"/>
      <c r="P67" s="4"/>
      <c r="Q67" s="97"/>
      <c r="R67" s="4"/>
    </row>
    <row r="68" spans="1:18">
      <c r="A68" s="337" t="str">
        <f>Costs!A67</f>
        <v>1Q2014</v>
      </c>
      <c r="B68" s="170">
        <f>Returns!C68</f>
        <v>1.9311530179193293E-2</v>
      </c>
      <c r="C68" s="106">
        <f>'Benchmark finished'!F67</f>
        <v>6.5874911746887279E-3</v>
      </c>
      <c r="D68" s="738">
        <f>Costs!B67/USD!L68</f>
        <v>7.9982805592124836E-5</v>
      </c>
      <c r="E68" s="135">
        <f>Returns!U68</f>
        <v>2.6732184381401236E-2</v>
      </c>
      <c r="F68" s="106">
        <f>'Benchmark finished'!H67</f>
        <v>1.5540683943373943E-2</v>
      </c>
      <c r="G68" s="738">
        <f>Costs!BB67/USD!CP68</f>
        <v>9.6323074727679213E-4</v>
      </c>
      <c r="I68" s="162" t="s">
        <v>431</v>
      </c>
      <c r="J68" s="159"/>
      <c r="K68" s="4"/>
      <c r="L68" s="4"/>
      <c r="M68" s="4"/>
      <c r="N68" s="4"/>
      <c r="O68" s="4"/>
      <c r="P68" s="4"/>
      <c r="Q68" s="97"/>
      <c r="R68" s="4"/>
    </row>
    <row r="69" spans="1:18">
      <c r="A69" s="337" t="str">
        <f>Costs!A68</f>
        <v>2Q2014</v>
      </c>
      <c r="B69" s="170">
        <f>Returns!C69</f>
        <v>3.5569410329010953E-2</v>
      </c>
      <c r="C69" s="106">
        <f>'Benchmark finished'!F68</f>
        <v>3.278959067714797E-3</v>
      </c>
      <c r="D69" s="738">
        <f>Costs!B68/USD!L69</f>
        <v>-9.8269948620897418E-6</v>
      </c>
      <c r="E69" s="135">
        <f>Returns!U69</f>
        <v>5.2243073260522799E-2</v>
      </c>
      <c r="F69" s="106">
        <f>'Benchmark finished'!H68</f>
        <v>1.8755833329029976E-2</v>
      </c>
      <c r="G69" s="738">
        <f>Costs!BB68/USD!CP69</f>
        <v>8.271483501743718E-4</v>
      </c>
      <c r="I69" s="163" t="s">
        <v>432</v>
      </c>
      <c r="J69" s="156">
        <v>9.9813637034847996E-2</v>
      </c>
      <c r="K69" s="4"/>
      <c r="L69" s="4"/>
      <c r="M69" s="4"/>
      <c r="N69" s="4"/>
      <c r="O69" s="4"/>
      <c r="P69" s="4"/>
      <c r="Q69" s="97"/>
      <c r="R69" s="4"/>
    </row>
    <row r="70" spans="1:18">
      <c r="A70" s="337" t="str">
        <f>Costs!A69</f>
        <v>3Q2014</v>
      </c>
      <c r="B70" s="170">
        <f>Returns!C70</f>
        <v>-4.1258899704833318E-2</v>
      </c>
      <c r="C70" s="106">
        <f>'Benchmark finished'!F69</f>
        <v>-1.5071265448343831E-2</v>
      </c>
      <c r="D70" s="738">
        <f>Costs!B69/USD!L70</f>
        <v>3.8713971588206943E-5</v>
      </c>
      <c r="E70" s="135">
        <f>Returns!U70</f>
        <v>-1.5627784347121643E-2</v>
      </c>
      <c r="F70" s="106">
        <f>'Benchmark finished'!H69</f>
        <v>1.0650591375415627E-2</v>
      </c>
      <c r="G70" s="738">
        <f>Costs!BB69/USD!CP70</f>
        <v>1.1330119477937332E-3</v>
      </c>
      <c r="I70" s="743" t="s">
        <v>433</v>
      </c>
      <c r="J70" s="744">
        <v>9.96276213812438E-3</v>
      </c>
      <c r="K70" s="745"/>
      <c r="L70" s="745">
        <f>SQRT(J70)</f>
        <v>9.9813637034847996E-2</v>
      </c>
      <c r="M70" s="4"/>
      <c r="N70" s="4"/>
      <c r="O70" s="4"/>
      <c r="P70" s="4"/>
      <c r="Q70" s="97"/>
      <c r="R70" s="4"/>
    </row>
    <row r="71" spans="1:18">
      <c r="A71" s="337" t="str">
        <f>Costs!A70</f>
        <v>4Q2014</v>
      </c>
      <c r="B71" s="170">
        <f>Returns!C71</f>
        <v>-1.8198192988486461E-2</v>
      </c>
      <c r="C71" s="106">
        <f>'Benchmark finished'!F70</f>
        <v>-2.3241813180774798E-2</v>
      </c>
      <c r="D71" s="738">
        <f>Costs!B70/USD!L71</f>
        <v>7.8507330409899269E-5</v>
      </c>
      <c r="E71" s="135">
        <f>Returns!U71</f>
        <v>-5.611753408553577E-3</v>
      </c>
      <c r="F71" s="106">
        <f>'Benchmark finished'!H70</f>
        <v>-5.867671306260527E-3</v>
      </c>
      <c r="G71" s="738">
        <f>Costs!BB70/USD!CP71</f>
        <v>9.5655777332688714E-4</v>
      </c>
      <c r="I71" s="163" t="s">
        <v>434</v>
      </c>
      <c r="J71" s="156">
        <v>-1.3609553049063135E-2</v>
      </c>
      <c r="K71" s="4"/>
      <c r="L71" s="4"/>
      <c r="M71" s="4"/>
      <c r="N71" s="4"/>
      <c r="O71" s="4"/>
      <c r="P71" s="4"/>
      <c r="Q71" s="97"/>
      <c r="R71" s="4"/>
    </row>
    <row r="72" spans="1:18">
      <c r="A72" s="337" t="str">
        <f>Costs!A71</f>
        <v>1Q2015</v>
      </c>
      <c r="B72" s="170">
        <f>Returns!C72</f>
        <v>1.0021297713558308E-2</v>
      </c>
      <c r="C72" s="106">
        <f>'Benchmark finished'!F71</f>
        <v>-5.2801378628835171E-3</v>
      </c>
      <c r="D72" s="738">
        <f>Costs!B71/USD!L72</f>
        <v>3.9700342376874935E-5</v>
      </c>
      <c r="E72" s="135">
        <f>Returns!U72</f>
        <v>-3.537745256251501E-3</v>
      </c>
      <c r="F72" s="106">
        <f>'Benchmark finished'!H71</f>
        <v>-1.9257181831844099E-2</v>
      </c>
      <c r="G72" s="738">
        <f>Costs!BB71/USD!CP72</f>
        <v>1.3827691428074252E-3</v>
      </c>
      <c r="I72" s="163" t="s">
        <v>435</v>
      </c>
      <c r="J72" s="156">
        <v>6.3342066940745109E-2</v>
      </c>
      <c r="K72" s="4"/>
      <c r="L72" s="4"/>
      <c r="M72" s="4"/>
      <c r="N72" s="4"/>
      <c r="O72" s="4"/>
      <c r="P72" s="4"/>
      <c r="Q72" s="97"/>
      <c r="R72" s="4"/>
    </row>
    <row r="73" spans="1:18" ht="15.75" thickBot="1">
      <c r="A73" s="337" t="str">
        <f>Costs!A72</f>
        <v>2Q2015</v>
      </c>
      <c r="B73" s="170">
        <f>Returns!C73</f>
        <v>5.5653241133761799E-3</v>
      </c>
      <c r="C73" s="106">
        <f>'Benchmark finished'!F72</f>
        <v>9.2217684122717306E-3</v>
      </c>
      <c r="D73" s="738">
        <f>Costs!B72/USD!L73</f>
        <v>2.8281462773817587E-5</v>
      </c>
      <c r="E73" s="135">
        <f>Returns!U73</f>
        <v>1.3817515039323824E-2</v>
      </c>
      <c r="F73" s="106">
        <f>'Benchmark finished'!H72</f>
        <v>1.4653986632328458E-2</v>
      </c>
      <c r="G73" s="738">
        <f>Costs!BB72/USD!CP73</f>
        <v>1.0626075257615354E-3</v>
      </c>
      <c r="I73" s="164" t="s">
        <v>436</v>
      </c>
      <c r="J73" s="157">
        <v>44</v>
      </c>
      <c r="K73" s="4"/>
      <c r="L73" s="4"/>
      <c r="M73" s="4"/>
      <c r="N73" s="4"/>
      <c r="O73" s="4"/>
      <c r="P73" s="4"/>
      <c r="Q73" s="97"/>
      <c r="R73" s="4"/>
    </row>
    <row r="74" spans="1:18">
      <c r="A74" s="337" t="str">
        <f>Costs!A73</f>
        <v>3Q2015</v>
      </c>
      <c r="B74" s="170">
        <f>Returns!C74</f>
        <v>-6.3282998485200581E-2</v>
      </c>
      <c r="C74" s="106">
        <f>'Benchmark finished'!F73</f>
        <v>-9.4933514420740203E-3</v>
      </c>
      <c r="D74" s="738">
        <f>Costs!B73/USD!L74</f>
        <v>5.279349451472828E-5</v>
      </c>
      <c r="E74" s="135">
        <f>Returns!U74</f>
        <v>-5.4488292303053965E-2</v>
      </c>
      <c r="F74" s="106">
        <f>'Benchmark finished'!H73</f>
        <v>9.080889451705515E-3</v>
      </c>
      <c r="G74" s="738">
        <f>Costs!BB73/USD!CP74</f>
        <v>1.1672794389948362E-3</v>
      </c>
      <c r="I74" s="96"/>
      <c r="J74" s="4"/>
      <c r="K74" s="4"/>
      <c r="L74" s="4"/>
      <c r="M74" s="4"/>
      <c r="N74" s="4"/>
      <c r="O74" s="4"/>
      <c r="P74" s="4"/>
      <c r="Q74" s="97"/>
      <c r="R74" s="4"/>
    </row>
    <row r="75" spans="1:18" ht="15.75" thickBot="1">
      <c r="A75" s="337" t="str">
        <f>Costs!A74</f>
        <v>4Q2015</v>
      </c>
      <c r="B75" s="170">
        <f>Returns!C75</f>
        <v>2.2583010724084529E-2</v>
      </c>
      <c r="C75" s="106">
        <f>'Benchmark finished'!F74</f>
        <v>-1.0332997992017291E-2</v>
      </c>
      <c r="D75" s="738">
        <f>Costs!B74/USD!L75</f>
        <v>4.2841135274411192E-5</v>
      </c>
      <c r="E75" s="135">
        <f>Returns!U75</f>
        <v>7.6637953391380798E-3</v>
      </c>
      <c r="F75" s="106">
        <f>'Benchmark finished'!H74</f>
        <v>-2.4102952705274565E-2</v>
      </c>
      <c r="G75" s="738">
        <f>Costs!BB74/USD!CP75</f>
        <v>6.5604473081749706E-4</v>
      </c>
      <c r="I75" s="96" t="s">
        <v>437</v>
      </c>
      <c r="J75" s="4"/>
      <c r="K75" s="4"/>
      <c r="L75" s="4"/>
      <c r="M75" s="4"/>
      <c r="N75" s="4"/>
      <c r="O75" s="4"/>
      <c r="P75" s="4"/>
      <c r="Q75" s="97"/>
      <c r="R75" s="4"/>
    </row>
    <row r="76" spans="1:18">
      <c r="A76" s="337" t="str">
        <f>Costs!A75</f>
        <v>1Q2016</v>
      </c>
      <c r="B76" s="170">
        <f>Returns!C76</f>
        <v>1.5450618395908666E-2</v>
      </c>
      <c r="C76" s="106">
        <f>'Benchmark finished'!F75</f>
        <v>1.2614363540087922E-3</v>
      </c>
      <c r="D76" s="738">
        <f>Costs!B75/USD!L76</f>
        <v>1.1362301635432202E-5</v>
      </c>
      <c r="E76" s="135">
        <f>Returns!U76</f>
        <v>4.6409654331767802E-2</v>
      </c>
      <c r="F76" s="106">
        <f>'Benchmark finished'!H75</f>
        <v>3.5728547744439003E-2</v>
      </c>
      <c r="G76" s="738">
        <f>Costs!BB75/USD!CP76</f>
        <v>9.7010748676147694E-4</v>
      </c>
      <c r="I76" s="165"/>
      <c r="J76" s="158" t="s">
        <v>441</v>
      </c>
      <c r="K76" s="158" t="s">
        <v>442</v>
      </c>
      <c r="L76" s="158" t="s">
        <v>443</v>
      </c>
      <c r="M76" s="158" t="s">
        <v>444</v>
      </c>
      <c r="N76" s="158" t="s">
        <v>445</v>
      </c>
      <c r="O76" s="4"/>
      <c r="P76" s="4"/>
      <c r="Q76" s="97"/>
      <c r="R76" s="4"/>
    </row>
    <row r="77" spans="1:18">
      <c r="A77" s="337" t="str">
        <f>Costs!A76</f>
        <v>2Q2016</v>
      </c>
      <c r="B77" s="170">
        <f>Returns!C77</f>
        <v>5.1589187565723726E-3</v>
      </c>
      <c r="C77" s="106">
        <f>'Benchmark finished'!F76</f>
        <v>-1.1542463335531994E-2</v>
      </c>
      <c r="D77" s="738">
        <f>Costs!B76/USD!L77</f>
        <v>4.8311363517110211E-5</v>
      </c>
      <c r="E77" s="135">
        <f>Returns!U77</f>
        <v>1.048294584280085E-2</v>
      </c>
      <c r="F77" s="106">
        <f>'Benchmark finished'!H76</f>
        <v>-4.6619141681209248E-3</v>
      </c>
      <c r="G77" s="738">
        <f>Costs!BB76/USD!CP77</f>
        <v>7.6949808866603781E-4</v>
      </c>
      <c r="I77" s="163" t="s">
        <v>430</v>
      </c>
      <c r="J77" s="156">
        <v>1</v>
      </c>
      <c r="K77" s="156">
        <v>1.6957506179103854E-3</v>
      </c>
      <c r="L77" s="156">
        <v>1.6957506179103854E-3</v>
      </c>
      <c r="M77" s="156">
        <v>0.42264673872762126</v>
      </c>
      <c r="N77" s="156">
        <v>0.51915971174721331</v>
      </c>
      <c r="O77" s="4"/>
      <c r="P77" s="4"/>
      <c r="Q77" s="97"/>
      <c r="R77" s="4"/>
    </row>
    <row r="78" spans="1:18">
      <c r="A78" s="337" t="str">
        <f>Costs!A77</f>
        <v>3Q2016</v>
      </c>
      <c r="B78" s="170">
        <f>Returns!C78</f>
        <v>4.2630103305857814E-2</v>
      </c>
      <c r="C78" s="106">
        <f>'Benchmark finished'!F77</f>
        <v>1.0437513583231812E-2</v>
      </c>
      <c r="D78" s="738">
        <f>Costs!B77/USD!L78</f>
        <v>4.9254078861886131E-5</v>
      </c>
      <c r="E78" s="135">
        <f>Returns!U78</f>
        <v>3.4044872683364646E-2</v>
      </c>
      <c r="F78" s="106">
        <f>'Benchmark finished'!H77</f>
        <v>-8.1333760075410627E-3</v>
      </c>
      <c r="G78" s="738">
        <f>Costs!BB77/USD!CP78</f>
        <v>8.7185106360561772E-4</v>
      </c>
      <c r="I78" s="163" t="s">
        <v>438</v>
      </c>
      <c r="J78" s="156">
        <v>42</v>
      </c>
      <c r="K78" s="156">
        <v>0.16851313266168508</v>
      </c>
      <c r="L78" s="156">
        <v>4.012217444325835E-3</v>
      </c>
      <c r="M78" s="156"/>
      <c r="N78" s="156"/>
      <c r="O78" s="4"/>
      <c r="P78" s="4"/>
      <c r="Q78" s="97"/>
      <c r="R78" s="536"/>
    </row>
    <row r="79" spans="1:18" ht="15.75" thickBot="1">
      <c r="A79" s="337" t="str">
        <f>Costs!A78</f>
        <v>4Q2016</v>
      </c>
      <c r="B79" s="736">
        <f>Returns!C79</f>
        <v>-1.8465187276381023E-2</v>
      </c>
      <c r="C79" s="100">
        <f>'Benchmark finished'!F78</f>
        <v>-2.9522925679412195E-2</v>
      </c>
      <c r="D79" s="739">
        <f>Costs!B78/USD!L79</f>
        <v>6.9620447370680663E-6</v>
      </c>
      <c r="E79" s="171">
        <f>Returns!U79</f>
        <v>-1.4628526265785036E-2</v>
      </c>
      <c r="F79" s="100">
        <f>'Benchmark finished'!H78</f>
        <v>-2.6222183028916622E-2</v>
      </c>
      <c r="G79" s="739">
        <f>Costs!BB78/USD!CP79</f>
        <v>9.412137018889751E-4</v>
      </c>
      <c r="I79" s="164" t="s">
        <v>439</v>
      </c>
      <c r="J79" s="157">
        <v>43</v>
      </c>
      <c r="K79" s="157">
        <v>0.17020888327959546</v>
      </c>
      <c r="L79" s="157"/>
      <c r="M79" s="157"/>
      <c r="N79" s="157"/>
      <c r="O79" s="4"/>
      <c r="P79" s="4"/>
      <c r="Q79" s="97"/>
      <c r="R79" s="156"/>
    </row>
    <row r="80" spans="1:18" ht="15.75" thickBot="1">
      <c r="D80" s="40"/>
      <c r="G80" s="4"/>
      <c r="I80" s="96"/>
      <c r="J80" s="4"/>
      <c r="K80" s="4"/>
      <c r="L80" s="4"/>
      <c r="M80" s="4"/>
      <c r="N80" s="4"/>
      <c r="O80" s="4"/>
      <c r="P80" s="4"/>
      <c r="Q80" s="97"/>
      <c r="R80" s="156"/>
    </row>
    <row r="81" spans="4:18">
      <c r="D81" s="4"/>
      <c r="G81" s="4"/>
      <c r="I81" s="165"/>
      <c r="J81" s="158" t="s">
        <v>446</v>
      </c>
      <c r="K81" s="158" t="s">
        <v>435</v>
      </c>
      <c r="L81" s="158" t="s">
        <v>447</v>
      </c>
      <c r="M81" s="158" t="s">
        <v>448</v>
      </c>
      <c r="N81" s="158" t="s">
        <v>449</v>
      </c>
      <c r="O81" s="158" t="s">
        <v>450</v>
      </c>
      <c r="P81" s="158" t="s">
        <v>462</v>
      </c>
      <c r="Q81" s="166" t="s">
        <v>463</v>
      </c>
      <c r="R81" s="4"/>
    </row>
    <row r="82" spans="4:18">
      <c r="D82" s="4"/>
      <c r="G82" s="4"/>
      <c r="I82" s="163" t="s">
        <v>440</v>
      </c>
      <c r="J82" s="156">
        <v>3.0454399269531134E-2</v>
      </c>
      <c r="K82" s="156">
        <v>2.4397470490654674E-2</v>
      </c>
      <c r="L82" s="156">
        <v>1.2482605227946288</v>
      </c>
      <c r="M82" s="156">
        <v>0.21884965904967901</v>
      </c>
      <c r="N82" s="156">
        <v>-1.8781689522712045E-2</v>
      </c>
      <c r="O82" s="156">
        <v>7.9690488061774312E-2</v>
      </c>
      <c r="P82" s="156">
        <v>-1.8781689522712045E-2</v>
      </c>
      <c r="Q82" s="167">
        <v>7.9690488061774312E-2</v>
      </c>
      <c r="R82" s="4"/>
    </row>
    <row r="83" spans="4:18" ht="15.75" thickBot="1">
      <c r="D83" s="4"/>
      <c r="G83" s="4"/>
      <c r="I83" s="164" t="s">
        <v>451</v>
      </c>
      <c r="J83" s="746">
        <v>-18.324526526665888</v>
      </c>
      <c r="K83" s="157">
        <v>28.186684929523295</v>
      </c>
      <c r="L83" s="746">
        <v>-0.65011286614526331</v>
      </c>
      <c r="M83" s="746">
        <v>0.51915971174721931</v>
      </c>
      <c r="N83" s="157">
        <v>-75.207559646045297</v>
      </c>
      <c r="O83" s="157">
        <v>38.558506592713513</v>
      </c>
      <c r="P83" s="157">
        <v>-75.207559646045297</v>
      </c>
      <c r="Q83" s="168">
        <v>38.558506592713513</v>
      </c>
      <c r="R83" s="4"/>
    </row>
    <row r="84" spans="4:18">
      <c r="D84" s="4"/>
      <c r="G84" s="4"/>
      <c r="I84" s="96"/>
      <c r="J84" s="4"/>
      <c r="K84" s="4"/>
      <c r="L84" s="4"/>
      <c r="M84" s="4"/>
      <c r="N84" s="4"/>
      <c r="O84" s="4"/>
      <c r="P84" s="4"/>
      <c r="Q84" s="97"/>
      <c r="R84" s="4"/>
    </row>
    <row r="85" spans="4:18">
      <c r="D85" s="4"/>
      <c r="G85" s="4"/>
      <c r="I85" s="96"/>
      <c r="J85" s="4"/>
      <c r="K85" s="4"/>
      <c r="L85" s="4"/>
      <c r="M85" s="4"/>
      <c r="N85" s="4"/>
      <c r="O85" s="4"/>
      <c r="P85" s="4"/>
      <c r="Q85" s="97"/>
      <c r="R85" s="4"/>
    </row>
    <row r="86" spans="4:18" ht="15.75" thickBot="1">
      <c r="D86" s="4"/>
      <c r="G86" s="4"/>
      <c r="I86" s="740"/>
      <c r="J86" s="741"/>
      <c r="K86" s="741"/>
      <c r="L86" s="741"/>
      <c r="M86" s="741"/>
      <c r="N86" s="741"/>
      <c r="O86" s="741"/>
      <c r="P86" s="741"/>
      <c r="Q86" s="742"/>
      <c r="R86" s="4"/>
    </row>
    <row r="87" spans="4:18" ht="15.75" thickBot="1">
      <c r="D87" s="4"/>
      <c r="G87" s="4"/>
      <c r="I87" s="156"/>
      <c r="J87" s="156"/>
      <c r="K87" s="156"/>
      <c r="L87" s="31"/>
      <c r="M87" s="31"/>
      <c r="N87" s="31"/>
      <c r="O87" s="31"/>
      <c r="P87" s="31"/>
      <c r="Q87" s="31"/>
      <c r="R87" s="4"/>
    </row>
    <row r="88" spans="4:18" ht="26.25">
      <c r="D88" s="4"/>
      <c r="G88" s="4"/>
      <c r="I88" s="160" t="s">
        <v>840</v>
      </c>
      <c r="J88" s="161"/>
      <c r="K88" s="161"/>
      <c r="L88" s="161"/>
      <c r="M88" s="161" t="s">
        <v>821</v>
      </c>
      <c r="N88" s="161"/>
      <c r="O88" s="161"/>
      <c r="P88" s="161"/>
      <c r="Q88" s="95"/>
      <c r="R88" s="4"/>
    </row>
    <row r="89" spans="4:18" ht="15.75" thickBot="1">
      <c r="D89" s="4"/>
      <c r="G89" s="4"/>
      <c r="I89" s="96"/>
      <c r="J89" s="4"/>
      <c r="K89" s="4"/>
      <c r="L89" s="4"/>
      <c r="M89" s="4"/>
      <c r="N89" s="4"/>
      <c r="O89" s="4"/>
      <c r="P89" s="4"/>
      <c r="Q89" s="97"/>
      <c r="R89" s="4"/>
    </row>
    <row r="90" spans="4:18">
      <c r="D90" s="4"/>
      <c r="G90" s="4"/>
      <c r="I90" s="162" t="s">
        <v>431</v>
      </c>
      <c r="J90" s="159"/>
      <c r="K90" s="4"/>
      <c r="L90" s="4"/>
      <c r="M90" s="4"/>
      <c r="N90" s="4"/>
      <c r="O90" s="4"/>
      <c r="P90" s="4"/>
      <c r="Q90" s="97"/>
      <c r="R90" s="4"/>
    </row>
    <row r="91" spans="4:18">
      <c r="D91" s="4"/>
      <c r="G91" s="4"/>
      <c r="I91" s="163" t="s">
        <v>432</v>
      </c>
      <c r="J91" s="156">
        <v>0.26913072185684378</v>
      </c>
      <c r="K91" s="4"/>
      <c r="L91" s="4"/>
      <c r="M91" s="4"/>
      <c r="N91" s="4"/>
      <c r="O91" s="4"/>
      <c r="P91" s="4"/>
      <c r="Q91" s="97"/>
      <c r="R91" s="4"/>
    </row>
    <row r="92" spans="4:18">
      <c r="D92" s="4"/>
      <c r="G92" s="4"/>
      <c r="I92" s="743" t="s">
        <v>433</v>
      </c>
      <c r="J92" s="744">
        <v>7.243134544718581E-2</v>
      </c>
      <c r="K92" s="745"/>
      <c r="L92" s="745">
        <f>SQRT(J92)</f>
        <v>0.26913072185684378</v>
      </c>
      <c r="M92" s="4"/>
      <c r="N92" s="4"/>
      <c r="O92" s="4"/>
      <c r="P92" s="4"/>
      <c r="Q92" s="97"/>
      <c r="R92" s="4"/>
    </row>
    <row r="93" spans="4:18">
      <c r="D93" s="4"/>
      <c r="I93" s="163" t="s">
        <v>434</v>
      </c>
      <c r="J93" s="156">
        <v>5.0346377481642612E-2</v>
      </c>
      <c r="K93" s="4"/>
      <c r="L93" s="4"/>
      <c r="M93" s="4"/>
      <c r="N93" s="4"/>
      <c r="O93" s="4"/>
      <c r="P93" s="4"/>
      <c r="Q93" s="97"/>
      <c r="R93" s="4"/>
    </row>
    <row r="94" spans="4:18">
      <c r="I94" s="163" t="s">
        <v>435</v>
      </c>
      <c r="J94" s="156">
        <v>2.3127564609342725E-2</v>
      </c>
      <c r="K94" s="4"/>
      <c r="L94" s="4"/>
      <c r="M94" s="4"/>
      <c r="N94" s="4"/>
      <c r="O94" s="4"/>
      <c r="P94" s="4"/>
      <c r="Q94" s="97"/>
      <c r="R94" s="4"/>
    </row>
    <row r="95" spans="4:18" ht="15.75" thickBot="1">
      <c r="I95" s="164" t="s">
        <v>436</v>
      </c>
      <c r="J95" s="157">
        <v>44</v>
      </c>
      <c r="K95" s="4"/>
      <c r="L95" s="4"/>
      <c r="M95" s="4"/>
      <c r="N95" s="4"/>
      <c r="O95" s="4"/>
      <c r="P95" s="4"/>
      <c r="Q95" s="97"/>
      <c r="R95" s="4"/>
    </row>
    <row r="96" spans="4:18">
      <c r="I96" s="96"/>
      <c r="J96" s="4"/>
      <c r="K96" s="4"/>
      <c r="L96" s="4"/>
      <c r="M96" s="4"/>
      <c r="N96" s="4"/>
      <c r="O96" s="4"/>
      <c r="P96" s="4"/>
      <c r="Q96" s="97"/>
      <c r="R96" s="4"/>
    </row>
    <row r="97" spans="9:18" ht="15.75" thickBot="1">
      <c r="I97" s="96" t="s">
        <v>437</v>
      </c>
      <c r="J97" s="4"/>
      <c r="K97" s="4"/>
      <c r="L97" s="4"/>
      <c r="M97" s="4"/>
      <c r="N97" s="4"/>
      <c r="O97" s="4"/>
      <c r="P97" s="4"/>
      <c r="Q97" s="97"/>
      <c r="R97" s="536"/>
    </row>
    <row r="98" spans="9:18">
      <c r="I98" s="165"/>
      <c r="J98" s="158" t="s">
        <v>441</v>
      </c>
      <c r="K98" s="158" t="s">
        <v>442</v>
      </c>
      <c r="L98" s="158" t="s">
        <v>443</v>
      </c>
      <c r="M98" s="158" t="s">
        <v>444</v>
      </c>
      <c r="N98" s="158" t="s">
        <v>445</v>
      </c>
      <c r="O98" s="4"/>
      <c r="P98" s="4"/>
      <c r="Q98" s="97"/>
      <c r="R98" s="156"/>
    </row>
    <row r="99" spans="9:18">
      <c r="I99" s="163" t="s">
        <v>430</v>
      </c>
      <c r="J99" s="156">
        <v>1</v>
      </c>
      <c r="K99" s="156">
        <v>1.754242322962167E-3</v>
      </c>
      <c r="L99" s="156">
        <v>1.754242322962167E-3</v>
      </c>
      <c r="M99" s="156">
        <v>3.279667218000617</v>
      </c>
      <c r="N99" s="156">
        <v>7.7299621979239883E-2</v>
      </c>
      <c r="O99" s="4"/>
      <c r="P99" s="4"/>
      <c r="Q99" s="97"/>
      <c r="R99" s="156"/>
    </row>
    <row r="100" spans="9:18">
      <c r="I100" s="163" t="s">
        <v>438</v>
      </c>
      <c r="J100" s="156">
        <v>42</v>
      </c>
      <c r="K100" s="156">
        <v>2.2465138279891526E-2</v>
      </c>
      <c r="L100" s="156">
        <v>5.3488424475932209E-4</v>
      </c>
      <c r="M100" s="156"/>
      <c r="N100" s="156"/>
      <c r="O100" s="4"/>
      <c r="P100" s="4"/>
      <c r="Q100" s="97"/>
      <c r="R100" s="4"/>
    </row>
    <row r="101" spans="9:18" ht="15.75" thickBot="1">
      <c r="I101" s="164" t="s">
        <v>439</v>
      </c>
      <c r="J101" s="157">
        <v>43</v>
      </c>
      <c r="K101" s="157">
        <v>2.4219380602853693E-2</v>
      </c>
      <c r="L101" s="157"/>
      <c r="M101" s="157"/>
      <c r="N101" s="157"/>
      <c r="O101" s="4"/>
      <c r="P101" s="4"/>
      <c r="Q101" s="97"/>
      <c r="R101" s="4"/>
    </row>
    <row r="102" spans="9:18" ht="15.75" thickBot="1">
      <c r="I102" s="96"/>
      <c r="J102" s="4"/>
      <c r="K102" s="4"/>
      <c r="L102" s="4"/>
      <c r="M102" s="4"/>
      <c r="N102" s="4"/>
      <c r="O102" s="4"/>
      <c r="P102" s="4"/>
      <c r="Q102" s="97"/>
      <c r="R102" s="4"/>
    </row>
    <row r="103" spans="9:18">
      <c r="I103" s="165"/>
      <c r="J103" s="158" t="s">
        <v>446</v>
      </c>
      <c r="K103" s="158" t="s">
        <v>435</v>
      </c>
      <c r="L103" s="158" t="s">
        <v>447</v>
      </c>
      <c r="M103" s="158" t="s">
        <v>448</v>
      </c>
      <c r="N103" s="158" t="s">
        <v>449</v>
      </c>
      <c r="O103" s="158" t="s">
        <v>450</v>
      </c>
      <c r="P103" s="158" t="s">
        <v>462</v>
      </c>
      <c r="Q103" s="166" t="s">
        <v>463</v>
      </c>
      <c r="R103" s="4"/>
    </row>
    <row r="104" spans="9:18">
      <c r="I104" s="163" t="s">
        <v>440</v>
      </c>
      <c r="J104" s="156">
        <v>1.7585422438985691E-2</v>
      </c>
      <c r="K104" s="156">
        <v>8.9080464583669774E-3</v>
      </c>
      <c r="L104" s="156">
        <v>1.9741053800262118</v>
      </c>
      <c r="M104" s="156">
        <v>5.4970551843226079E-2</v>
      </c>
      <c r="N104" s="156">
        <v>-3.9174312650136489E-4</v>
      </c>
      <c r="O104" s="156">
        <v>3.5562588004472748E-2</v>
      </c>
      <c r="P104" s="156">
        <v>-3.9174312650136489E-4</v>
      </c>
      <c r="Q104" s="167">
        <v>3.5562588004472748E-2</v>
      </c>
      <c r="R104" s="4"/>
    </row>
    <row r="105" spans="9:18" ht="15.75" thickBot="1">
      <c r="I105" s="164" t="s">
        <v>451</v>
      </c>
      <c r="J105" s="746">
        <v>-18.637882195949459</v>
      </c>
      <c r="K105" s="157">
        <v>10.291570962478422</v>
      </c>
      <c r="L105" s="746">
        <v>-1.8109851512369179</v>
      </c>
      <c r="M105" s="746">
        <v>7.7299621979240368E-2</v>
      </c>
      <c r="N105" s="157">
        <v>-39.407113248584793</v>
      </c>
      <c r="O105" s="157">
        <v>2.1313488566858716</v>
      </c>
      <c r="P105" s="157">
        <v>-39.407113248584793</v>
      </c>
      <c r="Q105" s="168">
        <v>2.1313488566858716</v>
      </c>
      <c r="R105" s="4"/>
    </row>
    <row r="106" spans="9:18">
      <c r="I106" s="96"/>
      <c r="J106" s="4"/>
      <c r="K106" s="4"/>
      <c r="L106" s="4"/>
      <c r="M106" s="4"/>
      <c r="N106" s="4"/>
      <c r="O106" s="4"/>
      <c r="P106" s="4"/>
      <c r="Q106" s="97"/>
    </row>
    <row r="107" spans="9:18">
      <c r="I107" s="96"/>
      <c r="J107" s="4"/>
      <c r="K107" s="4"/>
      <c r="L107" s="4"/>
      <c r="M107" s="4"/>
      <c r="N107" s="4"/>
      <c r="O107" s="4"/>
      <c r="P107" s="4"/>
      <c r="Q107" s="97"/>
    </row>
    <row r="108" spans="9:18" ht="15.75" thickBot="1">
      <c r="I108" s="740"/>
      <c r="J108" s="741"/>
      <c r="K108" s="741"/>
      <c r="L108" s="741"/>
      <c r="M108" s="741"/>
      <c r="N108" s="741"/>
      <c r="O108" s="741"/>
      <c r="P108" s="741"/>
      <c r="Q108" s="742"/>
    </row>
    <row r="109" spans="9:18" ht="15.75" thickBot="1"/>
    <row r="110" spans="9:18" ht="26.25">
      <c r="I110" s="160" t="s">
        <v>841</v>
      </c>
      <c r="J110" s="161"/>
      <c r="K110" s="161"/>
      <c r="L110" s="161"/>
      <c r="M110" s="161" t="s">
        <v>820</v>
      </c>
      <c r="N110" s="161"/>
      <c r="O110" s="161"/>
      <c r="P110" s="161"/>
      <c r="Q110" s="95"/>
    </row>
    <row r="111" spans="9:18" ht="15.75" thickBot="1">
      <c r="I111" s="96"/>
      <c r="J111" s="4"/>
      <c r="K111" s="4"/>
      <c r="L111" s="4"/>
      <c r="M111" s="4"/>
      <c r="N111" s="4"/>
      <c r="O111" s="4"/>
      <c r="P111" s="4"/>
      <c r="Q111" s="97"/>
    </row>
    <row r="112" spans="9:18">
      <c r="I112" s="162" t="s">
        <v>431</v>
      </c>
      <c r="J112" s="159"/>
      <c r="K112" s="4"/>
      <c r="L112" s="4"/>
      <c r="M112" s="4"/>
      <c r="N112" s="4"/>
      <c r="O112" s="4"/>
      <c r="P112" s="4"/>
      <c r="Q112" s="97"/>
    </row>
    <row r="113" spans="9:17">
      <c r="I113" s="163" t="s">
        <v>432</v>
      </c>
      <c r="J113" s="156">
        <v>0.60591567675183289</v>
      </c>
      <c r="K113" s="4"/>
      <c r="L113" s="4"/>
      <c r="M113" s="4"/>
      <c r="N113" s="4"/>
      <c r="O113" s="4"/>
      <c r="P113" s="4"/>
      <c r="Q113" s="97"/>
    </row>
    <row r="114" spans="9:17">
      <c r="I114" s="743" t="s">
        <v>433</v>
      </c>
      <c r="J114" s="744">
        <v>0.3671338073336316</v>
      </c>
      <c r="K114" s="745"/>
      <c r="L114" s="745">
        <f>SQRT(J114)</f>
        <v>0.60591567675183289</v>
      </c>
      <c r="M114" s="4"/>
      <c r="N114" s="4"/>
      <c r="O114" s="4"/>
      <c r="P114" s="4"/>
      <c r="Q114" s="97"/>
    </row>
    <row r="115" spans="9:17">
      <c r="I115" s="163" t="s">
        <v>434</v>
      </c>
      <c r="J115" s="156">
        <v>0.27672435123843614</v>
      </c>
      <c r="K115" s="4"/>
      <c r="L115" s="4"/>
      <c r="M115" s="4"/>
      <c r="N115" s="4"/>
      <c r="O115" s="4"/>
      <c r="P115" s="4"/>
      <c r="Q115" s="97"/>
    </row>
    <row r="116" spans="9:17">
      <c r="I116" s="163" t="s">
        <v>435</v>
      </c>
      <c r="J116" s="156">
        <v>0.11759619064445884</v>
      </c>
      <c r="K116" s="4"/>
      <c r="L116" s="4"/>
      <c r="M116" s="4"/>
      <c r="N116" s="4"/>
      <c r="O116" s="4"/>
      <c r="P116" s="4"/>
      <c r="Q116" s="97"/>
    </row>
    <row r="117" spans="9:17" ht="15.75" thickBot="1">
      <c r="I117" s="164" t="s">
        <v>436</v>
      </c>
      <c r="J117" s="157">
        <v>9</v>
      </c>
      <c r="K117" s="4"/>
      <c r="L117" s="4"/>
      <c r="M117" s="4"/>
      <c r="N117" s="4"/>
      <c r="O117" s="4"/>
      <c r="P117" s="4"/>
      <c r="Q117" s="97"/>
    </row>
    <row r="118" spans="9:17">
      <c r="I118" s="96"/>
      <c r="J118" s="4"/>
      <c r="K118" s="4"/>
      <c r="L118" s="4"/>
      <c r="M118" s="4"/>
      <c r="N118" s="4"/>
      <c r="O118" s="4"/>
      <c r="P118" s="4"/>
      <c r="Q118" s="97"/>
    </row>
    <row r="119" spans="9:17" ht="15.75" thickBot="1">
      <c r="I119" s="96" t="s">
        <v>437</v>
      </c>
      <c r="J119" s="4"/>
      <c r="K119" s="4"/>
      <c r="L119" s="4"/>
      <c r="M119" s="4"/>
      <c r="N119" s="4"/>
      <c r="O119" s="4"/>
      <c r="P119" s="4"/>
      <c r="Q119" s="97"/>
    </row>
    <row r="120" spans="9:17">
      <c r="I120" s="165"/>
      <c r="J120" s="158" t="s">
        <v>441</v>
      </c>
      <c r="K120" s="158" t="s">
        <v>442</v>
      </c>
      <c r="L120" s="158" t="s">
        <v>443</v>
      </c>
      <c r="M120" s="158" t="s">
        <v>444</v>
      </c>
      <c r="N120" s="158" t="s">
        <v>445</v>
      </c>
      <c r="O120" s="4"/>
      <c r="P120" s="4"/>
      <c r="Q120" s="97"/>
    </row>
    <row r="121" spans="9:17">
      <c r="I121" s="163" t="s">
        <v>430</v>
      </c>
      <c r="J121" s="156">
        <v>1</v>
      </c>
      <c r="K121" s="156">
        <v>5.6156111656403343E-2</v>
      </c>
      <c r="L121" s="156">
        <v>5.6156111656403343E-2</v>
      </c>
      <c r="M121" s="156">
        <v>4.0607899128058325</v>
      </c>
      <c r="N121" s="156">
        <v>8.3728479743594555E-2</v>
      </c>
      <c r="O121" s="4"/>
      <c r="P121" s="4"/>
      <c r="Q121" s="97"/>
    </row>
    <row r="122" spans="9:17">
      <c r="I122" s="163" t="s">
        <v>438</v>
      </c>
      <c r="J122" s="156">
        <v>7</v>
      </c>
      <c r="K122" s="156">
        <v>9.6802048378615349E-2</v>
      </c>
      <c r="L122" s="156">
        <v>1.3828864054087908E-2</v>
      </c>
      <c r="M122" s="156"/>
      <c r="N122" s="156"/>
      <c r="O122" s="4"/>
      <c r="P122" s="4"/>
      <c r="Q122" s="97"/>
    </row>
    <row r="123" spans="9:17" ht="15.75" thickBot="1">
      <c r="I123" s="164" t="s">
        <v>439</v>
      </c>
      <c r="J123" s="157">
        <v>8</v>
      </c>
      <c r="K123" s="157">
        <v>0.15295816003501869</v>
      </c>
      <c r="L123" s="157"/>
      <c r="M123" s="157"/>
      <c r="N123" s="157"/>
      <c r="O123" s="4"/>
      <c r="P123" s="4"/>
      <c r="Q123" s="97"/>
    </row>
    <row r="124" spans="9:17" ht="15.75" thickBot="1">
      <c r="I124" s="96"/>
      <c r="J124" s="4"/>
      <c r="K124" s="4"/>
      <c r="L124" s="4"/>
      <c r="M124" s="4"/>
      <c r="N124" s="4"/>
      <c r="O124" s="4"/>
      <c r="P124" s="4"/>
      <c r="Q124" s="97"/>
    </row>
    <row r="125" spans="9:17">
      <c r="I125" s="165"/>
      <c r="J125" s="158" t="s">
        <v>446</v>
      </c>
      <c r="K125" s="158" t="s">
        <v>435</v>
      </c>
      <c r="L125" s="158" t="s">
        <v>447</v>
      </c>
      <c r="M125" s="158" t="s">
        <v>448</v>
      </c>
      <c r="N125" s="158" t="s">
        <v>449</v>
      </c>
      <c r="O125" s="158" t="s">
        <v>450</v>
      </c>
      <c r="P125" s="158" t="s">
        <v>462</v>
      </c>
      <c r="Q125" s="166" t="s">
        <v>463</v>
      </c>
    </row>
    <row r="126" spans="9:17">
      <c r="I126" s="163" t="s">
        <v>440</v>
      </c>
      <c r="J126" s="156">
        <v>-0.23328028331540504</v>
      </c>
      <c r="K126" s="156">
        <v>0.13533507171328632</v>
      </c>
      <c r="L126" s="156">
        <v>-1.7237237942993833</v>
      </c>
      <c r="M126" s="156">
        <v>0.1284187156812347</v>
      </c>
      <c r="N126" s="156">
        <v>-0.55329687597969057</v>
      </c>
      <c r="O126" s="156">
        <v>8.6736309348880519E-2</v>
      </c>
      <c r="P126" s="156">
        <v>-0.55329687597969057</v>
      </c>
      <c r="Q126" s="167">
        <v>8.6736309348880519E-2</v>
      </c>
    </row>
    <row r="127" spans="9:17" ht="15.75" thickBot="1">
      <c r="I127" s="164" t="s">
        <v>451</v>
      </c>
      <c r="J127" s="746">
        <v>51.489238146873447</v>
      </c>
      <c r="K127" s="157">
        <v>25.551194334926102</v>
      </c>
      <c r="L127" s="746">
        <v>2.0151401719994144</v>
      </c>
      <c r="M127" s="746">
        <v>8.3728479743594611E-2</v>
      </c>
      <c r="N127" s="157">
        <v>-8.9297356346529924</v>
      </c>
      <c r="O127" s="157">
        <v>111.90821192839988</v>
      </c>
      <c r="P127" s="157">
        <v>-8.9297356346529924</v>
      </c>
      <c r="Q127" s="168">
        <v>111.90821192839988</v>
      </c>
    </row>
    <row r="128" spans="9:17">
      <c r="I128" s="96"/>
      <c r="J128" s="4"/>
      <c r="K128" s="4"/>
      <c r="L128" s="4"/>
      <c r="M128" s="4"/>
      <c r="N128" s="4"/>
      <c r="O128" s="4"/>
      <c r="P128" s="4"/>
      <c r="Q128" s="97"/>
    </row>
    <row r="129" spans="9:17">
      <c r="I129" s="96"/>
      <c r="J129" s="4"/>
      <c r="K129" s="4"/>
      <c r="L129" s="4"/>
      <c r="M129" s="4"/>
      <c r="N129" s="4"/>
      <c r="O129" s="4"/>
      <c r="P129" s="4"/>
      <c r="Q129" s="97"/>
    </row>
    <row r="130" spans="9:17" ht="15.75" thickBot="1">
      <c r="I130" s="740"/>
      <c r="J130" s="741"/>
      <c r="K130" s="741"/>
      <c r="L130" s="741"/>
      <c r="M130" s="741"/>
      <c r="N130" s="741"/>
      <c r="O130" s="741"/>
      <c r="P130" s="741"/>
      <c r="Q130" s="742"/>
    </row>
    <row r="131" spans="9:17" ht="15.75" thickBot="1"/>
    <row r="132" spans="9:17" ht="26.25">
      <c r="I132" s="160" t="s">
        <v>841</v>
      </c>
      <c r="J132" s="161"/>
      <c r="K132" s="161"/>
      <c r="L132" s="161"/>
      <c r="M132" s="161" t="s">
        <v>821</v>
      </c>
      <c r="N132" s="161"/>
      <c r="O132" s="161"/>
      <c r="P132" s="161"/>
      <c r="Q132" s="95"/>
    </row>
    <row r="133" spans="9:17" ht="15.75" thickBot="1">
      <c r="I133" s="96"/>
      <c r="J133" s="4"/>
      <c r="K133" s="4"/>
      <c r="L133" s="4"/>
      <c r="M133" s="4"/>
      <c r="N133" s="4"/>
      <c r="O133" s="4"/>
      <c r="P133" s="4"/>
      <c r="Q133" s="97"/>
    </row>
    <row r="134" spans="9:17">
      <c r="I134" s="162" t="s">
        <v>431</v>
      </c>
      <c r="J134" s="159"/>
      <c r="K134" s="4"/>
      <c r="L134" s="4"/>
      <c r="M134" s="4"/>
      <c r="N134" s="4"/>
      <c r="O134" s="4"/>
      <c r="P134" s="4"/>
      <c r="Q134" s="97"/>
    </row>
    <row r="135" spans="9:17">
      <c r="I135" s="163" t="s">
        <v>432</v>
      </c>
      <c r="J135" s="156">
        <v>0.516329214530859</v>
      </c>
      <c r="K135" s="4"/>
      <c r="L135" s="4"/>
      <c r="M135" s="4"/>
      <c r="N135" s="4"/>
      <c r="O135" s="4"/>
      <c r="P135" s="4"/>
      <c r="Q135" s="97"/>
    </row>
    <row r="136" spans="9:17">
      <c r="I136" s="743" t="s">
        <v>433</v>
      </c>
      <c r="J136" s="744">
        <v>0.26659585777805384</v>
      </c>
      <c r="K136" s="745"/>
      <c r="L136" s="745">
        <f>SQRT(J136)</f>
        <v>0.516329214530859</v>
      </c>
      <c r="M136" s="4"/>
      <c r="N136" s="4"/>
      <c r="O136" s="4"/>
      <c r="P136" s="4"/>
      <c r="Q136" s="97"/>
    </row>
    <row r="137" spans="9:17">
      <c r="I137" s="163" t="s">
        <v>434</v>
      </c>
      <c r="J137" s="156">
        <v>0.16182383746063295</v>
      </c>
      <c r="K137" s="4"/>
      <c r="L137" s="4"/>
      <c r="M137" s="4"/>
      <c r="N137" s="4"/>
      <c r="O137" s="4"/>
      <c r="P137" s="4"/>
      <c r="Q137" s="97"/>
    </row>
    <row r="138" spans="9:17">
      <c r="I138" s="163" t="s">
        <v>435</v>
      </c>
      <c r="J138" s="156">
        <v>4.5688866180932194E-2</v>
      </c>
      <c r="K138" s="4"/>
      <c r="L138" s="4"/>
      <c r="M138" s="4"/>
      <c r="N138" s="4"/>
      <c r="O138" s="4"/>
      <c r="P138" s="4"/>
      <c r="Q138" s="97"/>
    </row>
    <row r="139" spans="9:17" ht="15.75" thickBot="1">
      <c r="I139" s="164" t="s">
        <v>436</v>
      </c>
      <c r="J139" s="157">
        <v>9</v>
      </c>
      <c r="K139" s="4"/>
      <c r="L139" s="4"/>
      <c r="M139" s="4"/>
      <c r="N139" s="4"/>
      <c r="O139" s="4"/>
      <c r="P139" s="4"/>
      <c r="Q139" s="97"/>
    </row>
    <row r="140" spans="9:17">
      <c r="I140" s="96"/>
      <c r="J140" s="4"/>
      <c r="K140" s="4"/>
      <c r="L140" s="4"/>
      <c r="M140" s="4"/>
      <c r="N140" s="4"/>
      <c r="O140" s="4"/>
      <c r="P140" s="4"/>
      <c r="Q140" s="97"/>
    </row>
    <row r="141" spans="9:17" ht="15.75" thickBot="1">
      <c r="I141" s="96" t="s">
        <v>437</v>
      </c>
      <c r="J141" s="4"/>
      <c r="K141" s="4"/>
      <c r="L141" s="4"/>
      <c r="M141" s="4"/>
      <c r="N141" s="4"/>
      <c r="O141" s="4"/>
      <c r="P141" s="4"/>
      <c r="Q141" s="97"/>
    </row>
    <row r="142" spans="9:17">
      <c r="I142" s="165"/>
      <c r="J142" s="158" t="s">
        <v>441</v>
      </c>
      <c r="K142" s="158" t="s">
        <v>442</v>
      </c>
      <c r="L142" s="158" t="s">
        <v>443</v>
      </c>
      <c r="M142" s="158" t="s">
        <v>444</v>
      </c>
      <c r="N142" s="158" t="s">
        <v>445</v>
      </c>
      <c r="O142" s="4"/>
      <c r="P142" s="4"/>
      <c r="Q142" s="97"/>
    </row>
    <row r="143" spans="9:17">
      <c r="I143" s="163" t="s">
        <v>430</v>
      </c>
      <c r="J143" s="156">
        <v>1</v>
      </c>
      <c r="K143" s="156">
        <v>5.3116425372586075E-3</v>
      </c>
      <c r="L143" s="156">
        <v>5.3116425372586075E-3</v>
      </c>
      <c r="M143" s="156">
        <v>2.5445329484948931</v>
      </c>
      <c r="N143" s="156">
        <v>0.15470659836040149</v>
      </c>
      <c r="O143" s="4"/>
      <c r="P143" s="4"/>
      <c r="Q143" s="97"/>
    </row>
    <row r="144" spans="9:17">
      <c r="I144" s="163" t="s">
        <v>438</v>
      </c>
      <c r="J144" s="156">
        <v>7</v>
      </c>
      <c r="K144" s="156">
        <v>1.4612307450293908E-2</v>
      </c>
      <c r="L144" s="156">
        <v>2.0874724928991299E-3</v>
      </c>
      <c r="M144" s="156"/>
      <c r="N144" s="156"/>
      <c r="O144" s="4"/>
      <c r="P144" s="4"/>
      <c r="Q144" s="97"/>
    </row>
    <row r="145" spans="9:17" ht="15.75" thickBot="1">
      <c r="I145" s="164" t="s">
        <v>439</v>
      </c>
      <c r="J145" s="157">
        <v>8</v>
      </c>
      <c r="K145" s="157">
        <v>1.9923949987552515E-2</v>
      </c>
      <c r="L145" s="157"/>
      <c r="M145" s="157"/>
      <c r="N145" s="157"/>
      <c r="O145" s="4"/>
      <c r="P145" s="4"/>
      <c r="Q145" s="97"/>
    </row>
    <row r="146" spans="9:17" ht="15.75" thickBot="1">
      <c r="I146" s="96"/>
      <c r="J146" s="4"/>
      <c r="K146" s="4"/>
      <c r="L146" s="4"/>
      <c r="M146" s="4"/>
      <c r="N146" s="4"/>
      <c r="O146" s="4"/>
      <c r="P146" s="4"/>
      <c r="Q146" s="97"/>
    </row>
    <row r="147" spans="9:17">
      <c r="I147" s="165"/>
      <c r="J147" s="158" t="s">
        <v>446</v>
      </c>
      <c r="K147" s="158" t="s">
        <v>435</v>
      </c>
      <c r="L147" s="158" t="s">
        <v>447</v>
      </c>
      <c r="M147" s="158" t="s">
        <v>448</v>
      </c>
      <c r="N147" s="158" t="s">
        <v>449</v>
      </c>
      <c r="O147" s="158" t="s">
        <v>450</v>
      </c>
      <c r="P147" s="158" t="s">
        <v>462</v>
      </c>
      <c r="Q147" s="166" t="s">
        <v>463</v>
      </c>
    </row>
    <row r="148" spans="9:17">
      <c r="I148" s="163" t="s">
        <v>440</v>
      </c>
      <c r="J148" s="156">
        <v>-9.160545998683077E-2</v>
      </c>
      <c r="K148" s="156">
        <v>5.2580835715927685E-2</v>
      </c>
      <c r="L148" s="156">
        <v>-1.7421834160593577</v>
      </c>
      <c r="M148" s="156">
        <v>0.1250102213643558</v>
      </c>
      <c r="N148" s="156">
        <v>-0.21593937928972945</v>
      </c>
      <c r="O148" s="156">
        <v>3.2728459316067909E-2</v>
      </c>
      <c r="P148" s="156">
        <v>-0.21593937928972945</v>
      </c>
      <c r="Q148" s="167">
        <v>3.2728459316067909E-2</v>
      </c>
    </row>
    <row r="149" spans="9:17" ht="15.75" thickBot="1">
      <c r="I149" s="164" t="s">
        <v>451</v>
      </c>
      <c r="J149" s="746">
        <v>15.835521547612036</v>
      </c>
      <c r="K149" s="157">
        <v>9.9272356726330742</v>
      </c>
      <c r="L149" s="746">
        <v>1.5951592235557215</v>
      </c>
      <c r="M149" s="746">
        <v>0.1547065983604016</v>
      </c>
      <c r="N149" s="157">
        <v>-7.6386606751731421</v>
      </c>
      <c r="O149" s="157">
        <v>39.309703770397213</v>
      </c>
      <c r="P149" s="157">
        <v>-7.6386606751731421</v>
      </c>
      <c r="Q149" s="168">
        <v>39.309703770397213</v>
      </c>
    </row>
    <row r="150" spans="9:17">
      <c r="I150" s="96"/>
      <c r="J150" s="4"/>
      <c r="K150" s="4"/>
      <c r="L150" s="4"/>
      <c r="M150" s="4"/>
      <c r="N150" s="4"/>
      <c r="O150" s="4"/>
      <c r="P150" s="4"/>
      <c r="Q150" s="97"/>
    </row>
    <row r="151" spans="9:17">
      <c r="I151" s="96"/>
      <c r="J151" s="4"/>
      <c r="K151" s="4"/>
      <c r="L151" s="4"/>
      <c r="M151" s="4"/>
      <c r="N151" s="4"/>
      <c r="O151" s="4"/>
      <c r="P151" s="4"/>
      <c r="Q151" s="97"/>
    </row>
    <row r="152" spans="9:17" ht="15.75" thickBot="1">
      <c r="I152" s="740"/>
      <c r="J152" s="741"/>
      <c r="K152" s="741"/>
      <c r="L152" s="741"/>
      <c r="M152" s="741"/>
      <c r="N152" s="741"/>
      <c r="O152" s="741"/>
      <c r="P152" s="741"/>
      <c r="Q152" s="742"/>
    </row>
  </sheetData>
  <mergeCells count="3">
    <mergeCell ref="B2:D2"/>
    <mergeCell ref="E2:G2"/>
    <mergeCell ref="I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78"/>
  <sheetViews>
    <sheetView topLeftCell="AE1" workbookViewId="0">
      <selection activeCell="AA1" sqref="AA1:AK1"/>
    </sheetView>
  </sheetViews>
  <sheetFormatPr defaultColWidth="8.85546875" defaultRowHeight="15"/>
  <cols>
    <col min="1" max="1" width="7.42578125" style="335" bestFit="1" customWidth="1"/>
    <col min="2" max="2" width="7" style="6" bestFit="1" customWidth="1"/>
    <col min="3" max="3" width="9.7109375" customWidth="1"/>
    <col min="4" max="4" width="14.28515625" bestFit="1" customWidth="1"/>
    <col min="5" max="5" width="8.28515625" bestFit="1" customWidth="1"/>
    <col min="6" max="6" width="9.42578125" style="6" bestFit="1" customWidth="1"/>
    <col min="7" max="8" width="13.42578125" customWidth="1"/>
    <col min="9" max="9" width="22" bestFit="1" customWidth="1"/>
    <col min="10" max="10" width="19.28515625" bestFit="1" customWidth="1"/>
    <col min="11" max="11" width="14.28515625" bestFit="1" customWidth="1"/>
    <col min="12" max="12" width="13.42578125" customWidth="1"/>
    <col min="13" max="13" width="13.42578125" style="6" customWidth="1"/>
    <col min="14" max="14" width="13.42578125" customWidth="1"/>
    <col min="15" max="15" width="13.42578125" style="6" customWidth="1"/>
    <col min="16" max="16" width="13.42578125" customWidth="1"/>
    <col min="17" max="17" width="13.85546875" bestFit="1" customWidth="1"/>
    <col min="18" max="18" width="13.42578125" customWidth="1"/>
    <col min="19" max="19" width="9.42578125" style="6" bestFit="1" customWidth="1"/>
    <col min="20" max="20" width="10.28515625" bestFit="1" customWidth="1"/>
    <col min="21" max="21" width="14.42578125" bestFit="1" customWidth="1"/>
    <col min="22" max="22" width="22" bestFit="1" customWidth="1"/>
    <col min="23" max="23" width="19.28515625" bestFit="1" customWidth="1"/>
    <col min="24" max="24" width="14.28515625" bestFit="1" customWidth="1"/>
    <col min="25" max="27" width="9.140625" customWidth="1"/>
    <col min="28" max="28" width="10.42578125" style="6" customWidth="1"/>
    <col min="29" max="29" width="9" customWidth="1"/>
    <col min="30" max="30" width="14" bestFit="1" customWidth="1"/>
    <col min="31" max="31" width="9.140625" customWidth="1"/>
    <col min="32" max="32" width="9.42578125" bestFit="1" customWidth="1"/>
    <col min="33" max="33" width="10.28515625" bestFit="1" customWidth="1"/>
    <col min="34" max="34" width="14.42578125" bestFit="1" customWidth="1"/>
    <col min="35" max="35" width="22" bestFit="1" customWidth="1"/>
    <col min="36" max="36" width="19.28515625" bestFit="1" customWidth="1"/>
    <col min="37" max="37" width="14.28515625" bestFit="1" customWidth="1"/>
  </cols>
  <sheetData>
    <row r="1" spans="1:47" s="39" customFormat="1" ht="26.25">
      <c r="A1" s="933" t="s">
        <v>836</v>
      </c>
      <c r="B1" s="933"/>
      <c r="C1" s="933"/>
      <c r="D1" s="933"/>
      <c r="E1" s="933"/>
      <c r="F1" s="933"/>
      <c r="G1" s="933"/>
      <c r="H1" s="933"/>
      <c r="I1" s="933"/>
      <c r="J1" s="933"/>
      <c r="K1" s="933"/>
      <c r="M1" s="128"/>
      <c r="N1" s="932" t="s">
        <v>833</v>
      </c>
      <c r="O1" s="932"/>
      <c r="P1" s="932"/>
      <c r="Q1" s="932"/>
      <c r="R1" s="932"/>
      <c r="S1" s="932"/>
      <c r="T1" s="932"/>
      <c r="U1" s="932"/>
      <c r="V1" s="932"/>
      <c r="W1" s="932"/>
      <c r="X1" s="932"/>
      <c r="Y1" s="932"/>
      <c r="Z1" s="104"/>
      <c r="AA1" s="933" t="s">
        <v>266</v>
      </c>
      <c r="AB1" s="933"/>
      <c r="AC1" s="933"/>
      <c r="AD1" s="933"/>
      <c r="AE1" s="933"/>
      <c r="AF1" s="933"/>
      <c r="AG1" s="933"/>
      <c r="AH1" s="933"/>
      <c r="AI1" s="933"/>
      <c r="AJ1" s="933"/>
      <c r="AK1" s="933"/>
      <c r="AL1" s="104"/>
      <c r="AM1" s="104"/>
      <c r="AN1" s="931" t="s">
        <v>492</v>
      </c>
      <c r="AO1" s="931"/>
      <c r="AP1" s="931"/>
      <c r="AQ1" s="104"/>
      <c r="AR1" s="931" t="s">
        <v>130</v>
      </c>
      <c r="AS1" s="931"/>
      <c r="AT1" s="931"/>
      <c r="AU1" s="104"/>
    </row>
    <row r="2" spans="1:47">
      <c r="A2" s="57" t="s">
        <v>226</v>
      </c>
      <c r="B2" s="57" t="s">
        <v>84</v>
      </c>
      <c r="C2" s="430" t="s">
        <v>390</v>
      </c>
      <c r="D2" s="430" t="s">
        <v>791</v>
      </c>
      <c r="E2" s="337" t="s">
        <v>226</v>
      </c>
      <c r="F2" s="337" t="s">
        <v>389</v>
      </c>
      <c r="G2" s="430" t="s">
        <v>397</v>
      </c>
      <c r="H2" s="430" t="s">
        <v>794</v>
      </c>
      <c r="I2" s="430" t="s">
        <v>488</v>
      </c>
      <c r="J2" s="430" t="s">
        <v>489</v>
      </c>
      <c r="K2" s="430" t="s">
        <v>805</v>
      </c>
      <c r="L2" s="122"/>
      <c r="M2"/>
      <c r="N2" s="337" t="str">
        <f t="shared" ref="N2:N33" si="0">A2</f>
        <v>Date</v>
      </c>
      <c r="O2" s="337" t="s">
        <v>84</v>
      </c>
      <c r="P2" s="337" t="s">
        <v>390</v>
      </c>
      <c r="Q2" s="337" t="s">
        <v>792</v>
      </c>
      <c r="R2" s="427" t="str">
        <f t="shared" ref="R2:R20" si="1">E2</f>
        <v>Date</v>
      </c>
      <c r="S2" s="434" t="s">
        <v>389</v>
      </c>
      <c r="T2" s="337" t="str">
        <f>G2</f>
        <v>Yearly STD</v>
      </c>
      <c r="U2" s="337" t="s">
        <v>795</v>
      </c>
      <c r="V2" s="430" t="s">
        <v>488</v>
      </c>
      <c r="W2" s="430" t="s">
        <v>489</v>
      </c>
      <c r="X2" s="430" t="s">
        <v>805</v>
      </c>
      <c r="Y2" s="337" t="s">
        <v>226</v>
      </c>
      <c r="AA2" s="337" t="str">
        <f t="shared" ref="AA2:AA33" si="2">N2</f>
        <v>Date</v>
      </c>
      <c r="AB2" s="337" t="s">
        <v>84</v>
      </c>
      <c r="AC2" s="337" t="s">
        <v>390</v>
      </c>
      <c r="AD2" s="337" t="s">
        <v>793</v>
      </c>
      <c r="AE2" s="337" t="s">
        <v>226</v>
      </c>
      <c r="AF2" s="337" t="s">
        <v>389</v>
      </c>
      <c r="AG2" s="430" t="s">
        <v>397</v>
      </c>
      <c r="AH2" s="430" t="s">
        <v>796</v>
      </c>
      <c r="AI2" s="430" t="s">
        <v>488</v>
      </c>
      <c r="AJ2" s="430" t="s">
        <v>489</v>
      </c>
      <c r="AK2" s="430" t="s">
        <v>805</v>
      </c>
      <c r="AM2" s="427" t="str">
        <f t="shared" ref="AM2:AM21" si="3">E2</f>
        <v>Date</v>
      </c>
      <c r="AN2" s="430" t="s">
        <v>239</v>
      </c>
      <c r="AO2" s="430" t="s">
        <v>254</v>
      </c>
      <c r="AP2" s="430" t="s">
        <v>363</v>
      </c>
      <c r="AR2" s="430" t="s">
        <v>239</v>
      </c>
      <c r="AS2" s="430" t="s">
        <v>254</v>
      </c>
      <c r="AT2" s="430" t="s">
        <v>363</v>
      </c>
    </row>
    <row r="3" spans="1:47">
      <c r="A3" s="337" t="str">
        <f>USD!AE4</f>
        <v>1Q1998</v>
      </c>
      <c r="B3" s="125">
        <f>C3+1</f>
        <v>1.0197674307874114</v>
      </c>
      <c r="C3" s="24">
        <f>Returns!C4</f>
        <v>1.9767430787411389E-2</v>
      </c>
      <c r="D3" s="24">
        <f>Returns!E4</f>
        <v>6.278453497990899E-2</v>
      </c>
      <c r="E3" s="427" t="str">
        <f t="shared" ref="E3:E20" si="4">Y3</f>
        <v>1998 </v>
      </c>
      <c r="F3" s="61">
        <f>Returns!I5</f>
        <v>0.14531868618130483</v>
      </c>
      <c r="G3" s="23">
        <f>SQRT(4)*_xlfn.STDEV.S(C3:C6)</f>
        <v>9.5904241659043113E-2</v>
      </c>
      <c r="H3" s="23">
        <f>SQRT(4)*_xlfn.STDEV.S(D3:D6)</f>
        <v>0.14694779659853766</v>
      </c>
      <c r="I3" s="24">
        <f>_xlfn.STDEV.S(C15:C78)</f>
        <v>5.9753132568700192E-2</v>
      </c>
      <c r="J3" s="93">
        <f>_xlfn.STDEV.S(F6:F21)</f>
        <v>0.13347295366633502</v>
      </c>
      <c r="K3" s="704">
        <f>_xlfn.COVARIANCE.S(C35:C78,'Benchmark finished'!B35:B78)/_xlfn.VAR.S('Benchmark finished'!B35:B78)</f>
        <v>1.1967145239382919</v>
      </c>
      <c r="M3" s="24"/>
      <c r="N3" s="337" t="str">
        <f t="shared" si="0"/>
        <v>1Q1998</v>
      </c>
      <c r="O3" s="130"/>
      <c r="P3" s="123"/>
      <c r="Q3" s="123"/>
      <c r="R3" s="427" t="str">
        <f t="shared" si="1"/>
        <v>1998 </v>
      </c>
      <c r="S3" s="131"/>
      <c r="T3" s="123"/>
      <c r="U3" s="123"/>
      <c r="V3" s="24">
        <f>_xlfn.STDEV.S(P15:P78)</f>
        <v>6.5502880023334278E-2</v>
      </c>
      <c r="W3" s="23">
        <f>_xlfn.STDEV.S(S6:S21)</f>
        <v>0.13943109416674479</v>
      </c>
      <c r="X3">
        <f>_xlfn.COVARIANCE.S(O35:O78,'Benchmark finished'!C35:C78)/_xlfn.VAR.S('Benchmark finished'!C35:C78)</f>
        <v>1.310074033288904</v>
      </c>
      <c r="Y3" s="427" t="str">
        <f>Costs!AD4</f>
        <v>1998 </v>
      </c>
      <c r="AA3" s="337" t="str">
        <f t="shared" si="2"/>
        <v>1Q1998</v>
      </c>
      <c r="AB3" s="78"/>
      <c r="AC3" s="1"/>
      <c r="AD3" s="1"/>
      <c r="AE3" s="436" t="str">
        <f t="shared" ref="AE3:AE20" si="5">Y3</f>
        <v>1998 </v>
      </c>
      <c r="AF3" s="23"/>
      <c r="AG3" s="23"/>
      <c r="AH3" s="23"/>
      <c r="AI3" s="24">
        <f>_xlfn.STDEV.S(AC15:AC78)</f>
        <v>7.6956633447125375E-2</v>
      </c>
      <c r="AJ3" s="23">
        <f>_xlfn.STDEV.S(AF6:AF21)</f>
        <v>0.19302117235136934</v>
      </c>
      <c r="AK3">
        <f>_xlfn.COVARIANCE.S(AB35:AB78,'Benchmark finished'!D35:D78)/_xlfn.VAR.S('Benchmark finished'!D35:D78)</f>
        <v>1.0034990505391101</v>
      </c>
      <c r="AM3" s="427" t="str">
        <f t="shared" si="3"/>
        <v>1998 </v>
      </c>
      <c r="AN3" s="99">
        <f t="shared" ref="AN3:AN21" si="6">G3</f>
        <v>9.5904241659043113E-2</v>
      </c>
      <c r="AO3" s="46">
        <f t="shared" ref="AO3:AO21" si="7">T3</f>
        <v>0</v>
      </c>
      <c r="AP3" s="99">
        <f>AG3</f>
        <v>0</v>
      </c>
      <c r="AR3" s="226">
        <f t="shared" ref="AR3:AR20" si="8">F3</f>
        <v>0.14531868618130483</v>
      </c>
      <c r="AS3" s="87">
        <f t="shared" ref="AS3:AS21" si="9">S3</f>
        <v>0</v>
      </c>
      <c r="AT3" s="226">
        <f>AF3</f>
        <v>0</v>
      </c>
    </row>
    <row r="4" spans="1:47">
      <c r="A4" s="337" t="str">
        <f>USD!AE5</f>
        <v>2Q1998</v>
      </c>
      <c r="B4" s="125">
        <f t="shared" ref="B4:B67" si="10">C4+1</f>
        <v>1.0213294254895753</v>
      </c>
      <c r="C4" s="24">
        <f>Returns!C5</f>
        <v>2.1329425489575282E-2</v>
      </c>
      <c r="D4" s="24">
        <f>Returns!E5</f>
        <v>2.7920116796854355E-2</v>
      </c>
      <c r="E4" s="427" t="str">
        <f t="shared" si="4"/>
        <v>1999 </v>
      </c>
      <c r="F4" s="61">
        <f>Returns!I6</f>
        <v>7.8597405953688804E-2</v>
      </c>
      <c r="G4" s="23">
        <f>SQRT(4)*_xlfn.STDEV.S(C7:C10)</f>
        <v>6.7379139524606876E-2</v>
      </c>
      <c r="H4" s="23">
        <f>SQRT(4)*_xlfn.STDEV.S(D7:D10)</f>
        <v>8.8733287165500732E-2</v>
      </c>
      <c r="I4" s="337" t="s">
        <v>588</v>
      </c>
      <c r="J4" s="337" t="s">
        <v>593</v>
      </c>
      <c r="K4" s="430" t="s">
        <v>520</v>
      </c>
      <c r="M4" s="23"/>
      <c r="N4" s="337" t="str">
        <f t="shared" si="0"/>
        <v>2Q1998</v>
      </c>
      <c r="O4" s="130"/>
      <c r="P4" s="123"/>
      <c r="Q4" s="123"/>
      <c r="R4" s="427" t="str">
        <f t="shared" si="1"/>
        <v>1999 </v>
      </c>
      <c r="S4" s="127">
        <f>Returns!P6</f>
        <v>-5.8692267746834226E-2</v>
      </c>
      <c r="T4" s="93">
        <f>SQRT(4)*_xlfn.STDEV.S(P7:P10)</f>
        <v>0.10095788821963185</v>
      </c>
      <c r="U4" s="93">
        <f>SQRT(4)*_xlfn.STDEV.S(Q7:Q10)</f>
        <v>0</v>
      </c>
      <c r="V4" s="337" t="s">
        <v>588</v>
      </c>
      <c r="W4" s="337" t="s">
        <v>593</v>
      </c>
      <c r="X4" s="430" t="s">
        <v>520</v>
      </c>
      <c r="Y4" s="427" t="str">
        <f>Costs!AD5</f>
        <v>1999 </v>
      </c>
      <c r="AA4" s="337" t="str">
        <f t="shared" si="2"/>
        <v>2Q1998</v>
      </c>
      <c r="AB4" s="78"/>
      <c r="AC4" s="1"/>
      <c r="AD4" s="1"/>
      <c r="AE4" s="436" t="str">
        <f t="shared" si="5"/>
        <v>1999 </v>
      </c>
      <c r="AF4" s="23"/>
      <c r="AG4" s="23"/>
      <c r="AH4" s="23"/>
      <c r="AI4" s="337" t="s">
        <v>588</v>
      </c>
      <c r="AJ4" s="337" t="s">
        <v>593</v>
      </c>
      <c r="AK4" s="430" t="s">
        <v>520</v>
      </c>
      <c r="AM4" s="427" t="str">
        <f t="shared" si="3"/>
        <v>1999 </v>
      </c>
      <c r="AN4" s="99">
        <f t="shared" si="6"/>
        <v>6.7379139524606876E-2</v>
      </c>
      <c r="AO4" s="46">
        <f t="shared" si="7"/>
        <v>0.10095788821963185</v>
      </c>
      <c r="AP4" s="99">
        <f t="shared" ref="AP4:AP21" si="11">AG4</f>
        <v>0</v>
      </c>
      <c r="AR4" s="226">
        <f t="shared" si="8"/>
        <v>7.8597405953688804E-2</v>
      </c>
      <c r="AS4" s="87">
        <f t="shared" si="9"/>
        <v>-5.8692267746834226E-2</v>
      </c>
      <c r="AT4" s="226">
        <f t="shared" ref="AT4:AT21" si="12">AF4</f>
        <v>0</v>
      </c>
    </row>
    <row r="5" spans="1:47">
      <c r="A5" s="337" t="str">
        <f>USD!AE6</f>
        <v>3Q1998</v>
      </c>
      <c r="B5" s="125">
        <f t="shared" si="10"/>
        <v>0.99779329723672772</v>
      </c>
      <c r="C5" s="24">
        <f>Returns!C6</f>
        <v>-2.2067027632722835E-3</v>
      </c>
      <c r="D5" s="24">
        <f>Returns!E6</f>
        <v>-3.7523137184266031E-2</v>
      </c>
      <c r="E5" s="427" t="str">
        <f t="shared" si="4"/>
        <v>2000 </v>
      </c>
      <c r="F5" s="257">
        <f>Returns!I7</f>
        <v>-2.8714040550387065E-2</v>
      </c>
      <c r="G5" s="100">
        <f>SQRT(4)*_xlfn.STDEV.S(C11:C14)</f>
        <v>4.3648495810285431E-2</v>
      </c>
      <c r="H5" s="100">
        <f>SQRT(4)*_xlfn.STDEV.S(D11:D14)</f>
        <v>5.8818117674766815E-2</v>
      </c>
      <c r="I5" s="24">
        <f>_xlfn.STDEV.S(C55:C78)</f>
        <v>4.6512920482174647E-2</v>
      </c>
      <c r="J5" s="23">
        <f>_xlfn.STDEV.S(F16:F21)</f>
        <v>8.2644490964820114E-2</v>
      </c>
      <c r="K5" s="25">
        <f>_xlfn.COVARIANCE.S(C35:C54,'Benchmark finished'!B35:B54)/_xlfn.VAR.S('Benchmark finished'!B35:B54)</f>
        <v>1.2516509409901011</v>
      </c>
      <c r="M5" s="25"/>
      <c r="N5" s="337" t="str">
        <f t="shared" si="0"/>
        <v>3Q1998</v>
      </c>
      <c r="O5" s="130"/>
      <c r="P5" s="123"/>
      <c r="Q5" s="123"/>
      <c r="R5" s="427" t="str">
        <f t="shared" si="1"/>
        <v>2000 </v>
      </c>
      <c r="S5" s="66">
        <f>Returns!P7</f>
        <v>-2.8164554540235809E-2</v>
      </c>
      <c r="T5" s="191">
        <f>SQRT(4)*_xlfn.STDEV.S(P11:P14)</f>
        <v>0.125197064377669</v>
      </c>
      <c r="U5" s="191">
        <f>SQRT(4)*_xlfn.STDEV.S(Q11:Q14)</f>
        <v>0</v>
      </c>
      <c r="V5" s="24">
        <f>_xlfn.STDEV.S(P55:P78)</f>
        <v>4.7894879300621807E-2</v>
      </c>
      <c r="W5" s="23">
        <f>_xlfn.STDEV.S(S16:S21)</f>
        <v>8.2417204625837279E-2</v>
      </c>
      <c r="X5">
        <f>_xlfn.COVARIANCE.S(O35:O54,'Benchmark finished'!C35:C54)/_xlfn.VAR.S('Benchmark finished'!C35:C54)</f>
        <v>1.4085315969447476</v>
      </c>
      <c r="Y5" s="427" t="str">
        <f>Costs!AD6</f>
        <v>2000 </v>
      </c>
      <c r="AA5" s="337" t="str">
        <f t="shared" si="2"/>
        <v>3Q1998</v>
      </c>
      <c r="AB5" s="78"/>
      <c r="AC5" s="1"/>
      <c r="AD5" s="1"/>
      <c r="AE5" s="436" t="str">
        <f t="shared" si="5"/>
        <v>2000 </v>
      </c>
      <c r="AF5" s="100"/>
      <c r="AG5" s="100"/>
      <c r="AH5" s="100"/>
      <c r="AI5" s="24">
        <f>_xlfn.STDEV.S(AC55:AC78)</f>
        <v>3.5759104502579762E-2</v>
      </c>
      <c r="AJ5" s="23">
        <f>_xlfn.STDEV.S(AF16:AF21)</f>
        <v>5.3004286642164077E-2</v>
      </c>
      <c r="AK5">
        <f>_xlfn.COVARIANCE.S(AB35:AB54,'Benchmark finished'!D35:D54)/_xlfn.VAR.S('Benchmark finished'!D35:D54)</f>
        <v>1.1301967283443095</v>
      </c>
      <c r="AM5" s="427" t="str">
        <f t="shared" si="3"/>
        <v>2000 </v>
      </c>
      <c r="AN5" s="225">
        <f t="shared" si="6"/>
        <v>4.3648495810285431E-2</v>
      </c>
      <c r="AO5" s="144">
        <f t="shared" si="7"/>
        <v>0.125197064377669</v>
      </c>
      <c r="AP5" s="225">
        <f t="shared" si="11"/>
        <v>0</v>
      </c>
      <c r="AR5" s="225">
        <f t="shared" si="8"/>
        <v>-2.8714040550387065E-2</v>
      </c>
      <c r="AS5" s="144">
        <f t="shared" si="9"/>
        <v>-2.8164554540235809E-2</v>
      </c>
      <c r="AT5" s="225">
        <f t="shared" si="12"/>
        <v>0</v>
      </c>
    </row>
    <row r="6" spans="1:47">
      <c r="A6" s="337" t="str">
        <f>USD!AE7</f>
        <v>4Q1998</v>
      </c>
      <c r="B6" s="125">
        <f t="shared" si="10"/>
        <v>1.1064285326675904</v>
      </c>
      <c r="C6" s="24">
        <f>Returns!C7</f>
        <v>0.10642853266759045</v>
      </c>
      <c r="D6" s="24">
        <f>Returns!E7</f>
        <v>0.13888042129647382</v>
      </c>
      <c r="E6" s="427" t="str">
        <f t="shared" si="4"/>
        <v>2001 </v>
      </c>
      <c r="F6" s="121">
        <f>Returns!I8</f>
        <v>-6.8680816703550751E-2</v>
      </c>
      <c r="G6" s="106">
        <f>SQRT(4)*_xlfn.STDEV.S(C15:C18)</f>
        <v>8.0433753620227227E-2</v>
      </c>
      <c r="H6" s="106">
        <f>SQRT(4)*_xlfn.STDEV.S(D15:D18)</f>
        <v>9.4902241378772928E-2</v>
      </c>
      <c r="I6" s="337" t="s">
        <v>587</v>
      </c>
      <c r="J6" s="337" t="s">
        <v>594</v>
      </c>
      <c r="K6" s="430" t="s">
        <v>806</v>
      </c>
      <c r="M6"/>
      <c r="N6" s="337" t="str">
        <f t="shared" si="0"/>
        <v>4Q1998</v>
      </c>
      <c r="O6" s="130"/>
      <c r="P6" s="123"/>
      <c r="Q6" s="123"/>
      <c r="R6" s="427" t="str">
        <f t="shared" si="1"/>
        <v>2001 </v>
      </c>
      <c r="S6" s="127">
        <f>Returns!P8</f>
        <v>-5.6545375726027025E-2</v>
      </c>
      <c r="T6" s="23">
        <f>SQRT(4)*_xlfn.STDEV.S(P15:P18)</f>
        <v>8.6497697902813128E-2</v>
      </c>
      <c r="U6" s="23">
        <f>SQRT(4)*_xlfn.STDEV.S(Q15:Q18)</f>
        <v>9.9272454259866388E-2</v>
      </c>
      <c r="V6" s="337" t="s">
        <v>587</v>
      </c>
      <c r="W6" s="337" t="s">
        <v>594</v>
      </c>
      <c r="X6" s="430" t="s">
        <v>806</v>
      </c>
      <c r="Y6" s="427" t="str">
        <f>Costs!AD7</f>
        <v>2001 </v>
      </c>
      <c r="AA6" s="337" t="str">
        <f t="shared" si="2"/>
        <v>4Q1998</v>
      </c>
      <c r="AB6" s="78"/>
      <c r="AC6" s="1"/>
      <c r="AD6" s="1"/>
      <c r="AE6" s="436" t="str">
        <f t="shared" si="5"/>
        <v>2001 </v>
      </c>
      <c r="AF6" s="23">
        <f>Returns!AA8</f>
        <v>-0.21113016069121571</v>
      </c>
      <c r="AG6" s="23">
        <f>SQRT(4)*_xlfn.STDEV.S(AC15:AC18)</f>
        <v>0.28610821876736792</v>
      </c>
      <c r="AH6" s="23">
        <f>SQRT(4)*_xlfn.STDEV.S(AD15:AD18)</f>
        <v>0.24033171137347162</v>
      </c>
      <c r="AI6" s="337" t="s">
        <v>587</v>
      </c>
      <c r="AJ6" s="337" t="s">
        <v>594</v>
      </c>
      <c r="AK6" s="430" t="s">
        <v>524</v>
      </c>
      <c r="AM6" s="427" t="str">
        <f t="shared" si="3"/>
        <v>2001 </v>
      </c>
      <c r="AN6" s="24">
        <f t="shared" si="6"/>
        <v>8.0433753620227227E-2</v>
      </c>
      <c r="AO6" s="23">
        <f t="shared" si="7"/>
        <v>8.6497697902813128E-2</v>
      </c>
      <c r="AP6" s="24">
        <f t="shared" si="11"/>
        <v>0.28610821876736792</v>
      </c>
      <c r="AR6" s="24">
        <f t="shared" si="8"/>
        <v>-6.8680816703550751E-2</v>
      </c>
      <c r="AS6" s="23">
        <f t="shared" si="9"/>
        <v>-5.6545375726027025E-2</v>
      </c>
      <c r="AT6" s="227">
        <f t="shared" si="12"/>
        <v>-0.21113016069121571</v>
      </c>
    </row>
    <row r="7" spans="1:47">
      <c r="A7" s="337" t="str">
        <f>USD!AE8</f>
        <v>1Q1999</v>
      </c>
      <c r="B7" s="125">
        <f t="shared" si="10"/>
        <v>0.9871938903367391</v>
      </c>
      <c r="C7" s="24">
        <f>Returns!C8</f>
        <v>-1.2806109663260901E-2</v>
      </c>
      <c r="D7" s="24">
        <f>Returns!E8</f>
        <v>1.4206772062699269E-3</v>
      </c>
      <c r="E7" s="427">
        <f t="shared" si="4"/>
        <v>2002</v>
      </c>
      <c r="F7" s="61">
        <f>Returns!I9</f>
        <v>5.0661719598872446E-2</v>
      </c>
      <c r="G7" s="23">
        <f>SQRT(4)*_xlfn.STDEV.S(C19:C22)</f>
        <v>0.10240174663511452</v>
      </c>
      <c r="H7" s="23">
        <f>SQRT(4)*_xlfn.STDEV.S(D19:D22)</f>
        <v>9.4465972016639851E-2</v>
      </c>
      <c r="I7" s="23">
        <f>_xlfn.STDEV.S(C35:C54)</f>
        <v>8.3527796526922646E-2</v>
      </c>
      <c r="J7" s="23">
        <f>_xlfn.STDEV.S(F11:F15)</f>
        <v>0.21036950025371784</v>
      </c>
      <c r="K7" s="703">
        <f>_xlfn.COVARIANCE.S(C55:C78,'Benchmark finished'!B55:B78)/_xlfn.VAR.S('Benchmark finished'!B55:B78)</f>
        <v>1.0954443781075041</v>
      </c>
      <c r="M7"/>
      <c r="N7" s="337" t="str">
        <f t="shared" si="0"/>
        <v>1Q1999</v>
      </c>
      <c r="O7" s="126">
        <f>P7+1</f>
        <v>0.94156490750183752</v>
      </c>
      <c r="P7" s="93">
        <f>USD!AR8</f>
        <v>-5.8435092498162478E-2</v>
      </c>
      <c r="Q7" s="93">
        <f>Returns!N8</f>
        <v>2.4113687777131201E-2</v>
      </c>
      <c r="R7" s="427">
        <f t="shared" si="1"/>
        <v>2002</v>
      </c>
      <c r="S7" s="127">
        <f>Returns!P9</f>
        <v>9.6880110748693071E-2</v>
      </c>
      <c r="T7" s="23">
        <f>SQRT(4)*_xlfn.STDEV.S(P19:P22)</f>
        <v>0.12627154223736087</v>
      </c>
      <c r="U7" s="23">
        <f>SQRT(4)*_xlfn.STDEV.S(Q19:Q22)</f>
        <v>8.646726833940116E-2</v>
      </c>
      <c r="V7" s="23">
        <f>_xlfn.STDEV.S(P35:P54)</f>
        <v>8.8060423854042461E-2</v>
      </c>
      <c r="W7" s="23">
        <f>_xlfn.STDEV.S(S11:S15)</f>
        <v>0.19900502479961288</v>
      </c>
      <c r="X7">
        <f>_xlfn.COVARIANCE.S(O55:O78,'Benchmark finished'!C55:C78)/_xlfn.VAR.S('Benchmark finished'!C55:C78)</f>
        <v>1.1000501190434406</v>
      </c>
      <c r="Y7" s="427">
        <f>Costs!AD8</f>
        <v>2002</v>
      </c>
      <c r="AA7" s="337" t="str">
        <f t="shared" si="2"/>
        <v>1Q1999</v>
      </c>
      <c r="AB7" s="145"/>
      <c r="AC7" s="123"/>
      <c r="AD7" s="123"/>
      <c r="AE7" s="436">
        <f t="shared" si="5"/>
        <v>2002</v>
      </c>
      <c r="AF7" s="23">
        <f>Returns!AA9</f>
        <v>-0.18622153272931408</v>
      </c>
      <c r="AG7" s="23">
        <f>SQRT(4)*_xlfn.STDEV.S(AC19:AC22)</f>
        <v>0.22269163027806421</v>
      </c>
      <c r="AH7" s="23">
        <f>SQRT(4)*_xlfn.STDEV.S(AD19:AD22)</f>
        <v>0.20481460496759338</v>
      </c>
      <c r="AI7" s="23">
        <f>_xlfn.STDEV.S(AC35:AC54)</f>
        <v>8.5937988819586461E-2</v>
      </c>
      <c r="AJ7" s="23">
        <f>_xlfn.STDEV.S(AF11:AF15)</f>
        <v>0.23436469640521787</v>
      </c>
      <c r="AK7">
        <f>_xlfn.COVARIANCE.S(AB55:AB78,'Benchmark finished'!D55:D78)/_xlfn.VAR.S('Benchmark finished'!D55:D78)</f>
        <v>0.72338294929893088</v>
      </c>
      <c r="AM7" s="427">
        <f t="shared" si="3"/>
        <v>2002</v>
      </c>
      <c r="AN7" s="24">
        <f t="shared" si="6"/>
        <v>0.10240174663511452</v>
      </c>
      <c r="AO7" s="23">
        <f t="shared" si="7"/>
        <v>0.12627154223736087</v>
      </c>
      <c r="AP7" s="24">
        <f t="shared" si="11"/>
        <v>0.22269163027806421</v>
      </c>
      <c r="AR7" s="24">
        <f t="shared" si="8"/>
        <v>5.0661719598872446E-2</v>
      </c>
      <c r="AS7" s="23">
        <f t="shared" si="9"/>
        <v>9.6880110748693071E-2</v>
      </c>
      <c r="AT7" s="227">
        <f t="shared" si="12"/>
        <v>-0.18622153272931408</v>
      </c>
    </row>
    <row r="8" spans="1:47">
      <c r="A8" s="337" t="str">
        <f>USD!AE9</f>
        <v>2Q1999</v>
      </c>
      <c r="B8" s="125">
        <f t="shared" si="10"/>
        <v>0.99733208114513805</v>
      </c>
      <c r="C8" s="24">
        <f>Returns!C9</f>
        <v>-2.6679188548619504E-3</v>
      </c>
      <c r="D8" s="24">
        <f>Returns!E9</f>
        <v>1.5875272851554989E-2</v>
      </c>
      <c r="E8" s="427" t="str">
        <f t="shared" si="4"/>
        <v>2003 </v>
      </c>
      <c r="F8" s="61">
        <f>Returns!I10</f>
        <v>0.23254177609509608</v>
      </c>
      <c r="G8" s="23">
        <f>SQRT(4)*_xlfn.STDEV.S(C23:C26)</f>
        <v>0.10291649808599844</v>
      </c>
      <c r="H8" s="23">
        <f>SQRT(4)*_xlfn.STDEV.S(D23:D26)</f>
        <v>7.9103340699872515E-2</v>
      </c>
      <c r="I8" s="337" t="s">
        <v>586</v>
      </c>
      <c r="J8" s="337" t="s">
        <v>595</v>
      </c>
      <c r="M8"/>
      <c r="N8" s="337" t="str">
        <f t="shared" si="0"/>
        <v>2Q1999</v>
      </c>
      <c r="O8" s="126">
        <f t="shared" ref="O8:O67" si="13">P8+1</f>
        <v>0.97824862968910464</v>
      </c>
      <c r="P8" s="93">
        <f>USD!AR9</f>
        <v>-2.1751370310895357E-2</v>
      </c>
      <c r="Q8" s="93">
        <f>Returns!N9</f>
        <v>2.4113687777131201E-2</v>
      </c>
      <c r="R8" s="427" t="str">
        <f t="shared" si="1"/>
        <v>2003 </v>
      </c>
      <c r="S8" s="127">
        <f>Returns!P10</f>
        <v>0.30402085757776676</v>
      </c>
      <c r="T8" s="23">
        <f>SQRT(4)*_xlfn.STDEV.S(P23:P26)</f>
        <v>0.11529744594170639</v>
      </c>
      <c r="U8" s="23">
        <f>SQRT(4)*_xlfn.STDEV.S(Q23:Q26)</f>
        <v>7.2903278653555406E-2</v>
      </c>
      <c r="V8" s="337" t="s">
        <v>586</v>
      </c>
      <c r="W8" s="337" t="s">
        <v>595</v>
      </c>
      <c r="Y8" s="427" t="str">
        <f>Costs!AD9</f>
        <v>2003 </v>
      </c>
      <c r="AA8" s="337" t="str">
        <f t="shared" si="2"/>
        <v>2Q1999</v>
      </c>
      <c r="AB8" s="145"/>
      <c r="AC8" s="123"/>
      <c r="AD8" s="123"/>
      <c r="AE8" s="436" t="str">
        <f t="shared" si="5"/>
        <v>2003 </v>
      </c>
      <c r="AF8" s="23">
        <f>Returns!AA10</f>
        <v>0.44641942924210642</v>
      </c>
      <c r="AG8" s="23">
        <f>SQRT(4)*_xlfn.STDEV.S(AC23:AC26)</f>
        <v>0.15953340983992978</v>
      </c>
      <c r="AH8" s="23">
        <f>SQRT(4)*_xlfn.STDEV.S(AD23:AD26)</f>
        <v>0.15011412493662971</v>
      </c>
      <c r="AI8" s="337" t="s">
        <v>586</v>
      </c>
      <c r="AJ8" s="337" t="s">
        <v>595</v>
      </c>
      <c r="AM8" s="427" t="str">
        <f t="shared" si="3"/>
        <v>2003 </v>
      </c>
      <c r="AN8" s="24">
        <f t="shared" si="6"/>
        <v>0.10291649808599844</v>
      </c>
      <c r="AO8" s="23">
        <f t="shared" si="7"/>
        <v>0.11529744594170639</v>
      </c>
      <c r="AP8" s="24">
        <f t="shared" si="11"/>
        <v>0.15953340983992978</v>
      </c>
      <c r="AR8" s="24">
        <f t="shared" si="8"/>
        <v>0.23254177609509608</v>
      </c>
      <c r="AS8" s="23">
        <f t="shared" si="9"/>
        <v>0.30402085757776676</v>
      </c>
      <c r="AT8" s="227">
        <f t="shared" si="12"/>
        <v>0.44641942924210642</v>
      </c>
    </row>
    <row r="9" spans="1:47">
      <c r="A9" s="337" t="str">
        <f>USD!AE10</f>
        <v>3Q1999</v>
      </c>
      <c r="B9" s="125">
        <f t="shared" si="10"/>
        <v>1.0337406474644868</v>
      </c>
      <c r="C9" s="24">
        <f>Returns!C10</f>
        <v>3.3740647464486795E-2</v>
      </c>
      <c r="D9" s="24">
        <f>Returns!E10</f>
        <v>1.7983406728286244E-2</v>
      </c>
      <c r="E9" s="427">
        <f t="shared" si="4"/>
        <v>2004</v>
      </c>
      <c r="F9" s="61">
        <f>Returns!I11</f>
        <v>0.1380218205494993</v>
      </c>
      <c r="G9" s="23">
        <f>SQRT(4)*_xlfn.STDEV.S(C27:C30)</f>
        <v>9.719952513646439E-2</v>
      </c>
      <c r="H9" s="23">
        <f>SQRT(4)*_xlfn.STDEV.S(D27:D30)</f>
        <v>6.272793784728084E-2</v>
      </c>
      <c r="I9" s="23">
        <f>_xlfn.STDEV.S(C15:C34)</f>
        <v>4.6967021411431067E-2</v>
      </c>
      <c r="J9" s="23">
        <f>_xlfn.STDEV.S(F6:F10)</f>
        <v>0.11486898332918899</v>
      </c>
      <c r="M9"/>
      <c r="N9" s="337" t="str">
        <f t="shared" si="0"/>
        <v>3Q1999</v>
      </c>
      <c r="O9" s="126">
        <f t="shared" si="13"/>
        <v>1.0575807639063024</v>
      </c>
      <c r="P9" s="93">
        <f>USD!AR10</f>
        <v>5.7580763906302401E-2</v>
      </c>
      <c r="Q9" s="93">
        <f>Returns!N10</f>
        <v>2.4113687777131201E-2</v>
      </c>
      <c r="R9" s="427">
        <f t="shared" si="1"/>
        <v>2004</v>
      </c>
      <c r="S9" s="127">
        <f>Returns!P11</f>
        <v>0.19210386998337114</v>
      </c>
      <c r="T9" s="23">
        <f>SQRT(4)*_xlfn.STDEV.S(P27:P30)</f>
        <v>0.13941464834630346</v>
      </c>
      <c r="U9" s="23">
        <f>SQRT(4)*_xlfn.STDEV.S(Q27:Q30)</f>
        <v>4.6416310587933753E-2</v>
      </c>
      <c r="V9" s="23">
        <f>_xlfn.STDEV.S(P15:P34)</f>
        <v>5.9659980588863036E-2</v>
      </c>
      <c r="W9" s="23">
        <f>_xlfn.STDEV.S(S6:S10)</f>
        <v>0.1490832840685726</v>
      </c>
      <c r="Y9" s="427">
        <f>Costs!AD10</f>
        <v>2004</v>
      </c>
      <c r="AA9" s="337" t="str">
        <f t="shared" si="2"/>
        <v>3Q1999</v>
      </c>
      <c r="AB9" s="145"/>
      <c r="AC9" s="123"/>
      <c r="AD9" s="123"/>
      <c r="AE9" s="436">
        <f t="shared" si="5"/>
        <v>2004</v>
      </c>
      <c r="AF9" s="23">
        <f>Returns!AA11</f>
        <v>0.21758949600640776</v>
      </c>
      <c r="AG9" s="23">
        <f>SQRT(4)*_xlfn.STDEV.S(AC27:AC30)</f>
        <v>0.1200862646647191</v>
      </c>
      <c r="AH9" s="23">
        <f>SQRT(4)*_xlfn.STDEV.S(AD27:AD30)</f>
        <v>6.1562476283704884E-2</v>
      </c>
      <c r="AI9" s="23">
        <f>_xlfn.STDEV.S(AC15:AC34)</f>
        <v>0.10327777615878737</v>
      </c>
      <c r="AJ9" s="23">
        <f>_xlfn.STDEV.S(AF6:AF10)</f>
        <v>0.28256296376001377</v>
      </c>
      <c r="AM9" s="427">
        <f t="shared" si="3"/>
        <v>2004</v>
      </c>
      <c r="AN9" s="24">
        <f t="shared" si="6"/>
        <v>9.719952513646439E-2</v>
      </c>
      <c r="AO9" s="23">
        <f t="shared" si="7"/>
        <v>0.13941464834630346</v>
      </c>
      <c r="AP9" s="24">
        <f t="shared" si="11"/>
        <v>0.1200862646647191</v>
      </c>
      <c r="AR9" s="24">
        <f t="shared" si="8"/>
        <v>0.1380218205494993</v>
      </c>
      <c r="AS9" s="23">
        <f t="shared" si="9"/>
        <v>0.19210386998337114</v>
      </c>
      <c r="AT9" s="227">
        <f t="shared" si="12"/>
        <v>0.21758949600640776</v>
      </c>
    </row>
    <row r="10" spans="1:47">
      <c r="A10" s="337" t="str">
        <f>USD!AE11</f>
        <v>4Q1999</v>
      </c>
      <c r="B10" s="125">
        <f t="shared" si="10"/>
        <v>1.0603307870073249</v>
      </c>
      <c r="C10" s="24">
        <f>Returns!C11</f>
        <v>6.033078700732486E-2</v>
      </c>
      <c r="D10" s="24">
        <f>Returns!E11</f>
        <v>9.9263151860163878E-2</v>
      </c>
      <c r="E10" s="427" t="str">
        <f t="shared" si="4"/>
        <v>2005 </v>
      </c>
      <c r="F10" s="61">
        <f>Returns!I12</f>
        <v>2.2541971465570576E-2</v>
      </c>
      <c r="G10" s="23">
        <f>SQRT(4)*_xlfn.STDEV.S(C31:C34)</f>
        <v>3.5977637472784756E-2</v>
      </c>
      <c r="H10" s="23">
        <f>SQRT(4)*_xlfn.STDEV.S(D31:D34)</f>
        <v>1.9649137013730889E-2</v>
      </c>
      <c r="J10" s="46"/>
      <c r="M10"/>
      <c r="N10" s="337" t="str">
        <f t="shared" si="0"/>
        <v>4Q1999</v>
      </c>
      <c r="O10" s="126">
        <f t="shared" si="13"/>
        <v>0.96391343115592121</v>
      </c>
      <c r="P10" s="93">
        <f>USD!AR11</f>
        <v>-3.6086568844078792E-2</v>
      </c>
      <c r="Q10" s="93">
        <f>Returns!N11</f>
        <v>2.4113687777131201E-2</v>
      </c>
      <c r="R10" s="427" t="str">
        <f t="shared" si="1"/>
        <v>2005 </v>
      </c>
      <c r="S10" s="127">
        <f>Returns!P12</f>
        <v>-1.9730742936255208E-2</v>
      </c>
      <c r="T10" s="23">
        <f>SQRT(4)*_xlfn.STDEV.S(P31:P34)</f>
        <v>6.6170510077797937E-2</v>
      </c>
      <c r="U10" s="23">
        <f>SQRT(4)*_xlfn.STDEV.S(Q31:Q34)</f>
        <v>3.1828435107086724E-2</v>
      </c>
      <c r="Y10" s="427" t="str">
        <f>Costs!AD11</f>
        <v>2005 </v>
      </c>
      <c r="AA10" s="337" t="str">
        <f t="shared" si="2"/>
        <v>4Q1999</v>
      </c>
      <c r="AB10" s="145"/>
      <c r="AC10" s="123"/>
      <c r="AD10" s="123"/>
      <c r="AE10" s="436" t="str">
        <f t="shared" si="5"/>
        <v>2005 </v>
      </c>
      <c r="AF10" s="23">
        <f>Returns!AA12</f>
        <v>0.18527045342482196</v>
      </c>
      <c r="AG10" s="23">
        <f>SQRT(4)*_xlfn.STDEV.S(AC31:AC34)</f>
        <v>9.3983766941799773E-2</v>
      </c>
      <c r="AH10" s="23">
        <f>SQRT(4)*_xlfn.STDEV.S(AD31:AD34)</f>
        <v>2.7193479012414867E-2</v>
      </c>
      <c r="AM10" s="427" t="str">
        <f t="shared" si="3"/>
        <v>2005 </v>
      </c>
      <c r="AN10" s="24">
        <f t="shared" si="6"/>
        <v>3.5977637472784756E-2</v>
      </c>
      <c r="AO10" s="23">
        <f t="shared" si="7"/>
        <v>6.6170510077797937E-2</v>
      </c>
      <c r="AP10" s="24">
        <f t="shared" si="11"/>
        <v>9.3983766941799773E-2</v>
      </c>
      <c r="AR10" s="24">
        <f t="shared" si="8"/>
        <v>2.2541971465570576E-2</v>
      </c>
      <c r="AS10" s="23">
        <f t="shared" si="9"/>
        <v>-1.9730742936255208E-2</v>
      </c>
      <c r="AT10" s="227">
        <f t="shared" si="12"/>
        <v>0.18527045342482196</v>
      </c>
    </row>
    <row r="11" spans="1:47">
      <c r="A11" s="337" t="str">
        <f>USD!AE12</f>
        <v>1Q2000</v>
      </c>
      <c r="B11" s="125">
        <f t="shared" si="10"/>
        <v>1.003342505908674</v>
      </c>
      <c r="C11" s="24">
        <f>Returns!C12</f>
        <v>3.3425059086740205E-3</v>
      </c>
      <c r="D11" s="24">
        <f>Returns!E12</f>
        <v>5.3533662537651017E-2</v>
      </c>
      <c r="E11" s="427" t="str">
        <f t="shared" si="4"/>
        <v>2006 </v>
      </c>
      <c r="F11" s="61">
        <f>Returns!I13</f>
        <v>0.14397423298343881</v>
      </c>
      <c r="G11" s="23">
        <f>SQRT(4)*_xlfn.STDEV.S(C35:C38)</f>
        <v>2.9731901073595551E-2</v>
      </c>
      <c r="H11" s="23">
        <f>SQRT(4)*_xlfn.STDEV.S(D35:D38)</f>
        <v>9.7419563324571093E-2</v>
      </c>
      <c r="I11" s="337" t="s">
        <v>589</v>
      </c>
      <c r="M11"/>
      <c r="N11" s="337" t="str">
        <f t="shared" si="0"/>
        <v>1Q2000</v>
      </c>
      <c r="O11" s="126">
        <f t="shared" si="13"/>
        <v>0.96215177338354985</v>
      </c>
      <c r="P11" s="93">
        <f>USD!AR12</f>
        <v>-3.7848226616450154E-2</v>
      </c>
      <c r="Q11" s="93">
        <f>Returns!N12</f>
        <v>7.8485240453337705E-3</v>
      </c>
      <c r="R11" s="427" t="str">
        <f t="shared" si="1"/>
        <v>2006 </v>
      </c>
      <c r="S11" s="127">
        <f>Returns!P13</f>
        <v>0.20868661304458969</v>
      </c>
      <c r="T11" s="23">
        <f>SQRT(4)*_xlfn.STDEV.S(P35:P38)</f>
        <v>4.8255711756969556E-2</v>
      </c>
      <c r="U11" s="23">
        <f>SQRT(4)*_xlfn.STDEV.S(Q35:Q38)</f>
        <v>5.1554651280419292E-2</v>
      </c>
      <c r="V11" s="337" t="s">
        <v>589</v>
      </c>
      <c r="Y11" s="427" t="str">
        <f>Costs!AD12</f>
        <v>2006 </v>
      </c>
      <c r="AA11" s="337" t="str">
        <f t="shared" si="2"/>
        <v>1Q2000</v>
      </c>
      <c r="AB11" s="145"/>
      <c r="AC11" s="123"/>
      <c r="AD11" s="123"/>
      <c r="AE11" s="436" t="str">
        <f t="shared" si="5"/>
        <v>2006 </v>
      </c>
      <c r="AF11" s="23">
        <f>Returns!AA13</f>
        <v>0.15261002993067896</v>
      </c>
      <c r="AG11" s="23">
        <f>SQRT(4)*_xlfn.STDEV.S(AC35:AC38)</f>
        <v>2.4988612165459712E-2</v>
      </c>
      <c r="AH11" s="23">
        <f>SQRT(4)*_xlfn.STDEV.S(AD35:AD38)</f>
        <v>9.5183728753234775E-2</v>
      </c>
      <c r="AI11" s="337" t="s">
        <v>589</v>
      </c>
      <c r="AM11" s="427" t="str">
        <f t="shared" si="3"/>
        <v>2006 </v>
      </c>
      <c r="AN11" s="24">
        <f t="shared" si="6"/>
        <v>2.9731901073595551E-2</v>
      </c>
      <c r="AO11" s="23">
        <f t="shared" si="7"/>
        <v>4.8255711756969556E-2</v>
      </c>
      <c r="AP11" s="24">
        <f t="shared" si="11"/>
        <v>2.4988612165459712E-2</v>
      </c>
      <c r="AR11" s="24">
        <f t="shared" si="8"/>
        <v>0.14397423298343881</v>
      </c>
      <c r="AS11" s="23">
        <f t="shared" si="9"/>
        <v>0.20868661304458969</v>
      </c>
      <c r="AT11" s="227">
        <f t="shared" si="12"/>
        <v>0.15261002993067896</v>
      </c>
    </row>
    <row r="12" spans="1:47" ht="13.5" customHeight="1">
      <c r="A12" s="337" t="str">
        <f>USD!AE13</f>
        <v>2Q2000</v>
      </c>
      <c r="B12" s="125">
        <f t="shared" si="10"/>
        <v>0.98884393137572946</v>
      </c>
      <c r="C12" s="24">
        <f>Returns!C13</f>
        <v>-1.1156068624270543E-2</v>
      </c>
      <c r="D12" s="24">
        <f>Returns!E13</f>
        <v>1.5571703740073772E-3</v>
      </c>
      <c r="E12" s="427" t="str">
        <f t="shared" si="4"/>
        <v>2007 </v>
      </c>
      <c r="F12" s="61">
        <f>Returns!I14</f>
        <v>9.7812411217770734E-2</v>
      </c>
      <c r="G12" s="23">
        <f>SQRT(4)*_xlfn.STDEV.S(C39:C42)</f>
        <v>3.2567274805238661E-2</v>
      </c>
      <c r="H12" s="23">
        <f>SQRT(4)*_xlfn.STDEV.S(D39:D42)</f>
        <v>4.4999564607091494E-2</v>
      </c>
      <c r="I12" s="24">
        <f>AVERAGE(C15:C78)</f>
        <v>1.4693652852697072E-2</v>
      </c>
      <c r="M12"/>
      <c r="N12" s="337" t="str">
        <f t="shared" si="0"/>
        <v>2Q2000</v>
      </c>
      <c r="O12" s="126">
        <f t="shared" si="13"/>
        <v>1.0095845582518836</v>
      </c>
      <c r="P12" s="93">
        <f>USD!AR13</f>
        <v>9.5845582518836459E-3</v>
      </c>
      <c r="Q12" s="93">
        <f>Returns!N13</f>
        <v>7.8485240453337705E-3</v>
      </c>
      <c r="R12" s="427" t="str">
        <f t="shared" si="1"/>
        <v>2007 </v>
      </c>
      <c r="S12" s="127">
        <f>Returns!P14</f>
        <v>0.14358951561793143</v>
      </c>
      <c r="T12" s="23">
        <f>SQRT(4)*_xlfn.STDEV.S(P39:P42)</f>
        <v>4.7717479323646762E-2</v>
      </c>
      <c r="U12" s="23">
        <f>SQRT(4)*_xlfn.STDEV.S(Q39:Q42)</f>
        <v>2.6559630859409489E-2</v>
      </c>
      <c r="V12" s="24">
        <f>AVERAGE(P15:P78)</f>
        <v>1.8690244971533709E-2</v>
      </c>
      <c r="Y12" s="427" t="str">
        <f>Costs!AD13</f>
        <v>2007 </v>
      </c>
      <c r="AA12" s="337" t="str">
        <f t="shared" si="2"/>
        <v>2Q2000</v>
      </c>
      <c r="AB12" s="145"/>
      <c r="AC12" s="142"/>
      <c r="AD12" s="142"/>
      <c r="AE12" s="436" t="str">
        <f t="shared" si="5"/>
        <v>2007 </v>
      </c>
      <c r="AF12" s="23">
        <f>Returns!AA14</f>
        <v>0.21301464748413879</v>
      </c>
      <c r="AG12" s="23">
        <f>SQRT(4)*_xlfn.STDEV.S(AC39:AC42)</f>
        <v>7.6482514994238193E-2</v>
      </c>
      <c r="AH12" s="23">
        <f>SQRT(4)*_xlfn.STDEV.S(AD39:AD42)</f>
        <v>2.3590413643314156E-2</v>
      </c>
      <c r="AI12" s="24">
        <f>AVERAGE(AC15:AC78)</f>
        <v>1.7158295236089534E-2</v>
      </c>
      <c r="AM12" s="427" t="str">
        <f t="shared" si="3"/>
        <v>2007 </v>
      </c>
      <c r="AN12" s="24">
        <f t="shared" si="6"/>
        <v>3.2567274805238661E-2</v>
      </c>
      <c r="AO12" s="23">
        <f t="shared" si="7"/>
        <v>4.7717479323646762E-2</v>
      </c>
      <c r="AP12" s="24">
        <f t="shared" si="11"/>
        <v>7.6482514994238193E-2</v>
      </c>
      <c r="AR12" s="24">
        <f t="shared" si="8"/>
        <v>9.7812411217770734E-2</v>
      </c>
      <c r="AS12" s="23">
        <f t="shared" si="9"/>
        <v>0.14358951561793143</v>
      </c>
      <c r="AT12" s="227">
        <f t="shared" si="12"/>
        <v>0.21301464748413879</v>
      </c>
    </row>
    <row r="13" spans="1:47">
      <c r="A13" s="337" t="str">
        <f>USD!AE14</f>
        <v>3Q2000</v>
      </c>
      <c r="B13" s="125">
        <f t="shared" si="10"/>
        <v>0.96424193401964398</v>
      </c>
      <c r="C13" s="24">
        <f>Returns!C14</f>
        <v>-3.5758065980356024E-2</v>
      </c>
      <c r="D13" s="24">
        <f>Returns!E14</f>
        <v>2.4108704540863224E-2</v>
      </c>
      <c r="E13" s="427" t="str">
        <f t="shared" si="4"/>
        <v>2008 </v>
      </c>
      <c r="F13" s="61">
        <f>Returns!I15</f>
        <v>-0.28102700300051109</v>
      </c>
      <c r="G13" s="23">
        <f>SQRT(4)*_xlfn.STDEV.S(C43:C46)</f>
        <v>0.12597187231411344</v>
      </c>
      <c r="H13" s="23">
        <f>SQRT(4)*_xlfn.STDEV.S(D43:D46)</f>
        <v>0.10043041593106046</v>
      </c>
      <c r="I13" s="337" t="s">
        <v>590</v>
      </c>
      <c r="M13"/>
      <c r="N13" s="337" t="str">
        <f t="shared" si="0"/>
        <v>3Q2000</v>
      </c>
      <c r="O13" s="126">
        <f t="shared" si="13"/>
        <v>0.92783569985192682</v>
      </c>
      <c r="P13" s="93">
        <f>USD!AR14</f>
        <v>-7.2164300148073179E-2</v>
      </c>
      <c r="Q13" s="93">
        <f>Returns!N14</f>
        <v>7.8485240453337705E-3</v>
      </c>
      <c r="R13" s="427" t="str">
        <f t="shared" si="1"/>
        <v>2008 </v>
      </c>
      <c r="S13" s="127">
        <f>Returns!P15</f>
        <v>-0.25453543596623374</v>
      </c>
      <c r="T13" s="23">
        <f>SQRT(4)*_xlfn.STDEV.S(P43:P46)</f>
        <v>0.17913822159640999</v>
      </c>
      <c r="U13" s="23">
        <f>SQRT(4)*_xlfn.STDEV.S(Q43:Q46)</f>
        <v>9.1330046892238018E-2</v>
      </c>
      <c r="V13" s="337" t="s">
        <v>590</v>
      </c>
      <c r="Y13" s="427" t="str">
        <f>Costs!AD14</f>
        <v>2008 </v>
      </c>
      <c r="AA13" s="337" t="str">
        <f t="shared" si="2"/>
        <v>3Q2000</v>
      </c>
      <c r="AB13" s="437"/>
      <c r="AC13" s="191"/>
      <c r="AD13" s="191"/>
      <c r="AE13" s="436" t="str">
        <f t="shared" si="5"/>
        <v>2008 </v>
      </c>
      <c r="AF13" s="23">
        <f>Returns!AA15</f>
        <v>-0.32111718322328797</v>
      </c>
      <c r="AG13" s="23">
        <f>SQRT(4)*_xlfn.STDEV.S(AC43:AC46)</f>
        <v>0.19259197340655748</v>
      </c>
      <c r="AH13" s="23">
        <f>SQRT(4)*_xlfn.STDEV.S(AD43:AD46)</f>
        <v>9.4938681195084099E-2</v>
      </c>
      <c r="AI13" s="337" t="s">
        <v>590</v>
      </c>
      <c r="AM13" s="427" t="str">
        <f t="shared" si="3"/>
        <v>2008 </v>
      </c>
      <c r="AN13" s="24">
        <f t="shared" si="6"/>
        <v>0.12597187231411344</v>
      </c>
      <c r="AO13" s="23">
        <f t="shared" si="7"/>
        <v>0.17913822159640999</v>
      </c>
      <c r="AP13" s="24">
        <f t="shared" si="11"/>
        <v>0.19259197340655748</v>
      </c>
      <c r="AR13" s="24">
        <f t="shared" si="8"/>
        <v>-0.28102700300051109</v>
      </c>
      <c r="AS13" s="23">
        <f t="shared" si="9"/>
        <v>-0.25453543596623374</v>
      </c>
      <c r="AT13" s="227">
        <f t="shared" si="12"/>
        <v>-0.32111718322328797</v>
      </c>
    </row>
    <row r="14" spans="1:47">
      <c r="A14" s="337" t="str">
        <f>USD!AE15</f>
        <v>4Q2000</v>
      </c>
      <c r="B14" s="175">
        <f t="shared" si="10"/>
        <v>1.0148575881455655</v>
      </c>
      <c r="C14" s="101">
        <f>Returns!C15</f>
        <v>1.4857588145565481E-2</v>
      </c>
      <c r="D14" s="101">
        <f>Returns!E15</f>
        <v>-1.4196153390281241E-2</v>
      </c>
      <c r="E14" s="427" t="str">
        <f t="shared" si="4"/>
        <v>2009 </v>
      </c>
      <c r="F14" s="61">
        <f>Returns!I16</f>
        <v>0.28762640426230202</v>
      </c>
      <c r="G14" s="23">
        <f>SQRT(4)*_xlfn.STDEV.S(C47:C50)</f>
        <v>0.24286244882650884</v>
      </c>
      <c r="H14" s="23">
        <f>SQRT(4)*_xlfn.STDEV.S(D47:D50)</f>
        <v>0.19600374853456284</v>
      </c>
      <c r="I14" s="24">
        <f>AVERAGE(C55:C78)</f>
        <v>1.0781909965950312E-2</v>
      </c>
      <c r="M14"/>
      <c r="N14" s="337" t="str">
        <f t="shared" si="0"/>
        <v>4Q2000</v>
      </c>
      <c r="O14" s="258">
        <f t="shared" si="13"/>
        <v>1.0722634139724039</v>
      </c>
      <c r="P14" s="191">
        <f>USD!AR15</f>
        <v>7.2263413972403878E-2</v>
      </c>
      <c r="Q14" s="191">
        <f>Returns!N15</f>
        <v>7.8485240453337705E-3</v>
      </c>
      <c r="R14" s="427" t="str">
        <f t="shared" si="1"/>
        <v>2009 </v>
      </c>
      <c r="S14" s="127">
        <f>Returns!P16</f>
        <v>0.24112412195647193</v>
      </c>
      <c r="T14" s="23">
        <f>SQRT(4)*_xlfn.STDEV.S(P47:P50)</f>
        <v>0.23083118567329225</v>
      </c>
      <c r="U14" s="23">
        <f>SQRT(4)*_xlfn.STDEV.S(Q47:Q50)</f>
        <v>0.13430803599952904</v>
      </c>
      <c r="V14" s="24">
        <f>AVERAGE(P55:P78)</f>
        <v>1.0880367996142013E-2</v>
      </c>
      <c r="Y14" s="427" t="str">
        <f>Costs!AD15</f>
        <v>2009 </v>
      </c>
      <c r="AA14" s="337" t="str">
        <f t="shared" si="2"/>
        <v>4Q2000</v>
      </c>
      <c r="AB14" s="145">
        <f t="shared" ref="AB14:AB71" si="14">AC14+1</f>
        <v>0.92119875112757499</v>
      </c>
      <c r="AC14" s="93">
        <f>Returns!U15</f>
        <v>-7.8801248872425012E-2</v>
      </c>
      <c r="AD14" s="93">
        <f>Returns!V15</f>
        <v>-8.0393111661825251E-2</v>
      </c>
      <c r="AE14" s="436" t="str">
        <f t="shared" si="5"/>
        <v>2009 </v>
      </c>
      <c r="AF14" s="23">
        <f>Returns!AA16</f>
        <v>0.25901781745407937</v>
      </c>
      <c r="AG14" s="23">
        <f>SQRT(4)*_xlfn.STDEV.S(AC47:AC50)</f>
        <v>0.21159271264344831</v>
      </c>
      <c r="AH14" s="23">
        <f>SQRT(4)*_xlfn.STDEV.S(AD47:AD50)</f>
        <v>0.11105411923455526</v>
      </c>
      <c r="AI14" s="24">
        <f>AVERAGE(AC55:AC78)</f>
        <v>1.2852843382518769E-2</v>
      </c>
      <c r="AM14" s="427" t="str">
        <f t="shared" si="3"/>
        <v>2009 </v>
      </c>
      <c r="AN14" s="24">
        <f t="shared" si="6"/>
        <v>0.24286244882650884</v>
      </c>
      <c r="AO14" s="23">
        <f t="shared" si="7"/>
        <v>0.23083118567329225</v>
      </c>
      <c r="AP14" s="24">
        <f t="shared" si="11"/>
        <v>0.21159271264344831</v>
      </c>
      <c r="AR14" s="24">
        <f t="shared" si="8"/>
        <v>0.28762640426230202</v>
      </c>
      <c r="AS14" s="23">
        <f t="shared" si="9"/>
        <v>0.24112412195647193</v>
      </c>
      <c r="AT14" s="227">
        <f t="shared" si="12"/>
        <v>0.25901781745407937</v>
      </c>
    </row>
    <row r="15" spans="1:47">
      <c r="A15" s="337" t="str">
        <f>USD!AE16</f>
        <v>1Q2001</v>
      </c>
      <c r="B15" s="125">
        <f t="shared" si="10"/>
        <v>0.92740140550930084</v>
      </c>
      <c r="C15" s="24">
        <f>Returns!C16</f>
        <v>-7.2598594490699164E-2</v>
      </c>
      <c r="D15" s="24">
        <f>Returns!E16</f>
        <v>-4.2037518520749328E-2</v>
      </c>
      <c r="E15" s="427" t="str">
        <f t="shared" si="4"/>
        <v>2010 </v>
      </c>
      <c r="F15" s="61">
        <f>Returns!I17</f>
        <v>8.5661343411318258E-2</v>
      </c>
      <c r="G15" s="23">
        <f>SQRT(4)*_xlfn.STDEV.S(C51:C54)</f>
        <v>0.18608108501748538</v>
      </c>
      <c r="H15" s="23">
        <f>SQRT(4)*_xlfn.STDEV.S(D51:D54)</f>
        <v>3.5497109461955216E-2</v>
      </c>
      <c r="I15" s="337" t="s">
        <v>591</v>
      </c>
      <c r="M15"/>
      <c r="N15" s="337" t="str">
        <f t="shared" si="0"/>
        <v>1Q2001</v>
      </c>
      <c r="O15" s="126">
        <f t="shared" si="13"/>
        <v>0.92740175604502673</v>
      </c>
      <c r="P15" s="93">
        <f>USD!AR16</f>
        <v>-7.2598243954973274E-2</v>
      </c>
      <c r="Q15" s="93">
        <f>Returns!N16</f>
        <v>-1.5053294593090299E-2</v>
      </c>
      <c r="R15" s="427" t="str">
        <f t="shared" si="1"/>
        <v>2010 </v>
      </c>
      <c r="S15" s="127">
        <f>Returns!P17</f>
        <v>7.9453311970441032E-2</v>
      </c>
      <c r="T15" s="23">
        <f>SQRT(4)*_xlfn.STDEV.S(P51:P54)</f>
        <v>0.23166295673541609</v>
      </c>
      <c r="U15" s="23">
        <f>SQRT(4)*_xlfn.STDEV.S(Q51:Q54)</f>
        <v>5.6389306751558767E-2</v>
      </c>
      <c r="V15" s="337" t="s">
        <v>591</v>
      </c>
      <c r="Y15" s="427" t="str">
        <f>Costs!AD16</f>
        <v>2010 </v>
      </c>
      <c r="AA15" s="337" t="str">
        <f t="shared" si="2"/>
        <v>1Q2001</v>
      </c>
      <c r="AB15" s="145">
        <f t="shared" si="14"/>
        <v>0.82943507919368498</v>
      </c>
      <c r="AC15" s="93">
        <f>Returns!U16</f>
        <v>-0.17056492080631502</v>
      </c>
      <c r="AD15" s="93">
        <f>Returns!V16</f>
        <v>-0.13047371791053514</v>
      </c>
      <c r="AE15" s="436" t="str">
        <f t="shared" si="5"/>
        <v>2010 </v>
      </c>
      <c r="AF15" s="23">
        <f>Returns!AA17</f>
        <v>0.14541199550368389</v>
      </c>
      <c r="AG15" s="23">
        <f>SQRT(4)*_xlfn.STDEV.S(AC51:AC54)</f>
        <v>0.13567656892044261</v>
      </c>
      <c r="AH15" s="23">
        <f>SQRT(4)*_xlfn.STDEV.S(AD51:AD54)</f>
        <v>6.5151869729041079E-2</v>
      </c>
      <c r="AI15" s="337" t="s">
        <v>591</v>
      </c>
      <c r="AM15" s="427" t="str">
        <f t="shared" si="3"/>
        <v>2010 </v>
      </c>
      <c r="AN15" s="24">
        <f t="shared" si="6"/>
        <v>0.18608108501748538</v>
      </c>
      <c r="AO15" s="23">
        <f t="shared" si="7"/>
        <v>0.23166295673541609</v>
      </c>
      <c r="AP15" s="24">
        <f t="shared" si="11"/>
        <v>0.13567656892044261</v>
      </c>
      <c r="AR15" s="24">
        <f t="shared" si="8"/>
        <v>8.5661343411318258E-2</v>
      </c>
      <c r="AS15" s="23">
        <f t="shared" si="9"/>
        <v>7.9453311970441032E-2</v>
      </c>
      <c r="AT15" s="227">
        <f t="shared" si="12"/>
        <v>0.14541199550368389</v>
      </c>
    </row>
    <row r="16" spans="1:47">
      <c r="A16" s="337" t="str">
        <f>USD!AE17</f>
        <v>2Q2001</v>
      </c>
      <c r="B16" s="125">
        <f t="shared" si="10"/>
        <v>0.99523231586937866</v>
      </c>
      <c r="C16" s="24">
        <f>Returns!C17</f>
        <v>-4.7676841306213413E-3</v>
      </c>
      <c r="D16" s="24">
        <f>Returns!E17</f>
        <v>2.0011787962030736E-2</v>
      </c>
      <c r="E16" s="427" t="str">
        <f t="shared" si="4"/>
        <v>2011 </v>
      </c>
      <c r="F16" s="61">
        <f>Returns!I18</f>
        <v>-4.2001448113343498E-2</v>
      </c>
      <c r="G16" s="23">
        <f>SQRT(4)*_xlfn.STDEV.S(C55:C58)</f>
        <v>0.15987592973513176</v>
      </c>
      <c r="H16" s="23">
        <f>SQRT(4)*_xlfn.STDEV.S(D55:D58)</f>
        <v>7.8093901093563831E-2</v>
      </c>
      <c r="I16" s="24">
        <f>AVERAGE(C35:C54)</f>
        <v>1.5327073619215875E-2</v>
      </c>
      <c r="M16"/>
      <c r="N16" s="337" t="str">
        <f t="shared" si="0"/>
        <v>2Q2001</v>
      </c>
      <c r="O16" s="126">
        <f t="shared" si="13"/>
        <v>0.98131731814864609</v>
      </c>
      <c r="P16" s="93">
        <f>USD!AR17</f>
        <v>-1.8682681851353911E-2</v>
      </c>
      <c r="Q16" s="93">
        <f>Returns!N17</f>
        <v>2.4728834678657701E-2</v>
      </c>
      <c r="R16" s="427" t="str">
        <f t="shared" si="1"/>
        <v>2011 </v>
      </c>
      <c r="S16" s="127">
        <f>Returns!P18</f>
        <v>7.8858906190838463E-3</v>
      </c>
      <c r="T16" s="23">
        <f>SQRT(4)*_xlfn.STDEV.S(P55:P58)</f>
        <v>0.14533530616989168</v>
      </c>
      <c r="U16" s="23">
        <f>SQRT(4)*_xlfn.STDEV.S(Q55:Q58)</f>
        <v>6.1402029938638622E-2</v>
      </c>
      <c r="V16" s="24">
        <f>AVERAGE(P35:P54)</f>
        <v>2.0915906331160018E-2</v>
      </c>
      <c r="Y16" s="427" t="str">
        <f>Costs!AD17</f>
        <v>2011 </v>
      </c>
      <c r="AA16" s="337" t="str">
        <f t="shared" si="2"/>
        <v>2Q2001</v>
      </c>
      <c r="AB16" s="145">
        <f t="shared" si="14"/>
        <v>1.0455897085837538</v>
      </c>
      <c r="AC16" s="93">
        <f>Returns!U17</f>
        <v>4.5589708583753774E-2</v>
      </c>
      <c r="AD16" s="93">
        <f>Returns!V17</f>
        <v>7.7397064312870623E-3</v>
      </c>
      <c r="AE16" s="436" t="str">
        <f t="shared" si="5"/>
        <v>2011 </v>
      </c>
      <c r="AF16" s="23">
        <f>Returns!AA18</f>
        <v>2.7237956981805533E-2</v>
      </c>
      <c r="AG16" s="23">
        <f>SQRT(4)*_xlfn.STDEV.S(AC55:AC58)</f>
        <v>0.1244066962351036</v>
      </c>
      <c r="AH16" s="23">
        <f>SQRT(4)*_xlfn.STDEV.S(AD55:AD58)</f>
        <v>3.516456885906747E-2</v>
      </c>
      <c r="AI16" s="24">
        <f>AVERAGE(AC35:AC54)</f>
        <v>1.9465685013387406E-2</v>
      </c>
      <c r="AM16" s="427" t="str">
        <f t="shared" si="3"/>
        <v>2011 </v>
      </c>
      <c r="AN16" s="24">
        <f t="shared" si="6"/>
        <v>0.15987592973513176</v>
      </c>
      <c r="AO16" s="23">
        <f t="shared" si="7"/>
        <v>0.14533530616989168</v>
      </c>
      <c r="AP16" s="24">
        <f t="shared" si="11"/>
        <v>0.1244066962351036</v>
      </c>
      <c r="AR16" s="24">
        <f t="shared" si="8"/>
        <v>-4.2001448113343498E-2</v>
      </c>
      <c r="AS16" s="23">
        <f t="shared" si="9"/>
        <v>7.8858906190838463E-3</v>
      </c>
      <c r="AT16" s="227">
        <f t="shared" si="12"/>
        <v>2.7237956981805533E-2</v>
      </c>
    </row>
    <row r="17" spans="1:46">
      <c r="A17" s="337" t="str">
        <f>USD!AE18</f>
        <v>3Q2001</v>
      </c>
      <c r="B17" s="125">
        <f t="shared" si="10"/>
        <v>0.98562843390436827</v>
      </c>
      <c r="C17" s="24">
        <f>Returns!C18</f>
        <v>-1.4371566095631727E-2</v>
      </c>
      <c r="D17" s="24">
        <f>Returns!E18</f>
        <v>-6.3600728654100602E-2</v>
      </c>
      <c r="E17" s="427" t="str">
        <f t="shared" si="4"/>
        <v>2012 </v>
      </c>
      <c r="F17" s="61">
        <f>Returns!I19</f>
        <v>0.1429318766513461</v>
      </c>
      <c r="G17" s="23">
        <f>SQRT(4)*_xlfn.STDEV.S(C59:C62)</f>
        <v>0.11085390073911501</v>
      </c>
      <c r="H17" s="23">
        <f>SQRT(4)*_xlfn.STDEV.S(D59:D62)</f>
        <v>3.4273974701746424E-2</v>
      </c>
      <c r="I17" s="337" t="s">
        <v>592</v>
      </c>
      <c r="M17"/>
      <c r="N17" s="337" t="str">
        <f t="shared" si="0"/>
        <v>3Q2001</v>
      </c>
      <c r="O17" s="126">
        <f t="shared" si="13"/>
        <v>1.0076748178116028</v>
      </c>
      <c r="P17" s="93">
        <f>USD!AR18</f>
        <v>7.6748178116028409E-3</v>
      </c>
      <c r="Q17" s="93">
        <f>Returns!N18</f>
        <v>-6.3306387857984994E-2</v>
      </c>
      <c r="R17" s="427" t="str">
        <f t="shared" si="1"/>
        <v>2012 </v>
      </c>
      <c r="S17" s="127">
        <f>Returns!P19</f>
        <v>0.15166410161585953</v>
      </c>
      <c r="T17" s="23">
        <f>SQRT(4)*_xlfn.STDEV.S(P59:P62)</f>
        <v>0.11597445381561003</v>
      </c>
      <c r="U17" s="23">
        <f>SQRT(4)*_xlfn.STDEV.S(Q59:Q62)</f>
        <v>5.1180568152283383E-2</v>
      </c>
      <c r="V17" s="337" t="s">
        <v>592</v>
      </c>
      <c r="Y17" s="427" t="str">
        <f>Costs!AD18</f>
        <v>2012 </v>
      </c>
      <c r="AA17" s="337" t="str">
        <f t="shared" si="2"/>
        <v>3Q2001</v>
      </c>
      <c r="AB17" s="145">
        <f t="shared" si="14"/>
        <v>0.82681422342979916</v>
      </c>
      <c r="AC17" s="93">
        <f>Returns!U18</f>
        <v>-0.17318577657020084</v>
      </c>
      <c r="AD17" s="93">
        <f>Returns!V18</f>
        <v>-0.13935264315231038</v>
      </c>
      <c r="AE17" s="436" t="str">
        <f t="shared" si="5"/>
        <v>2012 </v>
      </c>
      <c r="AF17" s="23">
        <f>Returns!AA19</f>
        <v>0.12039747139089818</v>
      </c>
      <c r="AG17" s="23">
        <f>SQRT(4)*_xlfn.STDEV.S(AC59:AC62)</f>
        <v>7.1527927621791249E-2</v>
      </c>
      <c r="AH17" s="23">
        <f>SQRT(4)*_xlfn.STDEV.S(AD59:AD62)</f>
        <v>3.1724144429632943E-2</v>
      </c>
      <c r="AI17" s="337" t="s">
        <v>592</v>
      </c>
      <c r="AM17" s="427" t="str">
        <f t="shared" si="3"/>
        <v>2012 </v>
      </c>
      <c r="AN17" s="24">
        <f t="shared" si="6"/>
        <v>0.11085390073911501</v>
      </c>
      <c r="AO17" s="23">
        <f t="shared" si="7"/>
        <v>0.11597445381561003</v>
      </c>
      <c r="AP17" s="24">
        <f t="shared" si="11"/>
        <v>7.1527927621791249E-2</v>
      </c>
      <c r="AR17" s="24">
        <f t="shared" si="8"/>
        <v>0.1429318766513461</v>
      </c>
      <c r="AS17" s="23">
        <f t="shared" si="9"/>
        <v>0.15166410161585953</v>
      </c>
      <c r="AT17" s="227">
        <f t="shared" si="12"/>
        <v>0.12039747139089818</v>
      </c>
    </row>
    <row r="18" spans="1:46">
      <c r="A18" s="337" t="str">
        <f>USD!AE19</f>
        <v>4Q2001</v>
      </c>
      <c r="B18" s="125">
        <f t="shared" si="10"/>
        <v>1.0230570280134015</v>
      </c>
      <c r="C18" s="24">
        <f>Returns!C19</f>
        <v>2.3057028013401482E-2</v>
      </c>
      <c r="D18" s="24">
        <f>Returns!E19</f>
        <v>3.4556846008906961E-2</v>
      </c>
      <c r="E18" s="427" t="str">
        <f t="shared" si="4"/>
        <v>2013 </v>
      </c>
      <c r="F18" s="61">
        <f>Returns!I20</f>
        <v>0.1408783560914233</v>
      </c>
      <c r="G18" s="23">
        <f>SQRT(4)*_xlfn.STDEV.S(C63:C66)</f>
        <v>6.9486496482936408E-2</v>
      </c>
      <c r="H18" s="23">
        <f>SQRT(4)*_xlfn.STDEV.S(D63:D66)</f>
        <v>3.3082889172597052E-2</v>
      </c>
      <c r="I18" s="24">
        <f>AVERAGE(C15:C34)</f>
        <v>1.8754323550274381E-2</v>
      </c>
      <c r="M18"/>
      <c r="N18" s="337" t="str">
        <f t="shared" si="0"/>
        <v>4Q2001</v>
      </c>
      <c r="O18" s="126">
        <f t="shared" si="13"/>
        <v>1.0270607322686973</v>
      </c>
      <c r="P18" s="93">
        <f>USD!AR19</f>
        <v>2.7060732268697318E-2</v>
      </c>
      <c r="Q18" s="93">
        <f>Returns!N19</f>
        <v>5.04770839232093E-2</v>
      </c>
      <c r="R18" s="427" t="str">
        <f t="shared" si="1"/>
        <v>2013 </v>
      </c>
      <c r="S18" s="127">
        <f>Returns!P20</f>
        <v>0.10716551706609978</v>
      </c>
      <c r="T18" s="23">
        <f>SQRT(4)*_xlfn.STDEV.S(P63:P66)</f>
        <v>6.339424210908215E-2</v>
      </c>
      <c r="U18" s="23">
        <f>SQRT(4)*_xlfn.STDEV.S(Q63:Q66)</f>
        <v>4.7467363747441579E-2</v>
      </c>
      <c r="V18" s="24">
        <f>AVERAGE(P15:P34)</f>
        <v>2.5836435982377438E-2</v>
      </c>
      <c r="Y18" s="427" t="str">
        <f>Costs!AD19</f>
        <v>2013 </v>
      </c>
      <c r="AA18" s="337" t="str">
        <f t="shared" si="2"/>
        <v>4Q2001</v>
      </c>
      <c r="AB18" s="145">
        <f t="shared" si="14"/>
        <v>1.10015458760347</v>
      </c>
      <c r="AC18" s="93">
        <f>Returns!U19</f>
        <v>0.10015458760346996</v>
      </c>
      <c r="AD18" s="93">
        <f>Returns!V19</f>
        <v>0.11168054723177755</v>
      </c>
      <c r="AE18" s="436" t="str">
        <f t="shared" si="5"/>
        <v>2013 </v>
      </c>
      <c r="AF18" s="23">
        <f>Returns!AA20</f>
        <v>6.083766145985936E-2</v>
      </c>
      <c r="AG18" s="23">
        <f>SQRT(4)*_xlfn.STDEV.S(AC63:AC66)</f>
        <v>6.0136843704656752E-2</v>
      </c>
      <c r="AH18" s="23">
        <f>SQRT(4)*_xlfn.STDEV.S(AD63:AD66)</f>
        <v>4.3186126473238218E-2</v>
      </c>
      <c r="AI18" s="24">
        <f>AVERAGE(AC15:AC34)</f>
        <v>2.0017447683076582E-2</v>
      </c>
      <c r="AM18" s="427" t="str">
        <f t="shared" si="3"/>
        <v>2013 </v>
      </c>
      <c r="AN18" s="24">
        <f t="shared" si="6"/>
        <v>6.9486496482936408E-2</v>
      </c>
      <c r="AO18" s="23">
        <f t="shared" si="7"/>
        <v>6.339424210908215E-2</v>
      </c>
      <c r="AP18" s="24">
        <f t="shared" si="11"/>
        <v>6.0136843704656752E-2</v>
      </c>
      <c r="AR18" s="24">
        <f t="shared" si="8"/>
        <v>0.1408783560914233</v>
      </c>
      <c r="AS18" s="23">
        <f t="shared" si="9"/>
        <v>0.10716551706609978</v>
      </c>
      <c r="AT18" s="227">
        <f t="shared" si="12"/>
        <v>6.083766145985936E-2</v>
      </c>
    </row>
    <row r="19" spans="1:46">
      <c r="A19" s="337" t="str">
        <f>USD!AE20</f>
        <v>1Q2002</v>
      </c>
      <c r="B19" s="125">
        <f t="shared" si="10"/>
        <v>0.99475472616314731</v>
      </c>
      <c r="C19" s="24">
        <f>Returns!C20</f>
        <v>-5.245273836852693E-3</v>
      </c>
      <c r="D19" s="24">
        <f>Returns!E20</f>
        <v>-2.0506024432779824E-2</v>
      </c>
      <c r="E19" s="427" t="str">
        <f t="shared" si="4"/>
        <v>2014 </v>
      </c>
      <c r="F19" s="61">
        <f>Returns!I21</f>
        <v>-6.4005948394656453E-3</v>
      </c>
      <c r="G19" s="23">
        <f>SQRT(4)*_xlfn.STDEV.S(C67:C70)</f>
        <v>6.9917607603138171E-2</v>
      </c>
      <c r="H19" s="23">
        <f>SQRT(4)*_xlfn.STDEV.S(D67:D70)</f>
        <v>0.13366840183994275</v>
      </c>
      <c r="M19"/>
      <c r="N19" s="337" t="str">
        <f t="shared" si="0"/>
        <v>1Q2002</v>
      </c>
      <c r="O19" s="126">
        <f t="shared" si="13"/>
        <v>0.99614214504436105</v>
      </c>
      <c r="P19" s="93">
        <f>USD!AR20</f>
        <v>-3.8578549556389508E-3</v>
      </c>
      <c r="Q19" s="93">
        <f>Returns!N20</f>
        <v>1.6693118652624302E-2</v>
      </c>
      <c r="R19" s="427" t="str">
        <f t="shared" si="1"/>
        <v>2014 </v>
      </c>
      <c r="S19" s="127">
        <f>Returns!P21</f>
        <v>8.3570545908545624E-3</v>
      </c>
      <c r="T19" s="23">
        <f>SQRT(4)*_xlfn.STDEV.S(P67:P70)</f>
        <v>8.6479631957767242E-2</v>
      </c>
      <c r="U19" s="23">
        <f>SQRT(4)*_xlfn.STDEV.S(Q67:Q70)</f>
        <v>2.1220593358071641E-2</v>
      </c>
      <c r="Y19" s="427" t="str">
        <f>Costs!AD20</f>
        <v>2014 </v>
      </c>
      <c r="AA19" s="337" t="str">
        <f t="shared" si="2"/>
        <v>1Q2002</v>
      </c>
      <c r="AB19" s="145">
        <f t="shared" si="14"/>
        <v>1.0189552221096896</v>
      </c>
      <c r="AC19" s="93">
        <f>Returns!U20</f>
        <v>1.8955222109689585E-2</v>
      </c>
      <c r="AD19" s="93">
        <f>Returns!V20</f>
        <v>1.8412630448738521E-2</v>
      </c>
      <c r="AE19" s="436" t="str">
        <f t="shared" si="5"/>
        <v>2014 </v>
      </c>
      <c r="AF19" s="23">
        <f>Returns!AA21</f>
        <v>5.751997867743408E-2</v>
      </c>
      <c r="AG19" s="23">
        <f>SQRT(4)*_xlfn.STDEV.S(AC67:AC70)</f>
        <v>6.2035629200519818E-2</v>
      </c>
      <c r="AH19" s="23">
        <f>SQRT(4)*_xlfn.STDEV.S(AD67:AD70)</f>
        <v>4.3164215360263061E-2</v>
      </c>
      <c r="AM19" s="427" t="str">
        <f t="shared" si="3"/>
        <v>2014 </v>
      </c>
      <c r="AN19" s="24">
        <f t="shared" si="6"/>
        <v>6.9917607603138171E-2</v>
      </c>
      <c r="AO19" s="23">
        <f t="shared" si="7"/>
        <v>8.6479631957767242E-2</v>
      </c>
      <c r="AP19" s="24">
        <f t="shared" si="11"/>
        <v>6.2035629200519818E-2</v>
      </c>
      <c r="AR19" s="24">
        <f t="shared" si="8"/>
        <v>-6.4005948394656453E-3</v>
      </c>
      <c r="AS19" s="23">
        <f t="shared" si="9"/>
        <v>8.3570545908545624E-3</v>
      </c>
      <c r="AT19" s="227">
        <f t="shared" si="12"/>
        <v>5.751997867743408E-2</v>
      </c>
    </row>
    <row r="20" spans="1:46">
      <c r="A20" s="337" t="str">
        <f>USD!AE21</f>
        <v>2Q2002</v>
      </c>
      <c r="B20" s="125">
        <f t="shared" si="10"/>
        <v>1.0451411830529127</v>
      </c>
      <c r="C20" s="24">
        <f>Returns!C21</f>
        <v>4.5141183052912703E-2</v>
      </c>
      <c r="D20" s="24">
        <f>Returns!E21</f>
        <v>-0.11194300304766092</v>
      </c>
      <c r="E20" s="427">
        <f t="shared" si="4"/>
        <v>2015</v>
      </c>
      <c r="F20" s="61">
        <f>Returns!I22</f>
        <v>-2.7145714893200168E-2</v>
      </c>
      <c r="G20" s="23">
        <f>SQRT(4)*_xlfn.STDEV.S(C71:C74)</f>
        <v>7.7360275972074816E-2</v>
      </c>
      <c r="H20" s="23">
        <f>SQRT(4)*_xlfn.STDEV.S(D71:D74)</f>
        <v>9.2856569435156106E-2</v>
      </c>
      <c r="M20"/>
      <c r="N20" s="337" t="str">
        <f t="shared" si="0"/>
        <v>2Q2002</v>
      </c>
      <c r="O20" s="126">
        <f t="shared" si="13"/>
        <v>1.0658615832044263</v>
      </c>
      <c r="P20" s="93">
        <f>USD!AR21</f>
        <v>6.5861583204426255E-2</v>
      </c>
      <c r="Q20" s="93">
        <f>Returns!N21</f>
        <v>-5.8467129632802102E-2</v>
      </c>
      <c r="R20" s="427">
        <f t="shared" si="1"/>
        <v>2015</v>
      </c>
      <c r="S20" s="127">
        <f>Returns!P22</f>
        <v>-7.9814161411178031E-2</v>
      </c>
      <c r="T20" s="23">
        <f>SQRT(4)*_xlfn.STDEV.S(P71:P74)</f>
        <v>2.7850193960510309E-2</v>
      </c>
      <c r="U20" s="23">
        <f>SQRT(4)*_xlfn.STDEV.S(Q71:Q74)</f>
        <v>0.1192075024478462</v>
      </c>
      <c r="Y20" s="427">
        <f>Costs!AD21</f>
        <v>2015</v>
      </c>
      <c r="AA20" s="337" t="str">
        <f t="shared" si="2"/>
        <v>2Q2002</v>
      </c>
      <c r="AB20" s="145">
        <f t="shared" si="14"/>
        <v>0.9287245084464758</v>
      </c>
      <c r="AC20" s="93">
        <f>Returns!U21</f>
        <v>-7.1275491553524195E-2</v>
      </c>
      <c r="AD20" s="93">
        <f>Returns!V21</f>
        <v>-0.11464391068306069</v>
      </c>
      <c r="AE20" s="436">
        <f t="shared" si="5"/>
        <v>2015</v>
      </c>
      <c r="AF20" s="23">
        <f>Returns!AA22</f>
        <v>-3.7494525570549109E-2</v>
      </c>
      <c r="AG20" s="23">
        <f>SQRT(4)*_xlfn.STDEV.S(AC71:AC74)</f>
        <v>6.2153228387941829E-2</v>
      </c>
      <c r="AH20" s="23">
        <f>SQRT(4)*_xlfn.STDEV.S(AD71:AD74)</f>
        <v>7.9154510139633802E-2</v>
      </c>
      <c r="AM20" s="427">
        <f t="shared" si="3"/>
        <v>2015</v>
      </c>
      <c r="AN20" s="24">
        <f t="shared" si="6"/>
        <v>7.7360275972074816E-2</v>
      </c>
      <c r="AO20" s="23">
        <f t="shared" si="7"/>
        <v>2.7850193960510309E-2</v>
      </c>
      <c r="AP20" s="24">
        <f t="shared" si="11"/>
        <v>6.2153228387941829E-2</v>
      </c>
      <c r="AR20" s="24">
        <f t="shared" si="8"/>
        <v>-2.7145714893200168E-2</v>
      </c>
      <c r="AS20" s="23">
        <f t="shared" si="9"/>
        <v>-7.9814161411178031E-2</v>
      </c>
      <c r="AT20" s="227">
        <f t="shared" si="12"/>
        <v>-3.7494525570549109E-2</v>
      </c>
    </row>
    <row r="21" spans="1:46">
      <c r="A21" s="337" t="str">
        <f>USD!AE22</f>
        <v>3Q2002</v>
      </c>
      <c r="B21" s="125">
        <f t="shared" si="10"/>
        <v>0.94888932103364165</v>
      </c>
      <c r="C21" s="24">
        <f>Returns!C22</f>
        <v>-5.1110678966358347E-2</v>
      </c>
      <c r="D21" s="24">
        <f>Returns!E22</f>
        <v>-6.293338748236188E-2</v>
      </c>
      <c r="E21" s="427">
        <v>2016</v>
      </c>
      <c r="F21" s="61">
        <f>Returns!I23</f>
        <v>4.4550656697121216E-2</v>
      </c>
      <c r="G21" s="23">
        <f>SQRT(4)*_xlfn.STDEV.S(C75:C78)</f>
        <v>5.0628542491852759E-2</v>
      </c>
      <c r="H21" s="23">
        <f>SQRT(4)*_xlfn.STDEV.S(D75:D78)</f>
        <v>9.0100176080318742E-2</v>
      </c>
      <c r="I21" s="6"/>
      <c r="M21"/>
      <c r="N21" s="337" t="str">
        <f t="shared" si="0"/>
        <v>3Q2002</v>
      </c>
      <c r="O21" s="126">
        <f t="shared" si="13"/>
        <v>0.94908614836267413</v>
      </c>
      <c r="P21" s="93">
        <f>USD!AR22</f>
        <v>-5.0913851637325869E-2</v>
      </c>
      <c r="Q21" s="93">
        <f>Returns!N22</f>
        <v>-5.1537168802297903E-2</v>
      </c>
      <c r="R21" s="427">
        <v>2016</v>
      </c>
      <c r="S21" s="127">
        <f>Returns!P23</f>
        <v>6.5870429426688637E-2</v>
      </c>
      <c r="T21" s="23">
        <f>SQRT(4)*_xlfn.STDEV.S(P75:P78)</f>
        <v>0.11036419575412008</v>
      </c>
      <c r="U21" s="23">
        <f>SQRT(4)*_xlfn.STDEV.S(Q75:Q78)</f>
        <v>2.8994419490822716E-2</v>
      </c>
      <c r="V21" s="6"/>
      <c r="AA21" s="337" t="str">
        <f t="shared" si="2"/>
        <v>3Q2002</v>
      </c>
      <c r="AB21" s="145">
        <f t="shared" si="14"/>
        <v>0.80997360945408725</v>
      </c>
      <c r="AC21" s="93">
        <f>Returns!U22</f>
        <v>-0.19002639054591275</v>
      </c>
      <c r="AD21" s="93">
        <f>Returns!V22</f>
        <v>-0.15525008921291783</v>
      </c>
      <c r="AE21" s="436">
        <v>2016</v>
      </c>
      <c r="AF21" s="23">
        <f>Returns!AA23</f>
        <v>7.7382946542327913E-2</v>
      </c>
      <c r="AG21" s="23">
        <f>SQRT(4)*_xlfn.STDEV.S(AC75:AC78)</f>
        <v>5.3926264138750388E-2</v>
      </c>
      <c r="AH21" s="23">
        <f>SQRT(4)*_xlfn.STDEV.S(AD75:AD78)</f>
        <v>5.9315273448354314E-2</v>
      </c>
      <c r="AI21" s="6"/>
      <c r="AM21" s="427">
        <f t="shared" si="3"/>
        <v>2016</v>
      </c>
      <c r="AN21" s="24">
        <f t="shared" si="6"/>
        <v>5.0628542491852759E-2</v>
      </c>
      <c r="AO21" s="23">
        <f t="shared" si="7"/>
        <v>0.11036419575412008</v>
      </c>
      <c r="AP21" s="24">
        <f t="shared" si="11"/>
        <v>5.3926264138750388E-2</v>
      </c>
      <c r="AR21" s="24">
        <f>F21</f>
        <v>4.4550656697121216E-2</v>
      </c>
      <c r="AS21" s="23">
        <f t="shared" si="9"/>
        <v>6.5870429426688637E-2</v>
      </c>
      <c r="AT21" s="227">
        <f t="shared" si="12"/>
        <v>7.7382946542327913E-2</v>
      </c>
    </row>
    <row r="22" spans="1:46">
      <c r="A22" s="337" t="str">
        <f>USD!AE23</f>
        <v>4Q2002</v>
      </c>
      <c r="B22" s="125">
        <f t="shared" si="10"/>
        <v>1.0618764893491708</v>
      </c>
      <c r="C22" s="24">
        <f>Returns!C23</f>
        <v>6.1876489349170782E-2</v>
      </c>
      <c r="D22" s="24">
        <f>Returns!E23</f>
        <v>-7.3314698935088574E-3</v>
      </c>
      <c r="E22" s="434" t="s">
        <v>365</v>
      </c>
      <c r="F22" s="435">
        <f>Returns!I24</f>
        <v>6.0902581213594431E-2</v>
      </c>
      <c r="G22" s="433">
        <f>AVERAGE(G3:G21)</f>
        <v>9.3747282789774511E-2</v>
      </c>
      <c r="H22" s="433">
        <f>AVERAGE(H3:H21)</f>
        <v>8.3251270767245727E-2</v>
      </c>
      <c r="I22" s="6"/>
      <c r="J22" s="543" t="s">
        <v>227</v>
      </c>
      <c r="N22" s="337" t="str">
        <f t="shared" si="0"/>
        <v>4Q2002</v>
      </c>
      <c r="O22" s="126">
        <f t="shared" si="13"/>
        <v>1.0857902341372316</v>
      </c>
      <c r="P22" s="93">
        <f>USD!AR23</f>
        <v>8.5790234137231636E-2</v>
      </c>
      <c r="Q22" s="93">
        <f>Returns!N23</f>
        <v>2.2519919541788801E-2</v>
      </c>
      <c r="R22" s="434" t="str">
        <f>E22</f>
        <v>Average</v>
      </c>
      <c r="S22" s="433">
        <f>AVERAGE(S4:S21)</f>
        <v>6.1628825327282657E-2</v>
      </c>
      <c r="T22" s="433">
        <f>AVERAGE(T4:T21)</f>
        <v>0.11371168755311103</v>
      </c>
      <c r="U22" s="433"/>
      <c r="V22" s="6"/>
      <c r="W22" s="543" t="s">
        <v>227</v>
      </c>
      <c r="AA22" s="337" t="str">
        <f t="shared" si="2"/>
        <v>4Q2002</v>
      </c>
      <c r="AB22" s="145">
        <f t="shared" si="14"/>
        <v>1.061679225568283</v>
      </c>
      <c r="AC22" s="93">
        <f>Returns!U23</f>
        <v>6.167922556828298E-2</v>
      </c>
      <c r="AD22" s="93">
        <f>Returns!V23</f>
        <v>5.7395562068322699E-2</v>
      </c>
      <c r="AE22" s="337" t="s">
        <v>365</v>
      </c>
      <c r="AF22" s="429">
        <f>AVERAGE(AF6:AF21)</f>
        <v>7.5421655117742223E-2</v>
      </c>
      <c r="AG22" s="429">
        <f>AVERAGE(AG6:AG21)</f>
        <v>0.12237014136942441</v>
      </c>
      <c r="AH22" s="429">
        <f>AVERAGE(AH6:AH21)</f>
        <v>8.5352752989952124E-2</v>
      </c>
      <c r="AI22" s="6"/>
      <c r="AJ22" s="543" t="s">
        <v>227</v>
      </c>
    </row>
    <row r="23" spans="1:46">
      <c r="A23" s="337" t="str">
        <f>USD!AE24</f>
        <v>1Q2003</v>
      </c>
      <c r="B23" s="125">
        <f t="shared" si="10"/>
        <v>0.99947033944426455</v>
      </c>
      <c r="C23" s="24">
        <f>Returns!C24</f>
        <v>-5.2966055573544502E-4</v>
      </c>
      <c r="D23" s="24">
        <f>Returns!E24</f>
        <v>4.6920582615721074E-2</v>
      </c>
      <c r="I23" s="664"/>
      <c r="J23" s="430" t="s">
        <v>488</v>
      </c>
      <c r="N23" s="337" t="str">
        <f t="shared" si="0"/>
        <v>1Q2003</v>
      </c>
      <c r="O23" s="126">
        <f t="shared" si="13"/>
        <v>1.0199739414706326</v>
      </c>
      <c r="P23" s="93">
        <f>USD!AR24</f>
        <v>1.9973941470632584E-2</v>
      </c>
      <c r="Q23" s="93">
        <f>Returns!N24</f>
        <v>-1.9097453219927899E-2</v>
      </c>
      <c r="S23" s="127"/>
      <c r="V23" s="664"/>
      <c r="W23" s="430" t="s">
        <v>488</v>
      </c>
      <c r="AA23" s="337" t="str">
        <f t="shared" si="2"/>
        <v>1Q2003</v>
      </c>
      <c r="AB23" s="145">
        <f t="shared" si="14"/>
        <v>1.0050637176272201</v>
      </c>
      <c r="AC23" s="93">
        <f>Returns!U24</f>
        <v>5.0637176272201323E-3</v>
      </c>
      <c r="AD23" s="93">
        <f>Returns!V24</f>
        <v>-6.4186304947613793E-2</v>
      </c>
      <c r="AI23" s="664"/>
      <c r="AJ23" s="430" t="s">
        <v>488</v>
      </c>
    </row>
    <row r="24" spans="1:46">
      <c r="A24" s="337" t="str">
        <f>USD!AE25</f>
        <v>2Q2003</v>
      </c>
      <c r="B24" s="125">
        <f t="shared" si="10"/>
        <v>1.1070579498546396</v>
      </c>
      <c r="C24" s="24">
        <f>Returns!C25</f>
        <v>0.10705794985463957</v>
      </c>
      <c r="D24" s="24">
        <f>Returns!E25</f>
        <v>0.10121502959068573</v>
      </c>
      <c r="I24" s="122"/>
      <c r="J24" s="24">
        <f>_xlfn.STDEV.S(D15:D78)</f>
        <v>4.8658741496742042E-2</v>
      </c>
      <c r="N24" s="337" t="str">
        <f t="shared" si="0"/>
        <v>2Q2003</v>
      </c>
      <c r="O24" s="126">
        <f t="shared" si="13"/>
        <v>1.1221624835284443</v>
      </c>
      <c r="P24" s="93">
        <f>USD!AR25</f>
        <v>0.12216248352844428</v>
      </c>
      <c r="Q24" s="93">
        <f>Returns!N25</f>
        <v>6.6316525676841195E-2</v>
      </c>
      <c r="V24" s="122"/>
      <c r="W24" s="24">
        <f>_xlfn.STDEV.S(Q15:Q78)</f>
        <v>3.9499982624432391E-2</v>
      </c>
      <c r="AA24" s="337" t="str">
        <f t="shared" si="2"/>
        <v>2Q2003</v>
      </c>
      <c r="AB24" s="145">
        <f t="shared" si="14"/>
        <v>1.1815937719179228</v>
      </c>
      <c r="AC24" s="93">
        <f>Returns!U25</f>
        <v>0.18159377191792281</v>
      </c>
      <c r="AD24" s="93">
        <f>Returns!V25</f>
        <v>9.1465065157535969E-2</v>
      </c>
      <c r="AI24" s="122"/>
      <c r="AJ24" s="24">
        <f>_xlfn.STDEV.S(AD15:AD78)</f>
        <v>5.4363003840836643E-2</v>
      </c>
    </row>
    <row r="25" spans="1:46">
      <c r="A25" s="337" t="str">
        <f>USD!AE26</f>
        <v>3Q2003</v>
      </c>
      <c r="B25" s="125">
        <f t="shared" si="10"/>
        <v>1.0309023122675682</v>
      </c>
      <c r="C25" s="24">
        <f>Returns!C26</f>
        <v>3.0902312267568233E-2</v>
      </c>
      <c r="D25" s="24">
        <f>Returns!E26</f>
        <v>7.6947280739130264E-3</v>
      </c>
      <c r="I25" s="172"/>
      <c r="J25" s="337" t="s">
        <v>588</v>
      </c>
      <c r="N25" s="337" t="str">
        <f t="shared" si="0"/>
        <v>3Q2003</v>
      </c>
      <c r="O25" s="126">
        <f t="shared" si="13"/>
        <v>1.032716804078982</v>
      </c>
      <c r="P25" s="93">
        <f>USD!AR26</f>
        <v>3.2716804078982031E-2</v>
      </c>
      <c r="Q25" s="93">
        <f>Returns!N26</f>
        <v>1.8350570878345001E-2</v>
      </c>
      <c r="V25" s="172"/>
      <c r="W25" s="337" t="s">
        <v>588</v>
      </c>
      <c r="AA25" s="337" t="str">
        <f t="shared" si="2"/>
        <v>3Q2003</v>
      </c>
      <c r="AB25" s="145">
        <f t="shared" si="14"/>
        <v>1.0632400147724819</v>
      </c>
      <c r="AC25" s="93">
        <f>Returns!U26</f>
        <v>6.3240014772481867E-2</v>
      </c>
      <c r="AD25" s="93">
        <f>Returns!V26</f>
        <v>5.5962640614333495E-2</v>
      </c>
      <c r="AI25" s="172"/>
      <c r="AJ25" s="337" t="s">
        <v>588</v>
      </c>
    </row>
    <row r="26" spans="1:46">
      <c r="A26" s="337" t="str">
        <f>USD!AE27</f>
        <v>4Q2003</v>
      </c>
      <c r="B26" s="125">
        <f t="shared" si="10"/>
        <v>1.0951111745286237</v>
      </c>
      <c r="C26" s="24">
        <f>Returns!C27</f>
        <v>9.5111174528623721E-2</v>
      </c>
      <c r="D26" s="24">
        <f>Returns!E27</f>
        <v>3.254802674414714E-2</v>
      </c>
      <c r="I26" s="637"/>
      <c r="J26" s="24">
        <f>_xlfn.STDEV.S(D55:D78)</f>
        <v>4.4285740793898763E-2</v>
      </c>
      <c r="N26" s="337" t="str">
        <f t="shared" si="0"/>
        <v>4Q2003</v>
      </c>
      <c r="O26" s="126">
        <f t="shared" si="13"/>
        <v>1.1291676284997079</v>
      </c>
      <c r="P26" s="93">
        <f>USD!AR27</f>
        <v>0.12916762849970786</v>
      </c>
      <c r="Q26" s="93">
        <f>Returns!N27</f>
        <v>4.25109846642742E-2</v>
      </c>
      <c r="V26" s="637"/>
      <c r="W26" s="24">
        <f>_xlfn.STDEV.S(Q55:Q78)</f>
        <v>3.0091428763441629E-2</v>
      </c>
      <c r="AA26" s="337" t="str">
        <f t="shared" si="2"/>
        <v>4Q2003</v>
      </c>
      <c r="AB26" s="145">
        <f t="shared" si="14"/>
        <v>1.1455159628240021</v>
      </c>
      <c r="AC26" s="93">
        <f>Returns!U27</f>
        <v>0.14551596282400214</v>
      </c>
      <c r="AD26" s="93">
        <f>Returns!V27</f>
        <v>9.6960245254968325E-2</v>
      </c>
      <c r="AI26" s="637"/>
      <c r="AJ26" s="24">
        <f>_xlfn.STDEV.S(AD55:AD78)</f>
        <v>2.5155720617217214E-2</v>
      </c>
    </row>
    <row r="27" spans="1:46">
      <c r="A27" s="337" t="str">
        <f>USD!AE28</f>
        <v>1Q2004</v>
      </c>
      <c r="B27" s="125">
        <f t="shared" si="10"/>
        <v>1.0241897322352176</v>
      </c>
      <c r="C27" s="24">
        <f>Returns!C28</f>
        <v>2.4189732235217587E-2</v>
      </c>
      <c r="D27" s="24">
        <f>Returns!E28</f>
        <v>5.6980799600252041E-2</v>
      </c>
      <c r="I27" s="172"/>
      <c r="J27" s="337" t="s">
        <v>587</v>
      </c>
      <c r="N27" s="337" t="str">
        <f t="shared" si="0"/>
        <v>1Q2004</v>
      </c>
      <c r="O27" s="126">
        <f t="shared" si="13"/>
        <v>1.015702229912713</v>
      </c>
      <c r="P27" s="93">
        <f>USD!AR28</f>
        <v>1.5702229912712973E-2</v>
      </c>
      <c r="Q27" s="93">
        <f>Returns!N28</f>
        <v>4.2523243235378497E-2</v>
      </c>
      <c r="V27" s="172"/>
      <c r="W27" s="337" t="s">
        <v>587</v>
      </c>
      <c r="AA27" s="337" t="str">
        <f t="shared" si="2"/>
        <v>1Q2004</v>
      </c>
      <c r="AB27" s="145">
        <f t="shared" si="14"/>
        <v>1.0263783575903815</v>
      </c>
      <c r="AC27" s="93">
        <f>Returns!U28</f>
        <v>2.637835759038154E-2</v>
      </c>
      <c r="AD27" s="93">
        <f>Returns!V28</f>
        <v>4.3852007323009499E-2</v>
      </c>
      <c r="AI27" s="172"/>
      <c r="AJ27" s="337" t="s">
        <v>587</v>
      </c>
    </row>
    <row r="28" spans="1:46">
      <c r="A28" s="337" t="str">
        <f>USD!AE29</f>
        <v>2Q2004</v>
      </c>
      <c r="B28" s="125">
        <f t="shared" si="10"/>
        <v>0.98794350347064908</v>
      </c>
      <c r="C28" s="24">
        <f>Returns!C29</f>
        <v>-1.2056496529350924E-2</v>
      </c>
      <c r="D28" s="24">
        <f>Returns!E29</f>
        <v>-2.6026982570416246E-3</v>
      </c>
      <c r="I28" s="637"/>
      <c r="J28" s="23">
        <f>_xlfn.STDEV.S(D35:D54)</f>
        <v>5.2017813985351866E-2</v>
      </c>
      <c r="N28" s="337" t="str">
        <f t="shared" si="0"/>
        <v>2Q2004</v>
      </c>
      <c r="O28" s="126">
        <f t="shared" si="13"/>
        <v>0.98709628958501006</v>
      </c>
      <c r="P28" s="93">
        <f>USD!AR29</f>
        <v>-1.2903710414989944E-2</v>
      </c>
      <c r="Q28" s="93">
        <f>Returns!N29</f>
        <v>-2.9652538386926801E-3</v>
      </c>
      <c r="V28" s="637"/>
      <c r="W28" s="23">
        <f>_xlfn.STDEV.S(Q35:Q54)</f>
        <v>5.1210229776934492E-2</v>
      </c>
      <c r="AA28" s="337" t="str">
        <f t="shared" si="2"/>
        <v>2Q2004</v>
      </c>
      <c r="AB28" s="145">
        <f t="shared" si="14"/>
        <v>0.98781096211148889</v>
      </c>
      <c r="AC28" s="93">
        <f>Returns!U29</f>
        <v>-1.2189037888511112E-2</v>
      </c>
      <c r="AD28" s="93">
        <f>Returns!V29</f>
        <v>7.7287787338624321E-3</v>
      </c>
      <c r="AI28" s="637"/>
      <c r="AJ28" s="23">
        <f>_xlfn.STDEV.S(AD35:AD54)</f>
        <v>4.5611437977921089E-2</v>
      </c>
    </row>
    <row r="29" spans="1:46">
      <c r="A29" s="337" t="str">
        <f>USD!AE30</f>
        <v>3Q2004</v>
      </c>
      <c r="B29" s="125">
        <f t="shared" si="10"/>
        <v>1.0229827712365864</v>
      </c>
      <c r="C29" s="24">
        <f>Returns!C30</f>
        <v>2.298277123658643E-2</v>
      </c>
      <c r="D29" s="24">
        <f>Returns!E30</f>
        <v>-6.5341521201640607E-3</v>
      </c>
      <c r="I29" s="98"/>
      <c r="J29" s="337" t="s">
        <v>586</v>
      </c>
      <c r="N29" s="337" t="str">
        <f t="shared" si="0"/>
        <v>3Q2004</v>
      </c>
      <c r="O29" s="126">
        <f t="shared" si="13"/>
        <v>1.042345965740902</v>
      </c>
      <c r="P29" s="93">
        <f>USD!AR30</f>
        <v>4.2345965740901992E-2</v>
      </c>
      <c r="Q29" s="93">
        <f>Returns!N30</f>
        <v>2.1071140395562699E-2</v>
      </c>
      <c r="V29" s="98"/>
      <c r="W29" s="337" t="s">
        <v>586</v>
      </c>
      <c r="AA29" s="337" t="str">
        <f t="shared" si="2"/>
        <v>3Q2004</v>
      </c>
      <c r="AB29" s="145">
        <f t="shared" si="14"/>
        <v>1.0639101523252885</v>
      </c>
      <c r="AC29" s="93">
        <f>Returns!U30</f>
        <v>6.3910152325288516E-2</v>
      </c>
      <c r="AD29" s="93">
        <f>Returns!V30</f>
        <v>4.2375485924065264E-3</v>
      </c>
      <c r="AI29" s="98"/>
      <c r="AJ29" s="337" t="s">
        <v>586</v>
      </c>
    </row>
    <row r="30" spans="1:46">
      <c r="A30" s="337" t="str">
        <f>USD!AE31</f>
        <v>4Q2004</v>
      </c>
      <c r="B30" s="125">
        <f t="shared" si="10"/>
        <v>1.1029058136070462</v>
      </c>
      <c r="C30" s="24">
        <f>Returns!C31</f>
        <v>0.1029058136070462</v>
      </c>
      <c r="D30" s="24">
        <f>Returns!E31</f>
        <v>-7.6551078847511E-3</v>
      </c>
      <c r="I30" s="637"/>
      <c r="J30" s="23">
        <f>_xlfn.STDEV.S(D15:D34)</f>
        <v>4.8983034494539057E-2</v>
      </c>
      <c r="N30" s="337" t="str">
        <f t="shared" si="0"/>
        <v>4Q2004</v>
      </c>
      <c r="O30" s="126">
        <f t="shared" si="13"/>
        <v>1.1469593847447461</v>
      </c>
      <c r="P30" s="93">
        <f>USD!AR31</f>
        <v>0.14695938474474612</v>
      </c>
      <c r="Q30" s="93">
        <f>Returns!N31</f>
        <v>4.8021952792462901E-2</v>
      </c>
      <c r="V30" s="637"/>
      <c r="W30" s="23">
        <f>_xlfn.STDEV.S(Q15:Q34)</f>
        <v>3.7503050369127724E-2</v>
      </c>
      <c r="AA30" s="337" t="str">
        <f t="shared" si="2"/>
        <v>4Q2004</v>
      </c>
      <c r="AB30" s="145">
        <f t="shared" si="14"/>
        <v>1.1287937924800944</v>
      </c>
      <c r="AC30" s="93">
        <f>Returns!U31</f>
        <v>0.12879379248009437</v>
      </c>
      <c r="AD30" s="93">
        <f>Returns!V31</f>
        <v>6.8677083054817983E-2</v>
      </c>
      <c r="AI30" s="637"/>
      <c r="AJ30" s="23">
        <f>_xlfn.STDEV.S(AD15:AD34)</f>
        <v>8.1758765121476729E-2</v>
      </c>
    </row>
    <row r="31" spans="1:46">
      <c r="A31" s="337" t="str">
        <f>USD!AE32</f>
        <v>1Q2005</v>
      </c>
      <c r="B31" s="125">
        <f t="shared" si="10"/>
        <v>0.98566552055589507</v>
      </c>
      <c r="C31" s="24">
        <f>Returns!C32</f>
        <v>-1.4334479444104931E-2</v>
      </c>
      <c r="D31" s="24">
        <f>Returns!E32</f>
        <v>2.7603540376466063E-2</v>
      </c>
      <c r="I31" s="23"/>
      <c r="N31" s="337" t="str">
        <f t="shared" si="0"/>
        <v>1Q2005</v>
      </c>
      <c r="O31" s="126">
        <f t="shared" si="13"/>
        <v>0.9709903569013314</v>
      </c>
      <c r="P31" s="93">
        <f>USD!AR32</f>
        <v>-2.9009643098668603E-2</v>
      </c>
      <c r="Q31" s="93">
        <f>Returns!N32</f>
        <v>1.55183882471747E-2</v>
      </c>
      <c r="V31" s="98"/>
      <c r="AA31" s="337" t="str">
        <f t="shared" si="2"/>
        <v>1Q2005</v>
      </c>
      <c r="AB31" s="145">
        <f t="shared" si="14"/>
        <v>1.0177585043672988</v>
      </c>
      <c r="AC31" s="93">
        <f>Returns!U32</f>
        <v>1.7758504367298755E-2</v>
      </c>
      <c r="AD31" s="93">
        <f>Returns!V32</f>
        <v>2.7696971588512767E-2</v>
      </c>
      <c r="AI31" s="98"/>
    </row>
    <row r="32" spans="1:46">
      <c r="A32" s="337" t="str">
        <f>USD!AE33</f>
        <v>2Q2005</v>
      </c>
      <c r="B32" s="125">
        <f t="shared" si="10"/>
        <v>0.99908196678771088</v>
      </c>
      <c r="C32" s="24">
        <f>Returns!C33</f>
        <v>-9.180332122891155E-4</v>
      </c>
      <c r="D32" s="24">
        <f>Returns!E33</f>
        <v>3.4428937423143458E-2</v>
      </c>
      <c r="N32" s="337" t="str">
        <f t="shared" si="0"/>
        <v>2Q2005</v>
      </c>
      <c r="O32" s="126">
        <f t="shared" si="13"/>
        <v>0.97154386510468149</v>
      </c>
      <c r="P32" s="93">
        <f>USD!AR33</f>
        <v>-2.8456134895318508E-2</v>
      </c>
      <c r="Q32" s="93">
        <f>Returns!N33</f>
        <v>4.2966616164086202E-2</v>
      </c>
      <c r="AA32" s="337" t="str">
        <f t="shared" si="2"/>
        <v>2Q2005</v>
      </c>
      <c r="AB32" s="145">
        <f t="shared" si="14"/>
        <v>1.0241324792624393</v>
      </c>
      <c r="AC32" s="93">
        <f>Returns!U33</f>
        <v>2.4132479262439333E-2</v>
      </c>
      <c r="AD32" s="93">
        <f>Returns!V33</f>
        <v>3.6787585734294116E-2</v>
      </c>
      <c r="AI32" s="6"/>
    </row>
    <row r="33" spans="1:30">
      <c r="A33" s="337" t="str">
        <f>USD!AE34</f>
        <v>3Q2005</v>
      </c>
      <c r="B33" s="125">
        <f t="shared" si="10"/>
        <v>1.0283125571657981</v>
      </c>
      <c r="C33" s="24">
        <f>Returns!C34</f>
        <v>2.8312557165798058E-2</v>
      </c>
      <c r="D33" s="24">
        <f>Returns!E34</f>
        <v>2.6189179344246583E-2</v>
      </c>
      <c r="N33" s="337" t="str">
        <f t="shared" si="0"/>
        <v>3Q2005</v>
      </c>
      <c r="O33" s="126">
        <f t="shared" si="13"/>
        <v>1.0414279964230992</v>
      </c>
      <c r="P33" s="93">
        <f>USD!AR34</f>
        <v>4.1427996423099245E-2</v>
      </c>
      <c r="Q33" s="93">
        <f>Returns!N34</f>
        <v>4.5746250579257401E-2</v>
      </c>
      <c r="AA33" s="337" t="str">
        <f t="shared" si="2"/>
        <v>3Q2005</v>
      </c>
      <c r="AB33" s="145">
        <f t="shared" si="14"/>
        <v>1.1145570556098354</v>
      </c>
      <c r="AC33" s="93">
        <f>Returns!U34</f>
        <v>0.11455705560983542</v>
      </c>
      <c r="AD33" s="93">
        <f>Returns!V34</f>
        <v>5.6135629278882444E-2</v>
      </c>
    </row>
    <row r="34" spans="1:30">
      <c r="A34" s="337" t="str">
        <f>USD!AE35</f>
        <v>4Q2005</v>
      </c>
      <c r="B34" s="125">
        <f t="shared" si="10"/>
        <v>1.0094819269561666</v>
      </c>
      <c r="C34" s="24">
        <f>Returns!C35</f>
        <v>9.4819269561665642E-3</v>
      </c>
      <c r="D34" s="24">
        <f>Returns!E35</f>
        <v>4.7691629431807936E-2</v>
      </c>
      <c r="N34" s="337" t="str">
        <f t="shared" ref="N34:N65" si="15">A34</f>
        <v>4Q2005</v>
      </c>
      <c r="O34" s="126">
        <f t="shared" si="13"/>
        <v>0.99630703863463266</v>
      </c>
      <c r="P34" s="93">
        <f>USD!AR35</f>
        <v>-3.6929613653673421E-3</v>
      </c>
      <c r="Q34" s="93">
        <f>Returns!N35</f>
        <v>1.8352620746716598E-2</v>
      </c>
      <c r="AA34" s="337" t="str">
        <f t="shared" ref="AA34:AA65" si="16">N34</f>
        <v>4Q2005</v>
      </c>
      <c r="AB34" s="145">
        <f t="shared" si="14"/>
        <v>1.0202680183838344</v>
      </c>
      <c r="AC34" s="93">
        <f>Returns!U35</f>
        <v>2.0268018383834407E-2</v>
      </c>
      <c r="AD34" s="93">
        <f>Returns!V35</f>
        <v>2.6905122932169522E-2</v>
      </c>
    </row>
    <row r="35" spans="1:30">
      <c r="A35" s="337" t="str">
        <f>USD!AE36</f>
        <v>1Q2006</v>
      </c>
      <c r="B35" s="125">
        <f t="shared" si="10"/>
        <v>1.0343677180140409</v>
      </c>
      <c r="C35" s="24">
        <f>Returns!C36</f>
        <v>3.4367718014040927E-2</v>
      </c>
      <c r="D35" s="24">
        <f>Returns!E36</f>
        <v>2.5327935268155688E-3</v>
      </c>
      <c r="N35" s="337" t="str">
        <f t="shared" si="15"/>
        <v>1Q2006</v>
      </c>
      <c r="O35" s="126">
        <f t="shared" si="13"/>
        <v>1.0562679033167752</v>
      </c>
      <c r="P35" s="93">
        <f>USD!AR36</f>
        <v>5.6267903316775225E-2</v>
      </c>
      <c r="Q35" s="93">
        <f>Returns!N36</f>
        <v>2.9559101110307101E-2</v>
      </c>
      <c r="AA35" s="337" t="str">
        <f t="shared" si="16"/>
        <v>1Q2006</v>
      </c>
      <c r="AB35" s="145">
        <f t="shared" si="14"/>
        <v>1.0485994527975251</v>
      </c>
      <c r="AC35" s="93">
        <f>Returns!U36</f>
        <v>4.8599452797525089E-2</v>
      </c>
      <c r="AD35" s="93">
        <f>Returns!V36</f>
        <v>4.7208082552405814E-2</v>
      </c>
    </row>
    <row r="36" spans="1:30">
      <c r="A36" s="337" t="str">
        <f>USD!AE37</f>
        <v>2Q2006</v>
      </c>
      <c r="B36" s="125">
        <f t="shared" si="10"/>
        <v>1.0199070519775737</v>
      </c>
      <c r="C36" s="24">
        <f>Returns!C37</f>
        <v>1.9907051977573698E-2</v>
      </c>
      <c r="D36" s="24">
        <f>Returns!E37</f>
        <v>-3.2969880214289371E-2</v>
      </c>
      <c r="N36" s="337" t="str">
        <f t="shared" si="15"/>
        <v>2Q2006</v>
      </c>
      <c r="O36" s="126">
        <f t="shared" si="13"/>
        <v>1.0410852209389836</v>
      </c>
      <c r="P36" s="93">
        <f>USD!AR37</f>
        <v>4.1085220938983591E-2</v>
      </c>
      <c r="Q36" s="93">
        <f>Returns!N37</f>
        <v>-1.46879215364841E-2</v>
      </c>
      <c r="AA36" s="337" t="str">
        <f t="shared" si="16"/>
        <v>2Q2006</v>
      </c>
      <c r="AB36" s="145">
        <f t="shared" si="14"/>
        <v>1.0192138864496358</v>
      </c>
      <c r="AC36" s="93">
        <f>Returns!U37</f>
        <v>1.9213886449635842E-2</v>
      </c>
      <c r="AD36" s="93">
        <f>Returns!V37</f>
        <v>-2.840068307848452E-2</v>
      </c>
    </row>
    <row r="37" spans="1:30">
      <c r="A37" s="337" t="str">
        <f>USD!AE38</f>
        <v>3Q2006</v>
      </c>
      <c r="B37" s="125">
        <f t="shared" si="10"/>
        <v>1.0337883842353235</v>
      </c>
      <c r="C37" s="24">
        <f>Returns!C38</f>
        <v>3.3788384235323488E-2</v>
      </c>
      <c r="D37" s="24">
        <f>Returns!E38</f>
        <v>8.2972495563846671E-2</v>
      </c>
      <c r="N37" s="337" t="str">
        <f t="shared" si="15"/>
        <v>3Q2006</v>
      </c>
      <c r="O37" s="126">
        <f t="shared" si="13"/>
        <v>1.0275389937052211</v>
      </c>
      <c r="P37" s="93">
        <f>USD!AR38</f>
        <v>2.753899370522106E-2</v>
      </c>
      <c r="Q37" s="93">
        <f>Returns!N38</f>
        <v>3.7191941295608301E-2</v>
      </c>
      <c r="AA37" s="337" t="str">
        <f t="shared" si="16"/>
        <v>3Q2006</v>
      </c>
      <c r="AB37" s="145">
        <f t="shared" si="14"/>
        <v>1.0357135995178741</v>
      </c>
      <c r="AC37" s="93">
        <f>Returns!U38</f>
        <v>3.5713599517874117E-2</v>
      </c>
      <c r="AD37" s="93">
        <f>Returns!V38</f>
        <v>3.9019761983739146E-2</v>
      </c>
    </row>
    <row r="38" spans="1:30">
      <c r="A38" s="337" t="str">
        <f>USD!AE39</f>
        <v>4Q2006</v>
      </c>
      <c r="B38" s="125">
        <f t="shared" si="10"/>
        <v>1.0559110787565007</v>
      </c>
      <c r="C38" s="24">
        <f>Returns!C39</f>
        <v>5.5911078756500698E-2</v>
      </c>
      <c r="D38" s="24">
        <f>Returns!E39</f>
        <v>8.5634211401959259E-3</v>
      </c>
      <c r="N38" s="337" t="str">
        <f t="shared" si="15"/>
        <v>4Q2006</v>
      </c>
      <c r="O38" s="126">
        <f t="shared" si="13"/>
        <v>1.0837944950836098</v>
      </c>
      <c r="P38" s="93">
        <f>USD!AR39</f>
        <v>8.379449508360981E-2</v>
      </c>
      <c r="Q38" s="93">
        <f>Returns!N39</f>
        <v>4.11372360298429E-2</v>
      </c>
      <c r="AA38" s="337" t="str">
        <f t="shared" si="16"/>
        <v>4Q2006</v>
      </c>
      <c r="AB38" s="145">
        <f t="shared" si="14"/>
        <v>1.0412805510368635</v>
      </c>
      <c r="AC38" s="93">
        <f>Returns!U39</f>
        <v>4.1280551036863455E-2</v>
      </c>
      <c r="AD38" s="93">
        <f>Returns!V39</f>
        <v>8.6127528563257533E-2</v>
      </c>
    </row>
    <row r="39" spans="1:30">
      <c r="A39" s="337" t="str">
        <f>USD!AE40</f>
        <v>1Q2007</v>
      </c>
      <c r="B39" s="125">
        <f t="shared" si="10"/>
        <v>1.0192912000621159</v>
      </c>
      <c r="C39" s="24">
        <f>Returns!C40</f>
        <v>1.9291200062115932E-2</v>
      </c>
      <c r="D39" s="24">
        <f>Returns!E40</f>
        <v>-7.2186525024104916E-4</v>
      </c>
      <c r="N39" s="337" t="str">
        <f t="shared" si="15"/>
        <v>1Q2007</v>
      </c>
      <c r="O39" s="126">
        <f t="shared" si="13"/>
        <v>1.0269196895654005</v>
      </c>
      <c r="P39" s="93">
        <f>USD!AR40</f>
        <v>2.6919689565400473E-2</v>
      </c>
      <c r="Q39" s="93">
        <f>Returns!N40</f>
        <v>1.7276799782970899E-2</v>
      </c>
      <c r="AA39" s="337" t="str">
        <f t="shared" si="16"/>
        <v>1Q2007</v>
      </c>
      <c r="AB39" s="145">
        <f t="shared" si="14"/>
        <v>1.0329357518250109</v>
      </c>
      <c r="AC39" s="93">
        <f>Returns!U40</f>
        <v>3.2935751825010851E-2</v>
      </c>
      <c r="AD39" s="93">
        <f>Returns!V40</f>
        <v>2.4015064099788246E-2</v>
      </c>
    </row>
    <row r="40" spans="1:30">
      <c r="A40" s="337" t="str">
        <f>USD!AE41</f>
        <v>2Q2007</v>
      </c>
      <c r="B40" s="125">
        <f t="shared" si="10"/>
        <v>1.0309124844909872</v>
      </c>
      <c r="C40" s="24">
        <f>Returns!C41</f>
        <v>3.0912484490987158E-2</v>
      </c>
      <c r="D40" s="24">
        <f>Returns!E41</f>
        <v>-2.4852225924639096E-3</v>
      </c>
      <c r="N40" s="337" t="str">
        <f t="shared" si="15"/>
        <v>2Q2007</v>
      </c>
      <c r="O40" s="126">
        <f t="shared" si="13"/>
        <v>1.028359722410894</v>
      </c>
      <c r="P40" s="93">
        <f>USD!AR41</f>
        <v>2.8359722410894017E-2</v>
      </c>
      <c r="Q40" s="93">
        <f>Returns!N41</f>
        <v>1.3587908499660401E-2</v>
      </c>
      <c r="AA40" s="337" t="str">
        <f t="shared" si="16"/>
        <v>2Q2007</v>
      </c>
      <c r="AB40" s="145">
        <f t="shared" si="14"/>
        <v>1.0917193562401539</v>
      </c>
      <c r="AC40" s="93">
        <f>Returns!U41</f>
        <v>9.1719356240153926E-2</v>
      </c>
      <c r="AD40" s="93">
        <f>Returns!V41</f>
        <v>6.6453995583268454E-3</v>
      </c>
    </row>
    <row r="41" spans="1:30">
      <c r="A41" s="337" t="str">
        <f>USD!AE42</f>
        <v>3Q2007</v>
      </c>
      <c r="B41" s="125">
        <f t="shared" si="10"/>
        <v>1.0412761394163967</v>
      </c>
      <c r="C41" s="24">
        <f>Returns!C42</f>
        <v>4.127613941639674E-2</v>
      </c>
      <c r="D41" s="24">
        <f>Returns!E42</f>
        <v>-4.4069595105173706E-2</v>
      </c>
      <c r="N41" s="337" t="str">
        <f t="shared" si="15"/>
        <v>3Q2007</v>
      </c>
      <c r="O41" s="126">
        <f t="shared" si="13"/>
        <v>1.0709312061328291</v>
      </c>
      <c r="P41" s="93">
        <f>USD!AR42</f>
        <v>7.0931206132829105E-2</v>
      </c>
      <c r="Q41" s="93">
        <f>Returns!N42</f>
        <v>1.7014308856727198E-2</v>
      </c>
      <c r="AA41" s="337" t="str">
        <f t="shared" si="16"/>
        <v>3Q2007</v>
      </c>
      <c r="AB41" s="145">
        <f t="shared" si="14"/>
        <v>1.0696584838487002</v>
      </c>
      <c r="AC41" s="93">
        <f>Returns!U42</f>
        <v>6.9658483848700214E-2</v>
      </c>
      <c r="AD41" s="93">
        <f>Returns!V42</f>
        <v>-7.8060126866919715E-4</v>
      </c>
    </row>
    <row r="42" spans="1:30">
      <c r="A42" s="337" t="str">
        <f>USD!AE43</f>
        <v>4Q2007</v>
      </c>
      <c r="B42" s="125">
        <f t="shared" si="10"/>
        <v>1.0033261828811859</v>
      </c>
      <c r="C42" s="24">
        <f>Returns!C43</f>
        <v>3.3261828811859129E-3</v>
      </c>
      <c r="D42" s="24">
        <f>Returns!E43</f>
        <v>4.7324771298644808E-3</v>
      </c>
      <c r="N42" s="337" t="str">
        <f t="shared" si="15"/>
        <v>4Q2007</v>
      </c>
      <c r="O42" s="126">
        <f t="shared" si="13"/>
        <v>1.0173788975088078</v>
      </c>
      <c r="P42" s="93">
        <f>USD!AR43</f>
        <v>1.7378897508807833E-2</v>
      </c>
      <c r="Q42" s="93">
        <f>Returns!N43</f>
        <v>-1.0386437945226101E-2</v>
      </c>
      <c r="AA42" s="337" t="str">
        <f t="shared" si="16"/>
        <v>4Q2007</v>
      </c>
      <c r="AB42" s="145">
        <f t="shared" si="14"/>
        <v>1.0056262127754272</v>
      </c>
      <c r="AC42" s="93">
        <f>Returns!U43</f>
        <v>5.6262127754271862E-3</v>
      </c>
      <c r="AD42" s="93">
        <f>Returns!V43</f>
        <v>-1.2047995383838476E-3</v>
      </c>
    </row>
    <row r="43" spans="1:30">
      <c r="A43" s="337" t="str">
        <f>USD!AE44</f>
        <v>1Q2008</v>
      </c>
      <c r="B43" s="125">
        <f t="shared" si="10"/>
        <v>0.97937418120456965</v>
      </c>
      <c r="C43" s="24">
        <f>Returns!C44</f>
        <v>-2.0625818795430351E-2</v>
      </c>
      <c r="D43" s="24">
        <f>Returns!E44</f>
        <v>-8.3412111690687241E-2</v>
      </c>
      <c r="N43" s="337" t="str">
        <f t="shared" si="15"/>
        <v>1Q2008</v>
      </c>
      <c r="O43" s="126">
        <f t="shared" si="13"/>
        <v>1.0349034682809086</v>
      </c>
      <c r="P43" s="93">
        <f>USD!AR44</f>
        <v>3.4903468280908623E-2</v>
      </c>
      <c r="Q43" s="93">
        <f>Returns!N44</f>
        <v>-4.5103711398185503E-2</v>
      </c>
      <c r="AA43" s="337" t="str">
        <f t="shared" si="16"/>
        <v>1Q2008</v>
      </c>
      <c r="AB43" s="145">
        <f t="shared" si="14"/>
        <v>0.95417063477496278</v>
      </c>
      <c r="AC43" s="93">
        <f>Returns!U44</f>
        <v>-4.5829365225037222E-2</v>
      </c>
      <c r="AD43" s="93">
        <f>Returns!V44</f>
        <v>-8.0279853986011136E-3</v>
      </c>
    </row>
    <row r="44" spans="1:30">
      <c r="A44" s="337" t="str">
        <f>USD!AE45</f>
        <v>2Q2008</v>
      </c>
      <c r="B44" s="125">
        <f t="shared" si="10"/>
        <v>0.97412074673208904</v>
      </c>
      <c r="C44" s="24">
        <f>Returns!C45</f>
        <v>-2.5879253267910962E-2</v>
      </c>
      <c r="D44" s="24">
        <f>Returns!E45</f>
        <v>-2.3636480062466731E-2</v>
      </c>
      <c r="N44" s="337" t="str">
        <f t="shared" si="15"/>
        <v>2Q2008</v>
      </c>
      <c r="O44" s="126">
        <f t="shared" si="13"/>
        <v>0.98820924883369932</v>
      </c>
      <c r="P44" s="93">
        <f>USD!AR45</f>
        <v>-1.1790751166300684E-2</v>
      </c>
      <c r="Q44" s="93">
        <f>Returns!N45</f>
        <v>-6.1458007436288901E-3</v>
      </c>
      <c r="AA44" s="337" t="str">
        <f t="shared" si="16"/>
        <v>2Q2008</v>
      </c>
      <c r="AB44" s="145">
        <f t="shared" si="14"/>
        <v>1.0212836945035138</v>
      </c>
      <c r="AC44" s="93">
        <f>Returns!U45</f>
        <v>2.128369450351375E-2</v>
      </c>
      <c r="AD44" s="93">
        <f>Returns!V45</f>
        <v>9.8371154023094744E-3</v>
      </c>
    </row>
    <row r="45" spans="1:30">
      <c r="A45" s="337" t="str">
        <f>USD!AE46</f>
        <v>3Q2008</v>
      </c>
      <c r="B45" s="125">
        <f t="shared" si="10"/>
        <v>0.86135993382197873</v>
      </c>
      <c r="C45" s="24">
        <f>Returns!C46</f>
        <v>-0.13864006617802127</v>
      </c>
      <c r="D45" s="24">
        <f>Returns!E46</f>
        <v>-1.6328093223965968E-4</v>
      </c>
      <c r="N45" s="337" t="str">
        <f t="shared" si="15"/>
        <v>3Q2008</v>
      </c>
      <c r="O45" s="126">
        <f t="shared" si="13"/>
        <v>0.84769581770201419</v>
      </c>
      <c r="P45" s="93">
        <f>USD!AR46</f>
        <v>-0.15230418229798581</v>
      </c>
      <c r="Q45" s="93">
        <f>Returns!N46</f>
        <v>-4.9167472716617498E-2</v>
      </c>
      <c r="AA45" s="337" t="str">
        <f t="shared" si="16"/>
        <v>3Q2008</v>
      </c>
      <c r="AB45" s="145">
        <f t="shared" si="14"/>
        <v>0.86966941970560807</v>
      </c>
      <c r="AC45" s="93">
        <f>Returns!U46</f>
        <v>-0.13033058029439193</v>
      </c>
      <c r="AD45" s="93">
        <f>Returns!V46</f>
        <v>-8.8627936493023959E-2</v>
      </c>
    </row>
    <row r="46" spans="1:30">
      <c r="A46" s="337" t="str">
        <f>USD!AE47</f>
        <v>4Q2008</v>
      </c>
      <c r="B46" s="125">
        <f t="shared" si="10"/>
        <v>0.87491622242577194</v>
      </c>
      <c r="C46" s="24">
        <f>Returns!C47</f>
        <v>-0.12508377757422806</v>
      </c>
      <c r="D46" s="24">
        <f>Returns!E47</f>
        <v>3.6187419624764836E-2</v>
      </c>
      <c r="N46" s="337" t="str">
        <f t="shared" si="15"/>
        <v>4Q2008</v>
      </c>
      <c r="O46" s="126">
        <f t="shared" si="13"/>
        <v>0.87465602921714414</v>
      </c>
      <c r="P46" s="93">
        <f>USD!AR47</f>
        <v>-0.12534397078285586</v>
      </c>
      <c r="Q46" s="93">
        <f>Returns!N47</f>
        <v>-0.116156606192563</v>
      </c>
      <c r="AA46" s="337" t="str">
        <f t="shared" si="16"/>
        <v>4Q2008</v>
      </c>
      <c r="AB46" s="145">
        <f t="shared" si="14"/>
        <v>0.80106576597019874</v>
      </c>
      <c r="AC46" s="93">
        <f>Returns!U47</f>
        <v>-0.19893423402980126</v>
      </c>
      <c r="AD46" s="93">
        <f>Returns!V47</f>
        <v>-6.9868615415528398E-2</v>
      </c>
    </row>
    <row r="47" spans="1:30">
      <c r="A47" s="337" t="str">
        <f>USD!AE48</f>
        <v>1Q2009</v>
      </c>
      <c r="B47" s="125">
        <f t="shared" si="10"/>
        <v>0.91922812504992379</v>
      </c>
      <c r="C47" s="24">
        <f>Returns!C48</f>
        <v>-8.0771874950076206E-2</v>
      </c>
      <c r="D47" s="24">
        <f>Returns!E48</f>
        <v>-0.11359160492572361</v>
      </c>
      <c r="N47" s="337" t="str">
        <f t="shared" si="15"/>
        <v>1Q2009</v>
      </c>
      <c r="O47" s="126">
        <f t="shared" si="13"/>
        <v>0.9148552591568031</v>
      </c>
      <c r="P47" s="93">
        <f>USD!AR48</f>
        <v>-8.5144740843196898E-2</v>
      </c>
      <c r="Q47" s="93">
        <f>Returns!N48</f>
        <v>-4.2183108675103401E-2</v>
      </c>
      <c r="AA47" s="337" t="str">
        <f t="shared" si="16"/>
        <v>1Q2009</v>
      </c>
      <c r="AB47" s="145">
        <f t="shared" si="14"/>
        <v>0.92344762574645589</v>
      </c>
      <c r="AC47" s="93">
        <f>Returns!U48</f>
        <v>-7.6552374253544109E-2</v>
      </c>
      <c r="AD47" s="93">
        <f>Returns!V48</f>
        <v>-5.886137680607248E-2</v>
      </c>
    </row>
    <row r="48" spans="1:30">
      <c r="A48" s="337" t="str">
        <f>USD!AE49</f>
        <v>2Q2009</v>
      </c>
      <c r="B48" s="125">
        <f t="shared" si="10"/>
        <v>1.1763154652332242</v>
      </c>
      <c r="C48" s="24">
        <f>Returns!C49</f>
        <v>0.17631546523322417</v>
      </c>
      <c r="D48" s="24">
        <f>Returns!E49</f>
        <v>0.12134199845187547</v>
      </c>
      <c r="N48" s="337" t="str">
        <f t="shared" si="15"/>
        <v>2Q2009</v>
      </c>
      <c r="O48" s="126">
        <f t="shared" si="13"/>
        <v>1.1523484592051427</v>
      </c>
      <c r="P48" s="93">
        <f>USD!AR49</f>
        <v>0.15234845920514273</v>
      </c>
      <c r="Q48" s="93">
        <f>Returns!N49</f>
        <v>9.0773147940176005E-2</v>
      </c>
      <c r="AA48" s="337" t="str">
        <f t="shared" si="16"/>
        <v>2Q2009</v>
      </c>
      <c r="AB48" s="145">
        <f t="shared" si="14"/>
        <v>1.1585280370843036</v>
      </c>
      <c r="AC48" s="93">
        <f>Returns!U49</f>
        <v>0.15852803708430363</v>
      </c>
      <c r="AD48" s="93">
        <f>Returns!V49</f>
        <v>6.9392787718361118E-2</v>
      </c>
    </row>
    <row r="49" spans="1:30">
      <c r="A49" s="337" t="str">
        <f>USD!AE50</f>
        <v>3Q2009</v>
      </c>
      <c r="B49" s="125">
        <f t="shared" si="10"/>
        <v>1.1608352432858846</v>
      </c>
      <c r="C49" s="24">
        <f>Returns!C50</f>
        <v>0.16083524328588461</v>
      </c>
      <c r="D49" s="24">
        <f>Returns!E50</f>
        <v>4.6447915749537792E-2</v>
      </c>
      <c r="N49" s="337" t="str">
        <f t="shared" si="15"/>
        <v>3Q2009</v>
      </c>
      <c r="O49" s="126">
        <f t="shared" si="13"/>
        <v>1.1537196747136429</v>
      </c>
      <c r="P49" s="93">
        <f>USD!AR50</f>
        <v>0.1537196747136429</v>
      </c>
      <c r="Q49" s="93">
        <f>Returns!N50</f>
        <v>0.10711201238290401</v>
      </c>
      <c r="AA49" s="337" t="str">
        <f t="shared" si="16"/>
        <v>3Q2009</v>
      </c>
      <c r="AB49" s="145">
        <f t="shared" si="14"/>
        <v>1.1301428138880798</v>
      </c>
      <c r="AC49" s="93">
        <f>Returns!U50</f>
        <v>0.1301428138880798</v>
      </c>
      <c r="AD49" s="93">
        <f>Returns!V50</f>
        <v>4.4458847157253331E-2</v>
      </c>
    </row>
    <row r="50" spans="1:30">
      <c r="A50" s="337" t="str">
        <f>USD!AE51</f>
        <v>4Q2009</v>
      </c>
      <c r="B50" s="125">
        <f t="shared" si="10"/>
        <v>1.0258224004859531</v>
      </c>
      <c r="C50" s="24">
        <f>Returns!C51</f>
        <v>2.5822400485953079E-2</v>
      </c>
      <c r="D50" s="24">
        <f>Returns!E51</f>
        <v>2.1314107013986429E-2</v>
      </c>
      <c r="N50" s="337" t="str">
        <f t="shared" si="15"/>
        <v>4Q2009</v>
      </c>
      <c r="O50" s="126">
        <f t="shared" si="13"/>
        <v>1.0202007288808832</v>
      </c>
      <c r="P50" s="93">
        <f>USD!AR51</f>
        <v>2.0200728880883201E-2</v>
      </c>
      <c r="Q50" s="93">
        <f>Returns!N51</f>
        <v>3.9364489786038397E-2</v>
      </c>
      <c r="AA50" s="337" t="str">
        <f t="shared" si="16"/>
        <v>4Q2009</v>
      </c>
      <c r="AB50" s="145">
        <f t="shared" si="14"/>
        <v>1.0413092610577988</v>
      </c>
      <c r="AC50" s="93">
        <f>Returns!U51</f>
        <v>4.1309261057798752E-2</v>
      </c>
      <c r="AD50" s="93">
        <f>Returns!V51</f>
        <v>1.7102919808015753E-2</v>
      </c>
    </row>
    <row r="51" spans="1:30">
      <c r="A51" s="337" t="str">
        <f>USD!AE52</f>
        <v>1Q2010</v>
      </c>
      <c r="B51" s="125">
        <f t="shared" si="10"/>
        <v>1.0105137503654473</v>
      </c>
      <c r="C51" s="24">
        <f>Returns!C52</f>
        <v>1.0513750365447327E-2</v>
      </c>
      <c r="D51" s="24">
        <f>Returns!E52</f>
        <v>3.8309525696611516E-2</v>
      </c>
      <c r="N51" s="337" t="str">
        <f t="shared" si="15"/>
        <v>1Q2010</v>
      </c>
      <c r="O51" s="126">
        <f t="shared" si="13"/>
        <v>0.99086579928722573</v>
      </c>
      <c r="P51" s="93">
        <f>USD!AR52</f>
        <v>-9.1342007127742653E-3</v>
      </c>
      <c r="Q51" s="93">
        <f>Returns!N52</f>
        <v>5.0657292640639E-2</v>
      </c>
      <c r="AA51" s="337" t="str">
        <f t="shared" si="16"/>
        <v>1Q2010</v>
      </c>
      <c r="AB51" s="145">
        <f t="shared" si="14"/>
        <v>1.0413213141260549</v>
      </c>
      <c r="AC51" s="93">
        <f>Returns!U52</f>
        <v>4.1321314126054887E-2</v>
      </c>
      <c r="AD51" s="93">
        <f>Returns!V52</f>
        <v>7.7479269772394018E-3</v>
      </c>
    </row>
    <row r="52" spans="1:30">
      <c r="A52" s="337" t="str">
        <f>USD!AE53</f>
        <v>2Q2010</v>
      </c>
      <c r="B52" s="125">
        <f t="shared" si="10"/>
        <v>0.91038532102496994</v>
      </c>
      <c r="C52" s="24">
        <f>Returns!C53</f>
        <v>-8.961467897503006E-2</v>
      </c>
      <c r="D52" s="24">
        <f>Returns!E53</f>
        <v>-2.5822901387312657E-3</v>
      </c>
      <c r="N52" s="337" t="str">
        <f t="shared" si="15"/>
        <v>2Q2010</v>
      </c>
      <c r="O52" s="126">
        <f t="shared" si="13"/>
        <v>0.90044989874111725</v>
      </c>
      <c r="P52" s="93">
        <f>USD!AR53</f>
        <v>-9.9550101258882751E-2</v>
      </c>
      <c r="Q52" s="93">
        <f>Returns!N53</f>
        <v>-5.3082168545352396E-3</v>
      </c>
      <c r="AA52" s="337" t="str">
        <f t="shared" si="16"/>
        <v>2Q2010</v>
      </c>
      <c r="AB52" s="145">
        <f t="shared" si="14"/>
        <v>0.94150126304270099</v>
      </c>
      <c r="AC52" s="93">
        <f>Returns!U53</f>
        <v>-5.8498736957299013E-2</v>
      </c>
      <c r="AD52" s="93">
        <f>Returns!V53</f>
        <v>-1.3861990860651154E-2</v>
      </c>
    </row>
    <row r="53" spans="1:30">
      <c r="A53" s="337" t="str">
        <f>USD!AE54</f>
        <v>3Q2010</v>
      </c>
      <c r="B53" s="125">
        <f t="shared" si="10"/>
        <v>1.1365822212652847</v>
      </c>
      <c r="C53" s="24">
        <f>Returns!C54</f>
        <v>0.13658222126528474</v>
      </c>
      <c r="D53" s="24">
        <f>Returns!E54</f>
        <v>2.3512114002254357E-2</v>
      </c>
      <c r="N53" s="337" t="str">
        <f t="shared" si="15"/>
        <v>3Q2010</v>
      </c>
      <c r="O53" s="126">
        <f t="shared" si="13"/>
        <v>1.1781445590196822</v>
      </c>
      <c r="P53" s="93">
        <f>USD!AR54</f>
        <v>0.17814455901968218</v>
      </c>
      <c r="Q53" s="93">
        <f>Returns!N54</f>
        <v>5.7067665291108599E-2</v>
      </c>
      <c r="AA53" s="337" t="str">
        <f t="shared" si="16"/>
        <v>3Q2010</v>
      </c>
      <c r="AB53" s="145">
        <f t="shared" si="14"/>
        <v>1.1008950330481784</v>
      </c>
      <c r="AC53" s="93">
        <f>Returns!U54</f>
        <v>0.10089503304817837</v>
      </c>
      <c r="AD53" s="93">
        <f>Returns!V54</f>
        <v>6.2770592059920027E-2</v>
      </c>
    </row>
    <row r="54" spans="1:30">
      <c r="A54" s="337" t="str">
        <f>USD!AE55</f>
        <v>4Q2010</v>
      </c>
      <c r="B54" s="125">
        <f t="shared" si="10"/>
        <v>1.0383076216550959</v>
      </c>
      <c r="C54" s="24">
        <f>Returns!C55</f>
        <v>3.8307621655095936E-2</v>
      </c>
      <c r="D54" s="24">
        <f>Returns!E55</f>
        <v>3.0559586569831421E-2</v>
      </c>
      <c r="N54" s="337" t="str">
        <f t="shared" si="15"/>
        <v>4Q2010</v>
      </c>
      <c r="O54" s="126">
        <f t="shared" si="13"/>
        <v>1.0099930549224159</v>
      </c>
      <c r="P54" s="93">
        <f>USD!AR55</f>
        <v>9.9930549224158671E-3</v>
      </c>
      <c r="Q54" s="93">
        <f>Returns!N55</f>
        <v>2.7798058271544499E-2</v>
      </c>
      <c r="AA54" s="337" t="str">
        <f t="shared" si="16"/>
        <v>4Q2010</v>
      </c>
      <c r="AB54" s="145">
        <f t="shared" si="14"/>
        <v>1.0612315428287018</v>
      </c>
      <c r="AC54" s="93">
        <f>Returns!U55</f>
        <v>6.1231542828701802E-2</v>
      </c>
      <c r="AD54" s="93">
        <f>Returns!V55</f>
        <v>2.7920965571710709E-2</v>
      </c>
    </row>
    <row r="55" spans="1:30">
      <c r="A55" s="337" t="str">
        <f>USD!AE56</f>
        <v>1Q2011</v>
      </c>
      <c r="B55" s="125">
        <f t="shared" si="10"/>
        <v>1.0457116274951888</v>
      </c>
      <c r="C55" s="24">
        <f>Returns!C56</f>
        <v>4.5711627495188756E-2</v>
      </c>
      <c r="D55" s="24">
        <f>Returns!E56</f>
        <v>-4.7973685339336696E-3</v>
      </c>
      <c r="N55" s="337" t="str">
        <f t="shared" si="15"/>
        <v>1Q2011</v>
      </c>
      <c r="O55" s="126">
        <f t="shared" si="13"/>
        <v>1.067314308550062</v>
      </c>
      <c r="P55" s="93">
        <f>USD!AR56</f>
        <v>6.7314308550062041E-2</v>
      </c>
      <c r="Q55" s="93">
        <f>Returns!N56</f>
        <v>8.9890723103776098E-3</v>
      </c>
      <c r="AA55" s="337" t="str">
        <f t="shared" si="16"/>
        <v>1Q2011</v>
      </c>
      <c r="AB55" s="145">
        <f t="shared" si="14"/>
        <v>1.0549158324330816</v>
      </c>
      <c r="AC55" s="93">
        <f>Returns!U56</f>
        <v>5.4915832433081624E-2</v>
      </c>
      <c r="AD55" s="93">
        <f>Returns!V56</f>
        <v>3.2727193679142987E-2</v>
      </c>
    </row>
    <row r="56" spans="1:30">
      <c r="A56" s="337" t="str">
        <f>USD!AE57</f>
        <v>2Q2011</v>
      </c>
      <c r="B56" s="125">
        <f t="shared" si="10"/>
        <v>1.0162333769755805</v>
      </c>
      <c r="C56" s="24">
        <f>Returns!C57</f>
        <v>1.6233376975580471E-2</v>
      </c>
      <c r="D56" s="24">
        <f>Returns!E57</f>
        <v>-1.4317463281307381E-2</v>
      </c>
      <c r="N56" s="337" t="str">
        <f t="shared" si="15"/>
        <v>2Q2011</v>
      </c>
      <c r="O56" s="126">
        <f t="shared" si="13"/>
        <v>1.0297816429538993</v>
      </c>
      <c r="P56" s="93">
        <f>USD!AR57</f>
        <v>2.978164295389929E-2</v>
      </c>
      <c r="Q56" s="93">
        <f>Returns!N57</f>
        <v>7.9415717520550707E-3</v>
      </c>
      <c r="AA56" s="337" t="str">
        <f t="shared" si="16"/>
        <v>2Q2011</v>
      </c>
      <c r="AB56" s="145">
        <f t="shared" si="14"/>
        <v>1.0160485962393246</v>
      </c>
      <c r="AC56" s="93">
        <f>Returns!U57</f>
        <v>1.6048596239324642E-2</v>
      </c>
      <c r="AD56" s="93">
        <f>Returns!V57</f>
        <v>8.0580829921071285E-3</v>
      </c>
    </row>
    <row r="57" spans="1:30">
      <c r="A57" s="337" t="str">
        <f>USD!AE58</f>
        <v>3Q2011</v>
      </c>
      <c r="B57" s="125">
        <f t="shared" si="10"/>
        <v>0.87334144358943511</v>
      </c>
      <c r="C57" s="24">
        <f>Returns!C58</f>
        <v>-0.12665855641056489</v>
      </c>
      <c r="D57" s="24">
        <f>Returns!E58</f>
        <v>-4.4369509488752255E-2</v>
      </c>
      <c r="N57" s="337" t="str">
        <f t="shared" si="15"/>
        <v>3Q2011</v>
      </c>
      <c r="O57" s="126">
        <f t="shared" si="13"/>
        <v>0.89856218694845491</v>
      </c>
      <c r="P57" s="93">
        <f>USD!AR58</f>
        <v>-0.10143781305154509</v>
      </c>
      <c r="Q57" s="93">
        <f>Returns!N58</f>
        <v>-2.90084847149913E-2</v>
      </c>
      <c r="AA57" s="337" t="str">
        <f t="shared" si="16"/>
        <v>3Q2011</v>
      </c>
      <c r="AB57" s="145">
        <f t="shared" si="14"/>
        <v>0.91820326415990117</v>
      </c>
      <c r="AC57" s="93">
        <f>Returns!U58</f>
        <v>-8.1796735840098833E-2</v>
      </c>
      <c r="AD57" s="93">
        <f>Returns!V58</f>
        <v>-8.5859378118070279E-3</v>
      </c>
    </row>
    <row r="58" spans="1:30">
      <c r="A58" s="337" t="str">
        <f>USD!AE59</f>
        <v>4Q2011</v>
      </c>
      <c r="B58" s="125">
        <f t="shared" si="10"/>
        <v>1.0322274193240493</v>
      </c>
      <c r="C58" s="24">
        <f>Returns!C59</f>
        <v>3.2227419324049267E-2</v>
      </c>
      <c r="D58" s="24">
        <f>Returns!E59</f>
        <v>4.9272973455111453E-2</v>
      </c>
      <c r="N58" s="337" t="str">
        <f t="shared" si="15"/>
        <v>4Q2011</v>
      </c>
      <c r="O58" s="126">
        <f t="shared" si="13"/>
        <v>1.0122277521666676</v>
      </c>
      <c r="P58" s="93">
        <f>USD!AR59</f>
        <v>1.2227752166667605E-2</v>
      </c>
      <c r="Q58" s="93">
        <f>Returns!N59</f>
        <v>4.6185838412731897E-2</v>
      </c>
      <c r="AA58" s="337" t="str">
        <f t="shared" si="16"/>
        <v>4Q2011</v>
      </c>
      <c r="AB58" s="145">
        <f t="shared" si="14"/>
        <v>1.0437582844630264</v>
      </c>
      <c r="AC58" s="93">
        <f>Returns!U59</f>
        <v>4.3758284463026431E-2</v>
      </c>
      <c r="AD58" s="93">
        <f>Returns!V59</f>
        <v>1.9919267937696512E-2</v>
      </c>
    </row>
    <row r="59" spans="1:30">
      <c r="A59" s="337" t="str">
        <f>USD!AE60</f>
        <v>1Q2012</v>
      </c>
      <c r="B59" s="125">
        <f t="shared" si="10"/>
        <v>1.0847579526157893</v>
      </c>
      <c r="C59" s="24">
        <f>Returns!C60</f>
        <v>8.4757952615789334E-2</v>
      </c>
      <c r="D59" s="24">
        <f>Returns!E60</f>
        <v>3.6790455620119775E-2</v>
      </c>
      <c r="N59" s="337" t="str">
        <f t="shared" si="15"/>
        <v>1Q2012</v>
      </c>
      <c r="O59" s="126">
        <f t="shared" si="13"/>
        <v>1.0856068569303827</v>
      </c>
      <c r="P59" s="93">
        <f>USD!AR60</f>
        <v>8.5606856930382724E-2</v>
      </c>
      <c r="Q59" s="93">
        <f>Returns!N60</f>
        <v>5.8256949329522502E-2</v>
      </c>
      <c r="AA59" s="337" t="str">
        <f t="shared" si="16"/>
        <v>1Q2012</v>
      </c>
      <c r="AB59" s="145">
        <f t="shared" si="14"/>
        <v>1.0615244511124051</v>
      </c>
      <c r="AC59" s="93">
        <f>Returns!U60</f>
        <v>6.1524451112405121E-2</v>
      </c>
      <c r="AD59" s="93">
        <f>Returns!V60</f>
        <v>4.1925472785949748E-2</v>
      </c>
    </row>
    <row r="60" spans="1:30">
      <c r="A60" s="337" t="str">
        <f>USD!AE61</f>
        <v>2Q2012</v>
      </c>
      <c r="B60" s="125">
        <f t="shared" si="10"/>
        <v>0.9574364546473505</v>
      </c>
      <c r="C60" s="24">
        <f>Returns!C61</f>
        <v>-4.2563545352649501E-2</v>
      </c>
      <c r="D60" s="24">
        <f>Returns!E61</f>
        <v>-2.2119138456985358E-3</v>
      </c>
      <c r="N60" s="337" t="str">
        <f t="shared" si="15"/>
        <v>2Q2012</v>
      </c>
      <c r="O60" s="126">
        <f t="shared" si="13"/>
        <v>0.95381937081687163</v>
      </c>
      <c r="P60" s="93">
        <f>USD!AR61</f>
        <v>-4.6180629183128374E-2</v>
      </c>
      <c r="Q60" s="93">
        <f>Returns!N61</f>
        <v>9.0699386000863704E-4</v>
      </c>
      <c r="AA60" s="337" t="str">
        <f t="shared" si="16"/>
        <v>2Q2012</v>
      </c>
      <c r="AB60" s="145">
        <f t="shared" si="14"/>
        <v>0.98477517466428943</v>
      </c>
      <c r="AC60" s="93">
        <f>Returns!U61</f>
        <v>-1.5224825335710568E-2</v>
      </c>
      <c r="AD60" s="93">
        <f>Returns!V61</f>
        <v>4.4815166456650219E-3</v>
      </c>
    </row>
    <row r="61" spans="1:30">
      <c r="A61" s="337" t="str">
        <f>USD!AE62</f>
        <v>3Q2012</v>
      </c>
      <c r="B61" s="125">
        <f t="shared" si="10"/>
        <v>1.0618838503401868</v>
      </c>
      <c r="C61" s="24">
        <f>Returns!C62</f>
        <v>6.1883850340186841E-2</v>
      </c>
      <c r="D61" s="24">
        <f>Returns!E62</f>
        <v>2.2646782532866956E-2</v>
      </c>
      <c r="N61" s="337" t="str">
        <f t="shared" si="15"/>
        <v>3Q2012</v>
      </c>
      <c r="O61" s="126">
        <f t="shared" si="13"/>
        <v>1.0623719663036222</v>
      </c>
      <c r="P61" s="93">
        <f>USD!AR62</f>
        <v>6.2371966303622184E-2</v>
      </c>
      <c r="Q61" s="93">
        <f>Returns!N62</f>
        <v>4.7962370793199899E-2</v>
      </c>
      <c r="AA61" s="337" t="str">
        <f t="shared" si="16"/>
        <v>3Q2012</v>
      </c>
      <c r="AB61" s="145">
        <f t="shared" si="14"/>
        <v>1.0546914160927909</v>
      </c>
      <c r="AC61" s="93">
        <f>Returns!U62</f>
        <v>5.4691416092790934E-2</v>
      </c>
      <c r="AD61" s="93">
        <f>Returns!V62</f>
        <v>1.7964214884988627E-2</v>
      </c>
    </row>
    <row r="62" spans="1:30">
      <c r="A62" s="337" t="str">
        <f>USD!AE63</f>
        <v>4Q2012</v>
      </c>
      <c r="B62" s="125">
        <f t="shared" si="10"/>
        <v>1.0363358632112705</v>
      </c>
      <c r="C62" s="24">
        <f>Returns!C63</f>
        <v>3.6335863211270469E-2</v>
      </c>
      <c r="D62" s="24">
        <f>Returns!E63</f>
        <v>7.4532145640937948E-3</v>
      </c>
      <c r="N62" s="337" t="str">
        <f t="shared" si="15"/>
        <v>4Q2012</v>
      </c>
      <c r="O62" s="126">
        <f t="shared" si="13"/>
        <v>1.049865907564983</v>
      </c>
      <c r="P62" s="93">
        <f>USD!AR63</f>
        <v>4.9865907564982992E-2</v>
      </c>
      <c r="Q62" s="93">
        <f>Returns!N63</f>
        <v>2.44628433937626E-2</v>
      </c>
      <c r="AA62" s="337" t="str">
        <f t="shared" si="16"/>
        <v>4Q2012</v>
      </c>
      <c r="AB62" s="145">
        <f t="shared" si="14"/>
        <v>1.0162009921598327</v>
      </c>
      <c r="AC62" s="93">
        <f>Returns!U63</f>
        <v>1.6200992159832728E-2</v>
      </c>
      <c r="AD62" s="93">
        <f>Returns!V63</f>
        <v>2.8336122662274948E-2</v>
      </c>
    </row>
    <row r="63" spans="1:30">
      <c r="A63" s="337" t="str">
        <f>USD!AE64</f>
        <v>1Q2013</v>
      </c>
      <c r="B63" s="125">
        <f t="shared" si="10"/>
        <v>1.0275968599385472</v>
      </c>
      <c r="C63" s="24">
        <f>Returns!C64</f>
        <v>2.7596859938547214E-2</v>
      </c>
      <c r="D63" s="24">
        <f>Returns!E64</f>
        <v>7.6943297352603371E-2</v>
      </c>
      <c r="N63" s="337" t="str">
        <f t="shared" si="15"/>
        <v>1Q2013</v>
      </c>
      <c r="O63" s="126">
        <f t="shared" si="13"/>
        <v>1.008769441274685</v>
      </c>
      <c r="P63" s="93">
        <f>USD!AR64</f>
        <v>8.7694412746850414E-3</v>
      </c>
      <c r="Q63" s="93">
        <f>Returns!N64</f>
        <v>3.5715799061705897E-2</v>
      </c>
      <c r="AA63" s="337" t="str">
        <f t="shared" si="16"/>
        <v>1Q2013</v>
      </c>
      <c r="AB63" s="145">
        <f t="shared" si="14"/>
        <v>1.022445562109253</v>
      </c>
      <c r="AC63" s="93">
        <f>Returns!U64</f>
        <v>2.244556210925297E-2</v>
      </c>
      <c r="AD63" s="93">
        <f>Returns!V64</f>
        <v>4.3239498669173183E-2</v>
      </c>
    </row>
    <row r="64" spans="1:30">
      <c r="A64" s="337" t="str">
        <f>USD!AE65</f>
        <v>2Q2013</v>
      </c>
      <c r="B64" s="125">
        <f t="shared" si="10"/>
        <v>0.99016246636241223</v>
      </c>
      <c r="C64" s="24">
        <f>Returns!C65</f>
        <v>-9.8375336375877698E-3</v>
      </c>
      <c r="D64" s="24">
        <f>Returns!E65</f>
        <v>3.6602062191548657E-2</v>
      </c>
      <c r="N64" s="337" t="str">
        <f t="shared" si="15"/>
        <v>2Q2013</v>
      </c>
      <c r="O64" s="126">
        <f t="shared" si="13"/>
        <v>0.99312395057827663</v>
      </c>
      <c r="P64" s="93">
        <f>USD!AR65</f>
        <v>-6.8760494217233736E-3</v>
      </c>
      <c r="Q64" s="93">
        <f>Returns!N65</f>
        <v>-1.8909494554289401E-2</v>
      </c>
      <c r="AA64" s="337" t="str">
        <f t="shared" si="16"/>
        <v>2Q2013</v>
      </c>
      <c r="AB64" s="145">
        <f t="shared" si="14"/>
        <v>0.97284987727294658</v>
      </c>
      <c r="AC64" s="93">
        <f>Returns!U65</f>
        <v>-2.7150122727053416E-2</v>
      </c>
      <c r="AD64" s="93">
        <f>Returns!V65</f>
        <v>1.0195362005113439E-2</v>
      </c>
    </row>
    <row r="65" spans="1:30">
      <c r="A65" s="337" t="str">
        <f>USD!AE66</f>
        <v>3Q2013</v>
      </c>
      <c r="B65" s="125">
        <f t="shared" si="10"/>
        <v>1.0732951530743853</v>
      </c>
      <c r="C65" s="24">
        <f>Returns!C66</f>
        <v>7.3295153074385277E-2</v>
      </c>
      <c r="D65" s="24">
        <f>Returns!E66</f>
        <v>5.7158944715097436E-2</v>
      </c>
      <c r="N65" s="337" t="str">
        <f t="shared" si="15"/>
        <v>3Q2013</v>
      </c>
      <c r="O65" s="126">
        <f t="shared" si="13"/>
        <v>1.0631227477855085</v>
      </c>
      <c r="P65" s="93">
        <f>USD!AR66</f>
        <v>6.3122747785508526E-2</v>
      </c>
      <c r="Q65" s="93">
        <f>Returns!N66</f>
        <v>2.0868413751507699E-2</v>
      </c>
      <c r="AA65" s="337" t="str">
        <f t="shared" si="16"/>
        <v>3Q2013</v>
      </c>
      <c r="AB65" s="145">
        <f t="shared" si="14"/>
        <v>1.0439212078111577</v>
      </c>
      <c r="AC65" s="93">
        <f>Returns!U66</f>
        <v>4.3921207811157714E-2</v>
      </c>
      <c r="AD65" s="93">
        <f>Returns!V66</f>
        <v>1.7153997354461464E-2</v>
      </c>
    </row>
    <row r="66" spans="1:30">
      <c r="A66" s="337" t="str">
        <f>USD!AE67</f>
        <v>4Q2013</v>
      </c>
      <c r="B66" s="125">
        <f t="shared" si="10"/>
        <v>1.0446984365459513</v>
      </c>
      <c r="C66" s="24">
        <f>Returns!C67</f>
        <v>4.4698436545951292E-2</v>
      </c>
      <c r="D66" s="24">
        <f>Returns!E67</f>
        <v>5.3835259551698801E-2</v>
      </c>
      <c r="N66" s="337" t="str">
        <f t="shared" ref="N66:N78" si="17">A66</f>
        <v>4Q2013</v>
      </c>
      <c r="O66" s="126">
        <f t="shared" si="13"/>
        <v>1.0421493774276296</v>
      </c>
      <c r="P66" s="93">
        <f>USD!AR67</f>
        <v>4.2149377427629586E-2</v>
      </c>
      <c r="Q66" s="93">
        <f>Returns!N67</f>
        <v>2.3772106929297199E-2</v>
      </c>
      <c r="AA66" s="337" t="str">
        <f t="shared" ref="AA66:AA77" si="18">N66</f>
        <v>4Q2013</v>
      </c>
      <c r="AB66" s="145">
        <f t="shared" si="14"/>
        <v>1.0216336433648876</v>
      </c>
      <c r="AC66" s="93">
        <f>Returns!U67</f>
        <v>2.16336433648876E-2</v>
      </c>
      <c r="AD66" s="93">
        <f>Returns!V67</f>
        <v>5.6022712399253792E-2</v>
      </c>
    </row>
    <row r="67" spans="1:30">
      <c r="A67" s="337" t="str">
        <f>USD!AE68</f>
        <v>1Q2014</v>
      </c>
      <c r="B67" s="125">
        <f t="shared" si="10"/>
        <v>1.0193115301791933</v>
      </c>
      <c r="C67" s="24">
        <f>Returns!C68</f>
        <v>1.9311530179193293E-2</v>
      </c>
      <c r="D67" s="24">
        <f>Returns!E68</f>
        <v>5.9040682989260585E-3</v>
      </c>
      <c r="N67" s="337" t="str">
        <f t="shared" si="17"/>
        <v>1Q2014</v>
      </c>
      <c r="O67" s="126">
        <f t="shared" si="13"/>
        <v>1.0307997113491951</v>
      </c>
      <c r="P67" s="93">
        <f>USD!AR68</f>
        <v>3.0799711349195125E-2</v>
      </c>
      <c r="Q67" s="93">
        <f>Returns!N68</f>
        <v>3.05752897374445E-2</v>
      </c>
      <c r="AA67" s="337" t="str">
        <f t="shared" si="18"/>
        <v>1Q2014</v>
      </c>
      <c r="AB67" s="145">
        <f t="shared" si="14"/>
        <v>1.0267321843814012</v>
      </c>
      <c r="AC67" s="93">
        <f>Returns!U68</f>
        <v>2.6732184381401236E-2</v>
      </c>
      <c r="AD67" s="93">
        <f>Returns!V68</f>
        <v>6.6593551539737922E-2</v>
      </c>
    </row>
    <row r="68" spans="1:30">
      <c r="A68" s="337" t="str">
        <f>USD!AE69</f>
        <v>2Q2014</v>
      </c>
      <c r="B68" s="125">
        <f t="shared" ref="B68:B78" si="19">C68+1</f>
        <v>1.035569410329011</v>
      </c>
      <c r="C68" s="24">
        <f>Returns!C69</f>
        <v>3.5569410329010953E-2</v>
      </c>
      <c r="D68" s="24">
        <f>Returns!E69</f>
        <v>6.1384917881412246E-2</v>
      </c>
      <c r="N68" s="337" t="str">
        <f t="shared" si="17"/>
        <v>2Q2014</v>
      </c>
      <c r="O68" s="126">
        <f t="shared" ref="O68:O78" si="20">P68+1</f>
        <v>1.0433937287573114</v>
      </c>
      <c r="P68" s="93">
        <f>USD!AR69</f>
        <v>4.3393728757311401E-2</v>
      </c>
      <c r="Q68" s="93">
        <f>Returns!N69</f>
        <v>5.0328039398318203E-2</v>
      </c>
      <c r="AA68" s="337" t="str">
        <f t="shared" si="18"/>
        <v>2Q2014</v>
      </c>
      <c r="AB68" s="145">
        <f t="shared" si="14"/>
        <v>1.0522430732605228</v>
      </c>
      <c r="AC68" s="93">
        <f>Returns!U69</f>
        <v>5.2243073260522799E-2</v>
      </c>
      <c r="AD68" s="93">
        <f>Returns!V69</f>
        <v>1.5444357402895504E-2</v>
      </c>
    </row>
    <row r="69" spans="1:30">
      <c r="A69" s="337" t="str">
        <f>USD!AE70</f>
        <v>3Q2014</v>
      </c>
      <c r="B69" s="125">
        <f t="shared" si="19"/>
        <v>0.95874110029516668</v>
      </c>
      <c r="C69" s="24">
        <f>Returns!C70</f>
        <v>-4.1258899704833318E-2</v>
      </c>
      <c r="D69" s="24">
        <f>Returns!E70</f>
        <v>3.4963091636300652E-3</v>
      </c>
      <c r="N69" s="337" t="str">
        <f t="shared" si="17"/>
        <v>3Q2014</v>
      </c>
      <c r="O69" s="126">
        <f t="shared" si="20"/>
        <v>0.94936666676175219</v>
      </c>
      <c r="P69" s="93">
        <f>USD!AR70</f>
        <v>-5.0633333238247813E-2</v>
      </c>
      <c r="Q69" s="93">
        <f>Returns!N70</f>
        <v>2.89536921994085E-2</v>
      </c>
      <c r="AA69" s="337" t="str">
        <f t="shared" si="18"/>
        <v>3Q2014</v>
      </c>
      <c r="AB69" s="145">
        <f t="shared" si="14"/>
        <v>0.98437221565287836</v>
      </c>
      <c r="AC69" s="93">
        <f>Returns!U70</f>
        <v>-1.5627784347121643E-2</v>
      </c>
      <c r="AD69" s="93">
        <f>Returns!V70</f>
        <v>3.2798356666079186E-2</v>
      </c>
    </row>
    <row r="70" spans="1:30">
      <c r="A70" s="337" t="str">
        <f>USD!AE71</f>
        <v>4Q2014</v>
      </c>
      <c r="B70" s="125">
        <f t="shared" si="19"/>
        <v>0.98180180701151354</v>
      </c>
      <c r="C70" s="24">
        <f>Returns!C71</f>
        <v>-1.8198192988486461E-2</v>
      </c>
      <c r="D70" s="24">
        <f>Returns!E71</f>
        <v>0.14609912236334477</v>
      </c>
      <c r="N70" s="337" t="str">
        <f t="shared" si="17"/>
        <v>4Q2014</v>
      </c>
      <c r="O70" s="126">
        <f t="shared" si="20"/>
        <v>0.98479694772259585</v>
      </c>
      <c r="P70" s="93">
        <f>USD!AR71</f>
        <v>-1.520305227740415E-2</v>
      </c>
      <c r="Q70" s="93">
        <f>Returns!N71</f>
        <v>2.80934339570744E-2</v>
      </c>
      <c r="AA70" s="337" t="str">
        <f t="shared" si="18"/>
        <v>4Q2014</v>
      </c>
      <c r="AB70" s="145">
        <f t="shared" si="14"/>
        <v>0.99438824659144642</v>
      </c>
      <c r="AC70" s="93">
        <f>Returns!U71</f>
        <v>-5.611753408553577E-3</v>
      </c>
      <c r="AD70" s="93">
        <f>Returns!V71</f>
        <v>3.0602824584620585E-2</v>
      </c>
    </row>
    <row r="71" spans="1:30">
      <c r="A71" s="337" t="str">
        <f>USD!AE72</f>
        <v>1Q2015</v>
      </c>
      <c r="B71" s="125">
        <f t="shared" si="19"/>
        <v>1.0100212977135583</v>
      </c>
      <c r="C71" s="24">
        <f>Returns!C72</f>
        <v>1.0021297713558308E-2</v>
      </c>
      <c r="D71" s="24">
        <f>Returns!E72</f>
        <v>8.5669670812910548E-2</v>
      </c>
      <c r="N71" s="337" t="str">
        <f t="shared" si="17"/>
        <v>1Q2015</v>
      </c>
      <c r="O71" s="126">
        <f t="shared" si="20"/>
        <v>0.96549130331915078</v>
      </c>
      <c r="P71" s="93">
        <f>USD!AR72</f>
        <v>-3.4508696680849216E-2</v>
      </c>
      <c r="Q71" s="93">
        <f>Returns!N72</f>
        <v>8.7796386099376705E-2</v>
      </c>
      <c r="AA71" s="337" t="str">
        <f t="shared" si="18"/>
        <v>1Q2015</v>
      </c>
      <c r="AB71" s="145">
        <f t="shared" si="14"/>
        <v>0.9964622547437485</v>
      </c>
      <c r="AC71" s="93">
        <f>Returns!U72</f>
        <v>-3.537745256251501E-3</v>
      </c>
      <c r="AD71" s="93">
        <f>Returns!V72</f>
        <v>8.9591578357830881E-2</v>
      </c>
    </row>
    <row r="72" spans="1:30">
      <c r="A72" s="337" t="str">
        <f>USD!AE73</f>
        <v>2Q2015</v>
      </c>
      <c r="B72" s="125">
        <f t="shared" si="19"/>
        <v>1.0055653241133762</v>
      </c>
      <c r="C72" s="24">
        <f>Returns!C73</f>
        <v>5.5653241133761799E-3</v>
      </c>
      <c r="D72" s="24">
        <f>Returns!E73</f>
        <v>-1.8341354808603022E-2</v>
      </c>
      <c r="N72" s="337" t="str">
        <f t="shared" si="17"/>
        <v>2Q2015</v>
      </c>
      <c r="O72" s="126">
        <f t="shared" si="20"/>
        <v>0.99232685503876195</v>
      </c>
      <c r="P72" s="93">
        <f>USD!AR73</f>
        <v>-7.6731449612380542E-3</v>
      </c>
      <c r="Q72" s="93">
        <f>Returns!N73</f>
        <v>-4.3476242556845103E-2</v>
      </c>
      <c r="AA72" s="337" t="str">
        <f t="shared" si="18"/>
        <v>2Q2015</v>
      </c>
      <c r="AB72" s="145">
        <f t="shared" ref="AB72:AB78" si="21">AC72+1</f>
        <v>1.0138175150393238</v>
      </c>
      <c r="AC72" s="93">
        <f>Returns!U73</f>
        <v>1.3817515039323824E-2</v>
      </c>
      <c r="AD72" s="93">
        <f>Returns!V73</f>
        <v>-6.3128570797971986E-4</v>
      </c>
    </row>
    <row r="73" spans="1:30">
      <c r="A73" s="337" t="str">
        <f>USD!AE74</f>
        <v>3Q2015</v>
      </c>
      <c r="B73" s="125">
        <f t="shared" si="19"/>
        <v>0.93671700151479942</v>
      </c>
      <c r="C73" s="24">
        <f>Returns!C74</f>
        <v>-6.3282998485200581E-2</v>
      </c>
      <c r="D73" s="24">
        <f>Returns!E74</f>
        <v>1.559530002176544E-2</v>
      </c>
      <c r="N73" s="337" t="str">
        <f t="shared" si="17"/>
        <v>3Q2015</v>
      </c>
      <c r="O73" s="126">
        <f t="shared" si="20"/>
        <v>0.97078006622416035</v>
      </c>
      <c r="P73" s="93">
        <f>USD!AR74</f>
        <v>-2.9219933775839646E-2</v>
      </c>
      <c r="Q73" s="93">
        <f>Returns!N74</f>
        <v>-3.1002481560127599E-2</v>
      </c>
      <c r="AA73" s="337" t="str">
        <f t="shared" si="18"/>
        <v>3Q2015</v>
      </c>
      <c r="AB73" s="145">
        <f t="shared" si="21"/>
        <v>0.94551170769694604</v>
      </c>
      <c r="AC73" s="93">
        <f>Returns!U74</f>
        <v>-5.4488292303053965E-2</v>
      </c>
      <c r="AD73" s="93">
        <f>Returns!V74</f>
        <v>1.5377104817410045E-2</v>
      </c>
    </row>
    <row r="74" spans="1:30">
      <c r="A74" s="337" t="str">
        <f>USD!AE75</f>
        <v>4Q2015</v>
      </c>
      <c r="B74" s="125">
        <f t="shared" si="19"/>
        <v>1.0225830107240845</v>
      </c>
      <c r="C74" s="24">
        <f>Returns!C75</f>
        <v>2.2583010724084529E-2</v>
      </c>
      <c r="D74" s="24">
        <f>Returns!E75</f>
        <v>6.1106697769357871E-2</v>
      </c>
      <c r="N74" s="337" t="str">
        <f t="shared" si="17"/>
        <v>4Q2015</v>
      </c>
      <c r="O74" s="126">
        <f t="shared" si="20"/>
        <v>0.99158761400674889</v>
      </c>
      <c r="P74" s="93">
        <f>USD!AR75</f>
        <v>-8.4123859932511147E-3</v>
      </c>
      <c r="Q74" s="93">
        <f>Returns!N75</f>
        <v>1.8925930812168399E-2</v>
      </c>
      <c r="AA74" s="337" t="str">
        <f t="shared" si="18"/>
        <v>4Q2015</v>
      </c>
      <c r="AB74" s="145">
        <f t="shared" si="21"/>
        <v>1.0076637953391381</v>
      </c>
      <c r="AC74" s="93">
        <f>Returns!U75</f>
        <v>7.6637953391380798E-3</v>
      </c>
      <c r="AD74" s="93">
        <f>Returns!V75</f>
        <v>4.4041007015437304E-2</v>
      </c>
    </row>
    <row r="75" spans="1:30">
      <c r="A75" s="337" t="str">
        <f>USD!AE76</f>
        <v>1Q2016</v>
      </c>
      <c r="B75" s="125">
        <f t="shared" si="19"/>
        <v>1.0154506183959087</v>
      </c>
      <c r="C75" s="24">
        <f>Returns!C76</f>
        <v>1.5450618395908666E-2</v>
      </c>
      <c r="D75" s="24">
        <f>Returns!E76</f>
        <v>-5.1100009895986495E-2</v>
      </c>
      <c r="N75" s="337" t="str">
        <f t="shared" si="17"/>
        <v>1Q2016</v>
      </c>
      <c r="O75" s="126">
        <f t="shared" si="20"/>
        <v>1.0724094309851286</v>
      </c>
      <c r="P75" s="93">
        <f>USD!AR76</f>
        <v>7.2409430985128642E-2</v>
      </c>
      <c r="Q75" s="93">
        <f>Returns!N76</f>
        <v>2.2296416141178398E-2</v>
      </c>
      <c r="AA75" s="337" t="str">
        <f t="shared" si="18"/>
        <v>1Q2016</v>
      </c>
      <c r="AB75" s="145">
        <f t="shared" si="21"/>
        <v>1.0464096543317678</v>
      </c>
      <c r="AC75" s="93">
        <f>Returns!U76</f>
        <v>4.6409654331767802E-2</v>
      </c>
      <c r="AD75" s="93">
        <f>Returns!V76</f>
        <v>-2.5643533658178008E-2</v>
      </c>
    </row>
    <row r="76" spans="1:30">
      <c r="A76" s="337" t="str">
        <f>USD!AE77</f>
        <v>2Q2016</v>
      </c>
      <c r="B76" s="125">
        <f t="shared" si="19"/>
        <v>1.0051589187565724</v>
      </c>
      <c r="C76" s="24">
        <f>Returns!C77</f>
        <v>5.1589187565723726E-3</v>
      </c>
      <c r="D76" s="24">
        <f>Returns!E77</f>
        <v>1.6910330870069067E-2</v>
      </c>
      <c r="N76" s="337" t="str">
        <f t="shared" si="17"/>
        <v>2Q2016</v>
      </c>
      <c r="O76" s="126">
        <f t="shared" si="20"/>
        <v>1.0128381408679437</v>
      </c>
      <c r="P76" s="93">
        <f>USD!AR77</f>
        <v>1.2838140867943659E-2</v>
      </c>
      <c r="Q76" s="93">
        <f>Returns!N77</f>
        <v>3.8913380006590101E-2</v>
      </c>
      <c r="AA76" s="337" t="str">
        <f t="shared" si="18"/>
        <v>2Q2016</v>
      </c>
      <c r="AB76" s="145">
        <f t="shared" si="21"/>
        <v>1.0104829458428009</v>
      </c>
      <c r="AC76" s="93">
        <f>Returns!U77</f>
        <v>1.048294584280085E-2</v>
      </c>
      <c r="AD76" s="93">
        <f>Returns!V77</f>
        <v>1.4584407411222152E-2</v>
      </c>
    </row>
    <row r="77" spans="1:30">
      <c r="A77" s="337" t="str">
        <f>USD!AE78</f>
        <v>3Q2016</v>
      </c>
      <c r="B77" s="125">
        <f t="shared" si="19"/>
        <v>1.0426301033058578</v>
      </c>
      <c r="C77" s="24">
        <f>Returns!C78</f>
        <v>4.2630103305857814E-2</v>
      </c>
      <c r="D77" s="24">
        <f>Returns!E78</f>
        <v>-4.1751474792024032E-3</v>
      </c>
      <c r="N77" s="337" t="str">
        <f t="shared" si="17"/>
        <v>3Q2016</v>
      </c>
      <c r="O77" s="126">
        <f t="shared" si="20"/>
        <v>1.0383959365086979</v>
      </c>
      <c r="P77" s="93">
        <f>USD!AR78</f>
        <v>3.8395936508697881E-2</v>
      </c>
      <c r="Q77" s="93">
        <f>Returns!N78</f>
        <v>2.6521876650206101E-2</v>
      </c>
      <c r="AA77" s="337" t="str">
        <f t="shared" si="18"/>
        <v>3Q2016</v>
      </c>
      <c r="AB77" s="145">
        <f t="shared" si="21"/>
        <v>1.0340448726833646</v>
      </c>
      <c r="AC77" s="93">
        <f>Returns!U78</f>
        <v>3.4044872683364646E-2</v>
      </c>
      <c r="AD77" s="93">
        <f>Returns!V78</f>
        <v>4.6426021347587478E-2</v>
      </c>
    </row>
    <row r="78" spans="1:30">
      <c r="A78" s="337" t="s">
        <v>5</v>
      </c>
      <c r="B78" s="125">
        <f t="shared" si="19"/>
        <v>0.98153481272361898</v>
      </c>
      <c r="C78" s="24">
        <f>Returns!C79</f>
        <v>-1.8465187276381023E-2</v>
      </c>
      <c r="D78" s="24">
        <f>Returns!E79</f>
        <v>5.7112121351938022E-2</v>
      </c>
      <c r="N78" s="337" t="str">
        <f t="shared" si="17"/>
        <v>4Q2016</v>
      </c>
      <c r="O78" s="126">
        <f t="shared" si="20"/>
        <v>0.94222692106491845</v>
      </c>
      <c r="P78" s="93">
        <f>USD!AR79</f>
        <v>-5.7773078935081545E-2</v>
      </c>
      <c r="Q78" s="93">
        <f>Returns!N79</f>
        <v>3.9106062522397999E-3</v>
      </c>
      <c r="AA78" s="337" t="s">
        <v>5</v>
      </c>
      <c r="AB78" s="145">
        <f t="shared" si="21"/>
        <v>0.98537147373421496</v>
      </c>
      <c r="AC78" s="93">
        <f>Returns!U79</f>
        <v>-1.4628526265785036E-2</v>
      </c>
      <c r="AD78" s="93">
        <f>Returns!V79</f>
        <v>5.4650293713288094E-3</v>
      </c>
    </row>
  </sheetData>
  <mergeCells count="5">
    <mergeCell ref="AR1:AT1"/>
    <mergeCell ref="N1:Y1"/>
    <mergeCell ref="AA1:AK1"/>
    <mergeCell ref="AN1:AP1"/>
    <mergeCell ref="A1:K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NBIM ABS+REL</vt:lpstr>
      <vt:lpstr>NBIM</vt:lpstr>
      <vt:lpstr>APG</vt:lpstr>
      <vt:lpstr>CPPIB.</vt:lpstr>
      <vt:lpstr>USD</vt:lpstr>
      <vt:lpstr>Returns</vt:lpstr>
      <vt:lpstr>CPPIB</vt:lpstr>
      <vt:lpstr>Regression</vt:lpstr>
      <vt:lpstr>Risk</vt:lpstr>
      <vt:lpstr>Costs</vt:lpstr>
      <vt:lpstr>Risk Free Return+SR</vt:lpstr>
      <vt:lpstr>Return beyond inflation</vt:lpstr>
      <vt:lpstr>CPI+exchange rates</vt:lpstr>
      <vt:lpstr>Tables</vt:lpstr>
      <vt:lpstr>Benchmark finished</vt:lpstr>
      <vt:lpstr>Exch. rates etc.</vt:lpstr>
      <vt:lpstr>Benchmark Returns APG</vt:lpstr>
      <vt:lpstr>Benchmark Returns NBIM</vt:lpstr>
      <vt:lpstr>Benchmark Returns CPPIB</vt:lpstr>
      <vt:lpstr>Datastream - Indices</vt:lpstr>
      <vt:lpstr>Market Value end of quarter</vt:lpstr>
      <vt:lpstr>Total Return EUR unhedged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Vilde</dc:creator>
  <cp:lastModifiedBy>Kunev, Solveig Steen</cp:lastModifiedBy>
  <cp:lastPrinted>2017-04-03T12:33:14Z</cp:lastPrinted>
  <dcterms:created xsi:type="dcterms:W3CDTF">2017-01-31T09:05:24Z</dcterms:created>
  <dcterms:modified xsi:type="dcterms:W3CDTF">2018-02-26T11:43:55Z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-1598584920</vt:i4>
  </property>
  <property fmtid="{D5CDD505-2E9C-101B-9397-08002B2CF9AE}" pid="3" name="_NewReviewCycle">
    <vt:lpwstr/>
  </property>
  <property fmtid="{D5CDD505-2E9C-101B-9397-08002B2CF9AE}" pid="4" name="_EmailSubject">
    <vt:lpwstr/>
  </property>
  <property fmtid="{D5CDD505-2E9C-101B-9397-08002B2CF9AE}" pid="5" name="_AuthorEmail">
    <vt:lpwstr>Vilde.FalkenbergSaevroy@axpo.com</vt:lpwstr>
  </property>
  <property fmtid="{D5CDD505-2E9C-101B-9397-08002B2CF9AE}" pid="6" name="_AuthorEmailDisplayName">
    <vt:lpwstr>Falkenberg Saevroy Vilde TNF</vt:lpwstr>
  </property>
  <property fmtid="{D5CDD505-2E9C-101B-9397-08002B2CF9AE}" pid="7" name="_ReviewingToolsShownOnce">
    <vt:lpwstr/>
  </property>
</Properties>
</file>