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GA/Desktop/Innlevering bachelor/"/>
    </mc:Choice>
  </mc:AlternateContent>
  <bookViews>
    <workbookView xWindow="0" yWindow="460" windowWidth="38400" windowHeight="19980" tabRatio="500" activeTab="1"/>
  </bookViews>
  <sheets>
    <sheet name="Bespart tid etter tiltakene" sheetId="1" r:id="rId1"/>
    <sheet name="Kostnadsberegning FØR tiltakene" sheetId="10" r:id="rId2"/>
    <sheet name="Kostnadsberegning ETTER tiltak" sheetId="7" r:id="rId3"/>
    <sheet name="Utregning av besparte kostander" sheetId="11" r:id="rId4"/>
    <sheet name="Effekten av tiltakene" sheetId="2" r:id="rId5"/>
    <sheet name="Nåverdi breregning" sheetId="5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5" l="1"/>
  <c r="G19" i="5"/>
  <c r="G20" i="5"/>
  <c r="H20" i="5"/>
  <c r="H24" i="5"/>
  <c r="I19" i="5"/>
  <c r="I20" i="5"/>
  <c r="I24" i="5"/>
  <c r="J19" i="5"/>
  <c r="J20" i="5"/>
  <c r="J24" i="5"/>
  <c r="K19" i="5"/>
  <c r="K20" i="5"/>
  <c r="K24" i="5"/>
  <c r="G24" i="5"/>
  <c r="C32" i="5"/>
  <c r="H23" i="5"/>
  <c r="I23" i="5"/>
  <c r="J23" i="5"/>
  <c r="K23" i="5"/>
  <c r="G23" i="5"/>
  <c r="C31" i="5"/>
  <c r="C33" i="5"/>
  <c r="E36" i="5"/>
  <c r="C30" i="5"/>
  <c r="E35" i="5"/>
  <c r="F23" i="5"/>
  <c r="D20" i="10"/>
  <c r="D17" i="10"/>
  <c r="D18" i="10"/>
  <c r="D21" i="10"/>
  <c r="D27" i="10"/>
  <c r="D25" i="10"/>
  <c r="E27" i="10"/>
  <c r="F27" i="10"/>
  <c r="D28" i="10"/>
  <c r="E28" i="10"/>
  <c r="F28" i="10"/>
  <c r="D29" i="10"/>
  <c r="E29" i="10"/>
  <c r="F29" i="10"/>
  <c r="D30" i="10"/>
  <c r="E30" i="10"/>
  <c r="F30" i="10"/>
  <c r="F31" i="10"/>
  <c r="F68" i="10"/>
  <c r="F20" i="10"/>
  <c r="F17" i="10"/>
  <c r="F18" i="10"/>
  <c r="F21" i="10"/>
  <c r="D35" i="10"/>
  <c r="C35" i="10"/>
  <c r="D33" i="10"/>
  <c r="E35" i="10"/>
  <c r="F35" i="10"/>
  <c r="F70" i="10"/>
  <c r="D36" i="10"/>
  <c r="C36" i="10"/>
  <c r="E36" i="10"/>
  <c r="F36" i="10"/>
  <c r="F71" i="10"/>
  <c r="D37" i="10"/>
  <c r="C37" i="10"/>
  <c r="E37" i="10"/>
  <c r="F37" i="10"/>
  <c r="F72" i="10"/>
  <c r="D38" i="10"/>
  <c r="C38" i="10"/>
  <c r="E38" i="10"/>
  <c r="F38" i="10"/>
  <c r="F73" i="10"/>
  <c r="F74" i="10"/>
  <c r="F81" i="10"/>
  <c r="H20" i="10"/>
  <c r="H17" i="10"/>
  <c r="H18" i="10"/>
  <c r="H21" i="10"/>
  <c r="D44" i="10"/>
  <c r="C44" i="10"/>
  <c r="D42" i="10"/>
  <c r="E44" i="10"/>
  <c r="F44" i="10"/>
  <c r="F76" i="10"/>
  <c r="D45" i="10"/>
  <c r="C45" i="10"/>
  <c r="E45" i="10"/>
  <c r="F45" i="10"/>
  <c r="F77" i="10"/>
  <c r="D46" i="10"/>
  <c r="C46" i="10"/>
  <c r="E46" i="10"/>
  <c r="F46" i="10"/>
  <c r="F78" i="10"/>
  <c r="D47" i="10"/>
  <c r="C47" i="10"/>
  <c r="E47" i="10"/>
  <c r="F47" i="10"/>
  <c r="F79" i="10"/>
  <c r="F80" i="10"/>
  <c r="F82" i="10"/>
  <c r="F86" i="10"/>
  <c r="F88" i="10"/>
  <c r="F89" i="10"/>
  <c r="F90" i="10"/>
  <c r="F91" i="10"/>
  <c r="F93" i="10"/>
  <c r="F94" i="10"/>
  <c r="F95" i="10"/>
  <c r="F96" i="10"/>
  <c r="F97" i="10"/>
  <c r="F98" i="10"/>
  <c r="F99" i="10"/>
  <c r="F103" i="10"/>
  <c r="F104" i="10"/>
  <c r="F106" i="10"/>
  <c r="E136" i="11"/>
  <c r="E10" i="11"/>
  <c r="E7" i="11"/>
  <c r="E8" i="11"/>
  <c r="E11" i="11"/>
  <c r="H24" i="11"/>
  <c r="H25" i="11"/>
  <c r="H28" i="11"/>
  <c r="H29" i="11"/>
  <c r="H35" i="11"/>
  <c r="H39" i="11"/>
  <c r="H40" i="11"/>
  <c r="I10" i="11"/>
  <c r="I7" i="11"/>
  <c r="I8" i="11"/>
  <c r="I11" i="11"/>
  <c r="H41" i="11"/>
  <c r="H42" i="11"/>
  <c r="G10" i="11"/>
  <c r="G7" i="11"/>
  <c r="G8" i="11"/>
  <c r="G11" i="11"/>
  <c r="H47" i="11"/>
  <c r="H48" i="11"/>
  <c r="H53" i="11"/>
  <c r="H55" i="11"/>
  <c r="D130" i="11"/>
  <c r="H68" i="11"/>
  <c r="H69" i="11"/>
  <c r="H72" i="11"/>
  <c r="H73" i="11"/>
  <c r="H79" i="11"/>
  <c r="H85" i="11"/>
  <c r="H86" i="11"/>
  <c r="H87" i="11"/>
  <c r="H88" i="11"/>
  <c r="H93" i="11"/>
  <c r="H94" i="11"/>
  <c r="H99" i="11"/>
  <c r="H101" i="11"/>
  <c r="D131" i="11"/>
  <c r="H113" i="11"/>
  <c r="H114" i="11"/>
  <c r="H117" i="11"/>
  <c r="H118" i="11"/>
  <c r="H124" i="11"/>
  <c r="H126" i="11"/>
  <c r="D132" i="11"/>
  <c r="D133" i="11"/>
  <c r="E137" i="11"/>
  <c r="E50" i="1"/>
  <c r="E89" i="1"/>
  <c r="E51" i="1"/>
  <c r="E90" i="1"/>
  <c r="E52" i="1"/>
  <c r="E91" i="1"/>
  <c r="E53" i="1"/>
  <c r="E92" i="1"/>
  <c r="E93" i="1"/>
  <c r="E87" i="1"/>
  <c r="E83" i="1"/>
  <c r="E41" i="1"/>
  <c r="E70" i="1"/>
  <c r="E42" i="1"/>
  <c r="E71" i="1"/>
  <c r="E43" i="1"/>
  <c r="E72" i="1"/>
  <c r="E44" i="1"/>
  <c r="E73" i="1"/>
  <c r="E74" i="1"/>
  <c r="E66" i="1"/>
  <c r="E75" i="1"/>
  <c r="E94" i="1"/>
  <c r="F19" i="7"/>
  <c r="F16" i="7"/>
  <c r="F17" i="7"/>
  <c r="F20" i="7"/>
  <c r="D34" i="7"/>
  <c r="D32" i="7"/>
  <c r="E34" i="7"/>
  <c r="F34" i="7"/>
  <c r="F60" i="7"/>
  <c r="D35" i="7"/>
  <c r="E35" i="7"/>
  <c r="F35" i="7"/>
  <c r="F61" i="7"/>
  <c r="D36" i="7"/>
  <c r="C36" i="7"/>
  <c r="E36" i="7"/>
  <c r="F36" i="7"/>
  <c r="F62" i="7"/>
  <c r="D37" i="7"/>
  <c r="C37" i="7"/>
  <c r="E37" i="7"/>
  <c r="F37" i="7"/>
  <c r="F63" i="7"/>
  <c r="D38" i="7"/>
  <c r="C38" i="7"/>
  <c r="E38" i="7"/>
  <c r="F38" i="7"/>
  <c r="F64" i="7"/>
  <c r="D39" i="7"/>
  <c r="C39" i="7"/>
  <c r="E39" i="7"/>
  <c r="F39" i="7"/>
  <c r="F65" i="7"/>
  <c r="F66" i="7"/>
  <c r="F156" i="11"/>
  <c r="F159" i="11"/>
  <c r="D19" i="7"/>
  <c r="D16" i="7"/>
  <c r="D17" i="7"/>
  <c r="D20" i="7"/>
  <c r="D26" i="7"/>
  <c r="D24" i="7"/>
  <c r="E26" i="7"/>
  <c r="F26" i="7"/>
  <c r="D27" i="7"/>
  <c r="E27" i="7"/>
  <c r="F27" i="7"/>
  <c r="D28" i="7"/>
  <c r="E28" i="7"/>
  <c r="F28" i="7"/>
  <c r="F30" i="7"/>
  <c r="F58" i="7"/>
  <c r="F67" i="7"/>
  <c r="F90" i="7"/>
  <c r="E150" i="11"/>
  <c r="E138" i="11"/>
  <c r="F144" i="11"/>
  <c r="F24" i="5"/>
  <c r="G25" i="5"/>
  <c r="F25" i="5"/>
  <c r="H25" i="5"/>
  <c r="I25" i="5"/>
  <c r="J25" i="5"/>
  <c r="K25" i="5"/>
  <c r="G21" i="5"/>
  <c r="F49" i="10"/>
  <c r="F40" i="10"/>
  <c r="H19" i="7"/>
  <c r="H16" i="7"/>
  <c r="H17" i="7"/>
  <c r="H20" i="7"/>
  <c r="D46" i="7"/>
  <c r="D47" i="7"/>
  <c r="D48" i="7"/>
  <c r="D49" i="7"/>
  <c r="D45" i="7"/>
  <c r="D40" i="7"/>
  <c r="D43" i="7"/>
  <c r="C45" i="7"/>
  <c r="E45" i="7"/>
  <c r="F45" i="7"/>
  <c r="C46" i="7"/>
  <c r="E46" i="7"/>
  <c r="F46" i="7"/>
  <c r="C47" i="7"/>
  <c r="E47" i="7"/>
  <c r="F47" i="7"/>
  <c r="C48" i="7"/>
  <c r="E48" i="7"/>
  <c r="F48" i="7"/>
  <c r="F50" i="7"/>
  <c r="F41" i="7"/>
  <c r="F70" i="7"/>
  <c r="F72" i="7"/>
  <c r="F73" i="7"/>
  <c r="F74" i="7"/>
  <c r="F76" i="7"/>
  <c r="F77" i="7"/>
  <c r="F78" i="7"/>
  <c r="F79" i="7"/>
  <c r="F80" i="7"/>
  <c r="F81" i="7"/>
  <c r="F116" i="10"/>
  <c r="F88" i="7"/>
  <c r="F111" i="10"/>
  <c r="F112" i="10"/>
  <c r="F113" i="10"/>
  <c r="D57" i="10"/>
  <c r="D48" i="10"/>
  <c r="E49" i="10"/>
  <c r="C49" i="10"/>
  <c r="D39" i="10"/>
  <c r="E40" i="10"/>
  <c r="C40" i="10"/>
  <c r="E31" i="10"/>
  <c r="C31" i="10"/>
  <c r="E55" i="1"/>
  <c r="E39" i="1"/>
  <c r="E48" i="1"/>
  <c r="E57" i="1"/>
  <c r="F91" i="7"/>
  <c r="E50" i="7"/>
  <c r="C50" i="7"/>
  <c r="E41" i="7"/>
  <c r="C41" i="7"/>
  <c r="E30" i="7"/>
  <c r="C30" i="7"/>
  <c r="K21" i="5"/>
  <c r="J21" i="5"/>
  <c r="I21" i="5"/>
  <c r="H21" i="5"/>
  <c r="F21" i="5"/>
  <c r="E21" i="5"/>
  <c r="D21" i="5"/>
  <c r="C21" i="5"/>
  <c r="E56" i="1"/>
  <c r="E46" i="1"/>
  <c r="E54" i="1"/>
  <c r="E45" i="1"/>
  <c r="F19" i="2"/>
  <c r="C27" i="2"/>
  <c r="N15" i="2"/>
  <c r="G15" i="2"/>
</calcChain>
</file>

<file path=xl/sharedStrings.xml><?xml version="1.0" encoding="utf-8"?>
<sst xmlns="http://schemas.openxmlformats.org/spreadsheetml/2006/main" count="640" uniqueCount="324">
  <si>
    <t>Hvor mye tid spares etter tiltakene?</t>
  </si>
  <si>
    <t>Aktiviteter</t>
  </si>
  <si>
    <t>Oppretter sak</t>
  </si>
  <si>
    <t>Konferer med kollega/leder</t>
  </si>
  <si>
    <t>Konkret helhets vurdering</t>
  </si>
  <si>
    <t>Totalt</t>
  </si>
  <si>
    <t>Antall min</t>
  </si>
  <si>
    <t>Kundesenteret</t>
  </si>
  <si>
    <t>Sjekker kundeforhold</t>
  </si>
  <si>
    <t>Sjekker transaksjoner</t>
  </si>
  <si>
    <t>Kontakter andre banker</t>
  </si>
  <si>
    <t>Helhets vurdering</t>
  </si>
  <si>
    <t>Sender saken til Cognizant</t>
  </si>
  <si>
    <t>Kontakter politiet</t>
  </si>
  <si>
    <t>Misligholdsavdeling</t>
  </si>
  <si>
    <t>Hvitvaskingsavdeling</t>
  </si>
  <si>
    <t>Antall årsverk pr ansatt</t>
  </si>
  <si>
    <t>Antall årsverk totalt</t>
  </si>
  <si>
    <t>Brutto lønn</t>
  </si>
  <si>
    <t>Total lønnskostnad</t>
  </si>
  <si>
    <t>Lønnskostnad pr minutt</t>
  </si>
  <si>
    <t>Antall ansatte</t>
  </si>
  <si>
    <t>Antall minutter tilgjengelig arbeid</t>
  </si>
  <si>
    <t>Hvitvaskingsavdelingen</t>
  </si>
  <si>
    <t>Misligholdsavdelingen</t>
  </si>
  <si>
    <t>Nøkkeltall</t>
  </si>
  <si>
    <t xml:space="preserve">Forutsetninger for nøkkeltall: </t>
  </si>
  <si>
    <t>i tillegg til ordinære fri helligdager.</t>
  </si>
  <si>
    <t>-&gt;Antall årsverk på 1687,5 er basert på at hver ansatt arbeider 37,5 arbeidstimer pr uke, og at man har 4 uker fellesferie</t>
  </si>
  <si>
    <t>-&gt; Antall tilgjengelig minutter = Antall årsverk totalt * 60 min</t>
  </si>
  <si>
    <t>-&gt; Total lønnskostnad = Brutto lønn * Antall ansatte</t>
  </si>
  <si>
    <t xml:space="preserve">-&gt; Lønnskostnad pr minutt = Total lønnskostnad / Antall tilgjengelig minutter </t>
  </si>
  <si>
    <t>Oppretter kontakt</t>
  </si>
  <si>
    <t>Konkret helhetsvurdering</t>
  </si>
  <si>
    <t>Videresender saken</t>
  </si>
  <si>
    <t>Minutter pr sak</t>
  </si>
  <si>
    <t>Kostnad pr minutt</t>
  </si>
  <si>
    <t>Totalt tid (26 saker)</t>
  </si>
  <si>
    <t>Totale kostnader</t>
  </si>
  <si>
    <t>Antall saker:</t>
  </si>
  <si>
    <t>Sjekke kundeforhold</t>
  </si>
  <si>
    <t>Sjekke transaksjoner</t>
  </si>
  <si>
    <t>Total helhetsvurdering</t>
  </si>
  <si>
    <t>3 dager</t>
  </si>
  <si>
    <t>1,5 uke</t>
  </si>
  <si>
    <t>1 dag</t>
  </si>
  <si>
    <t>2 uker</t>
  </si>
  <si>
    <t>1 uke</t>
  </si>
  <si>
    <t>-</t>
  </si>
  <si>
    <t>Foretar sperring</t>
  </si>
  <si>
    <t>Gjennomsnittlig tapt beløp er:</t>
  </si>
  <si>
    <t>Gjennomsnittlig tapt beløp</t>
  </si>
  <si>
    <t>Kostnader knyttet til ulike scenarioer</t>
  </si>
  <si>
    <t>Gjennomsnittlig tapt beløp totalt:</t>
  </si>
  <si>
    <t>-&gt; Aktivitetskostnad = Lønnskostnad pr minutt * Antall kostnadsdriverenheter</t>
  </si>
  <si>
    <t>-&gt; Cognizant får 100 kr betalt for antall saker de sperrer.</t>
  </si>
  <si>
    <t>Effekten på kundesenteret etter tiltakene</t>
  </si>
  <si>
    <t xml:space="preserve">Effekten av tiltakene vil føre til at prosesstiden på kundesenteret vil bli redusert. </t>
  </si>
  <si>
    <t>aktiviteter som skaper merverdi både for kunden og Storebrand.</t>
  </si>
  <si>
    <t>Aktivitetene på kundesenteret ETTER tiltakene</t>
  </si>
  <si>
    <t>Utsendelse av informasjon/skjema</t>
  </si>
  <si>
    <t>Kontakter Hvitvasking</t>
  </si>
  <si>
    <t xml:space="preserve">Tid bespart etter å fjerne ikke-verdiskapende aktiviteter og tilført nye aktiviteter: 19,50 minutter - 9,5 minutter = </t>
  </si>
  <si>
    <t>Besparelse av tid per sak</t>
  </si>
  <si>
    <t>Gjennosnittlig ventetid i telefon kø</t>
  </si>
  <si>
    <t>Besparelse av tid totalt: 26 saker * 10 minutter =</t>
  </si>
  <si>
    <t xml:space="preserve">Gjennonsnittlig tid pr sak </t>
  </si>
  <si>
    <t>Det skyldes av at alle ikke-verdiskapende aktiviteter blir fjernet og vi tilfører</t>
  </si>
  <si>
    <t xml:space="preserve">Effekten av tiltakene vil føre til at vi sparer 260 min. telefontid i løpet av året som kan anvendes. </t>
  </si>
  <si>
    <t>Vi kan besvare 55 flere samtaler i året og de fremkommer på følgende måte:</t>
  </si>
  <si>
    <t xml:space="preserve">Total tid / Gjennomsnittlig tid pr samtale = Antall flere samtaler </t>
  </si>
  <si>
    <t xml:space="preserve">260 / 4,7 = </t>
  </si>
  <si>
    <t xml:space="preserve">Merinntekten av disse 55 samtalene er vanskelig å beregne. Det vi vet med sikkerhet er at ved </t>
  </si>
  <si>
    <t xml:space="preserve">å besvare 55 flere henvendelser fra kunden iløpet av et år, så vil man blant annet redusere </t>
  </si>
  <si>
    <t xml:space="preserve">ventetid i telefonkø. Effektene av at flere samtaler blir besvart og ventetid redusert vil </t>
  </si>
  <si>
    <t>helhetlig skape merverdi for kunden. Ved hjelp av NLS, som er et feedbacksystem Storebrand</t>
  </si>
  <si>
    <t>bruker for å bli scoret av kunden, har det vist seg at kunder som gir score fra 7-10 vil bruke</t>
  </si>
  <si>
    <t>mer penger enn en kunde som gir 0-6 (se vedlegg…). Økt merverdi for kunden fører til økt</t>
  </si>
  <si>
    <t>NLS-score som igjen potensielt kan føre til mer verdifulle kunder for Storebrand.</t>
  </si>
  <si>
    <t>Disse tallene er: Gjennomsnittlig tid pr sak og gjennomsnittlig ventetid i telefon kø. Disse tallene er historiske og ikke oppdatert.</t>
  </si>
  <si>
    <t xml:space="preserve">scenarionene inntreffer og for å finne de faktiske kostnadene med de ulike scenarioene, så må vi </t>
  </si>
  <si>
    <t>I analysen fremkommer det tre mulige scenarioer for en ID-tyveri sak. Vi har sett hvor ofte disse</t>
  </si>
  <si>
    <t xml:space="preserve">kostnadene på kundesenteret være alltid med siden det er her sakene blir mottat. Kostnadene på </t>
  </si>
  <si>
    <t>misligholds- og hvitvaskingsavdelingen vil være ulike i de tre scenarioene.</t>
  </si>
  <si>
    <t>Hvitvaskingsavdelingen:</t>
  </si>
  <si>
    <t>Kundesenteret:</t>
  </si>
  <si>
    <t>Totalt hvitvaskingsavdelingen</t>
  </si>
  <si>
    <t>Misligholdsavdelingen:</t>
  </si>
  <si>
    <t>Totalt misligholdsavdelingen:</t>
  </si>
  <si>
    <t>Total kostnad scenario 3:</t>
  </si>
  <si>
    <t>Total kostnad scenario 2:</t>
  </si>
  <si>
    <t>Total kostnad scenario 1:</t>
  </si>
  <si>
    <t>Dette vil medføre at kostnaden til kollega også blir knyttet til saken så derfor multipliserer vi celle 29 med 2.</t>
  </si>
  <si>
    <t>Celle 29: Når en rådgiver konferer med kollega/leder vil han forstyrre vedkommende i sitt arbeid.</t>
  </si>
  <si>
    <t>Minutter pr sak fremkommer ved: 37,5 * 60 minutter * 0,4 = 900</t>
  </si>
  <si>
    <t>Celle C36: Hvitvaskingsavdelingen benytter seg 40% av sin tilgjengelig arbeidstid til ID-tyveri saker.</t>
  </si>
  <si>
    <t>Dette gjelder også for misligholdsavdelingen.</t>
  </si>
  <si>
    <t>Informasjon/skjema</t>
  </si>
  <si>
    <t>Kontakter kunden</t>
  </si>
  <si>
    <t>Saksbehandlingstiden totalt</t>
  </si>
  <si>
    <t>Saksbehandlingstiden fra Storebrands ståsted FØR tiltakene</t>
  </si>
  <si>
    <t>Anmelder saken</t>
  </si>
  <si>
    <t>R^2</t>
  </si>
  <si>
    <t>Det fikk vi ikke ved å tilpasset tallene til en lineære sammenheng, ekspotensialfunksjon</t>
  </si>
  <si>
    <t>R² = 1</t>
  </si>
  <si>
    <t>R² = 0,99827</t>
  </si>
  <si>
    <t>Aktivitetene på kundesenteret FØR tiltakene</t>
  </si>
  <si>
    <t>-&gt; Cognizant kostnaden faller bort på grunn av sperring blir utført internt og tidligere i prosessen.</t>
  </si>
  <si>
    <t>-&gt; Alle ikke-verdiskapende aktiviteter er eliminert og nye verdi-skapende aktiviteter er tatt med i beregningen.</t>
  </si>
  <si>
    <t>Totalt tid (pr sak)</t>
  </si>
  <si>
    <t>Totalt tid (per sak)</t>
  </si>
  <si>
    <t>I begge scenarioene vil kostnaden fra kundesenteret alltid være tilknyttet, mens kostnaden</t>
  </si>
  <si>
    <t>Etter å ha implementert tiltakene vil det være to mulige kostnadsscenarioer.</t>
  </si>
  <si>
    <t>knyttet til hvitvasking- eller misligholdsavdelingen være avhengig av hvem som behandler saken.</t>
  </si>
  <si>
    <t>Kostnader knyttet til ulike scenarioer etter tiltakene</t>
  </si>
  <si>
    <t>Kostnader scenario 1: Hvitvaskingsavdelingen behandler saken</t>
  </si>
  <si>
    <t>Kostnader scenario 2: Misligholdsavdelingen behandler saken</t>
  </si>
  <si>
    <t>Foretar en sperring</t>
  </si>
  <si>
    <t>Totalt hvitvaskingsavdeligen</t>
  </si>
  <si>
    <t>Totalt misligholdsavdelingen</t>
  </si>
  <si>
    <t>Kontakter hvitvaskingssavdelingen</t>
  </si>
  <si>
    <t xml:space="preserve">Kostnadene for disse scenarioene er KUN knytttet til saksbehandligen for prosessene i Storebrand. Vi har </t>
  </si>
  <si>
    <t>Effekten av tiltakene på kostnadssiden:</t>
  </si>
  <si>
    <t xml:space="preserve">Gjennomsnittskostnaden pr sak for kun prosessene (2016): </t>
  </si>
  <si>
    <t>Tiltakene reduserer saksbehandlingskostnadene uavhengig om hvitvaskings- eller misligsholdsavdelingen</t>
  </si>
  <si>
    <t>År:</t>
  </si>
  <si>
    <t>Antall saker uten tiltak:</t>
  </si>
  <si>
    <t>Antall saker med tiltak:</t>
  </si>
  <si>
    <t>Effekten av skjema (differanse i antall saker):</t>
  </si>
  <si>
    <r>
      <t>y = 0,6126x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+ 4,3745x - 3,7143</t>
    </r>
  </si>
  <si>
    <r>
      <t>y = 2x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- 2x + 2</t>
    </r>
  </si>
  <si>
    <t>Konfererer med kollega/leder</t>
  </si>
  <si>
    <t>Foretar en konkret helhets vurdering</t>
  </si>
  <si>
    <t>Vidersende saken</t>
  </si>
  <si>
    <t>Tid</t>
  </si>
  <si>
    <t>4-5 min</t>
  </si>
  <si>
    <t>9-11 min</t>
  </si>
  <si>
    <t>0,5 min</t>
  </si>
  <si>
    <t>Cognizant:</t>
  </si>
  <si>
    <t>Sjekker kunderforhold</t>
  </si>
  <si>
    <t>Helhetsvurdering</t>
  </si>
  <si>
    <t>1,5 uker</t>
  </si>
  <si>
    <t>30 min - 1 dag</t>
  </si>
  <si>
    <t>Politiet:</t>
  </si>
  <si>
    <t>Behandlingen av politianmeldelsen</t>
  </si>
  <si>
    <t>Forliksrådet:</t>
  </si>
  <si>
    <t>TId</t>
  </si>
  <si>
    <t>Kontakter alle involverte parter</t>
  </si>
  <si>
    <t>Inkalling til møte</t>
  </si>
  <si>
    <t>Kommer til løsning / Dommen settes</t>
  </si>
  <si>
    <t>Saken henlegges / Storebrand blir informert</t>
  </si>
  <si>
    <t>7 dager</t>
  </si>
  <si>
    <t>1-2 uker</t>
  </si>
  <si>
    <t>8 måneder - 1 år</t>
  </si>
  <si>
    <t>Her illustreres situasjonen på ID-tyveri saker ( dette er informasjon som fremkom på vårt første møte med Storebrand). Vi ser at det er flere aktørere i prosessen som</t>
  </si>
  <si>
    <t>kundesenteret, hvitvaskings- og misligholdsavdelingen.</t>
  </si>
  <si>
    <t xml:space="preserve">er eksterne. Disse har vi valgt å ikke se nærmere på grunn av at vi ikke kan prege disse prosessene eller aktivitetene. Derfor har vi kun tatt med prosessene </t>
  </si>
  <si>
    <t>Etter flere møter og dybdeintervjuer fant vi ut at en når en sak er i hvitvaskings- eller misligholdsavdelingen så behandles saken i ca. 40 % av deres tilgjengelig  arbeidstid.</t>
  </si>
  <si>
    <t xml:space="preserve">Derfor har vi brukt dette i forutsetningen til å beregne faktisk kostnad knyttet til akivitetene på de to avdelingene. </t>
  </si>
  <si>
    <t>Eksempel i sjekke kundeforhold: 1 uke = 5 arbeidsdager = 37,5 timer =&gt; 37,5* 60 min * 0,4 = 900</t>
  </si>
  <si>
    <t>Nåsiutasjonen av hvordan ID-tyveri saker har blitt behandlet hittil.</t>
  </si>
  <si>
    <t xml:space="preserve"> </t>
  </si>
  <si>
    <t>Siden rådgiver ikke konfererer med kollega skal ikke celle 29 multipliseres med 2 lenger. Da forstyrres ikke andre kollegaen.</t>
  </si>
  <si>
    <t>Økt aktivitet tid / i minutter (Kontakt med kunden og foreta sperring internt)</t>
  </si>
  <si>
    <t>kr</t>
  </si>
  <si>
    <t>min</t>
  </si>
  <si>
    <t xml:space="preserve">Venting, omarbeid og overarbeid fremtrer ved scenario (2). Tiltakene vi implementerer </t>
  </si>
  <si>
    <t xml:space="preserve">fjerner disse formene for sløsing slik at man oppnår kostnadsbesparelse i form av tid og </t>
  </si>
  <si>
    <r>
      <t xml:space="preserve">ressurser. </t>
    </r>
    <r>
      <rPr>
        <sz val="12"/>
        <color rgb="FF000000"/>
        <rFont val="Times New Roman"/>
      </rPr>
      <t>Man sparer tid på alle aktiviteter frem til at misligholdsavdelingen skal ”vurdere saken.</t>
    </r>
  </si>
  <si>
    <t>-&gt;Antall årsverk på 1687,5 er basert på at hver ansatt arbeider 37,5 arbeidstimer pr uke, og at man har 4 uker</t>
  </si>
  <si>
    <t xml:space="preserve"> fellesferie i tillegg til ordinære fri helligdager.</t>
  </si>
  <si>
    <t>Forutsetninger for kostnadsberegningene:</t>
  </si>
  <si>
    <t>Kostnad pr sak i de ulike avdelingene:</t>
  </si>
  <si>
    <t>Når saken ender hos forliksrådet har Storebrand måtte dekke tapet</t>
  </si>
  <si>
    <t>på grunn av dårlig bevis mot svindel. Dette beløpet varierer veldig fra</t>
  </si>
  <si>
    <t>sak til sak, men vi har brukt gjennomsnittlig beløp av samtlige saker</t>
  </si>
  <si>
    <t>som er en forutsetning for å forenkle tallene.</t>
  </si>
  <si>
    <t>Antall saker som inntreffer scenario (1):</t>
  </si>
  <si>
    <t>Kostnader scenario (1): Både misligholds- og hvitvaskingsavdelingen behandler saken.</t>
  </si>
  <si>
    <t>Kostnader scenario (2): Misligholdsavdeling gjør delvis arbeid og sender saken til hvitvaskingsavdelingen</t>
  </si>
  <si>
    <t>Antall saker som inntreffer i scenario (2):</t>
  </si>
  <si>
    <t>Kostnad Cognizant (100 pr sak):</t>
  </si>
  <si>
    <t>Antall saker som inntreffer i scenario (3):</t>
  </si>
  <si>
    <t>Kostnader scenario (3): Både misligholds- og hvitvaskingsavdelingen jobber ikke med saken</t>
  </si>
  <si>
    <t>Total kostnad i 26 saker: (769 037,43 + 373 425,38 + 303,01) =</t>
  </si>
  <si>
    <t xml:space="preserve">Denne kostnaden på 1 142 765,83 er KUN knyttet til aktivitetene som som tilført saken. Her er ikke </t>
  </si>
  <si>
    <t>til (200 000 kr * 26 saker)  sammen 1 142 765,83kr.</t>
  </si>
  <si>
    <t>Total kostnad uten tapt beløp:</t>
  </si>
  <si>
    <t>+ Tapt beløp på 26 saker: (26*200 000) =</t>
  </si>
  <si>
    <t>= Total kostnad med tapt beløp: (1 142 765,83 + 5 200 000) =</t>
  </si>
  <si>
    <t>Gjennomsnittskostnaden pr sak uten å inkludere tapte beløp:</t>
  </si>
  <si>
    <t xml:space="preserve"> (1 142 765,83 kr / 26 saker) =</t>
  </si>
  <si>
    <t>Celle 29: Når en rådgiver konferer med kollega/leder</t>
  </si>
  <si>
    <t xml:space="preserve"> vil han forstyrre vedkommende i sitt arbeid.</t>
  </si>
  <si>
    <t xml:space="preserve">Dette vil medføre at kostnaden til kollega også blir </t>
  </si>
  <si>
    <t xml:space="preserve">knyttet til saken så derfor multipliserer vi celle 29 </t>
  </si>
  <si>
    <t>med 2.</t>
  </si>
  <si>
    <t>Celle C36: Hvitvaskingsavdelingen benytter seg 40%</t>
  </si>
  <si>
    <t xml:space="preserve"> av sin tilgjengelig arbeidstid til ID-tyveri saker.</t>
  </si>
  <si>
    <t>Min pr sak fremkommer ved: 37,5 * 60 min * 0,4 = 900</t>
  </si>
  <si>
    <t>Det gjelder også de restende aktivitetene i både</t>
  </si>
  <si>
    <t xml:space="preserve"> hvitvasking- og misligholdsavdelingen.</t>
  </si>
  <si>
    <t>Kostnadsberegningene av ID-tyveri ETTER tiltakene</t>
  </si>
  <si>
    <t>ikke tatt med kostnaden ved eventuelle tap i forliksrådet.</t>
  </si>
  <si>
    <t>Kostnader uten tiltak (43 952):</t>
  </si>
  <si>
    <t>Kostnader med tiltak (25 032):</t>
  </si>
  <si>
    <t>Enhetskostnaden uten tiltak:</t>
  </si>
  <si>
    <t>Enhetskostnaden med tiltak:</t>
  </si>
  <si>
    <t>Differansen:</t>
  </si>
  <si>
    <t>Netto nåverdiberegning (NNV)</t>
  </si>
  <si>
    <t>Utregning av kostnader spart hvis tiltakene hadde blitt utført i 2016 i de 26 sakene</t>
  </si>
  <si>
    <t xml:space="preserve">Scenario (1) </t>
  </si>
  <si>
    <t>Venting, omarbeid og overarbeid fremtrer ved scenario (1). Tiltakene vi implementerer fjerner disse formene</t>
  </si>
  <si>
    <t>for sløsning slik at man oppnår kostnadsbesparelse i form av tid og ressurser:</t>
  </si>
  <si>
    <t>Innspart tid og kostnader i  scenario (1):</t>
  </si>
  <si>
    <t>Redusert aktivitetstid i minutter:</t>
  </si>
  <si>
    <t>Økt aktivitets tid i minutter "informasjonssamtale":</t>
  </si>
  <si>
    <t>Økte kostnader 2016 (5 min  * 5,14 kr *16 saker) =</t>
  </si>
  <si>
    <t>Innsparte kostnader 2016 (15 min* 5,14 kr * 16 saker) =</t>
  </si>
  <si>
    <t>Dobbel effekt: I analysen sier vi at når en rådgiver "konfererer med kollega/leder" så vil han forstyrre</t>
  </si>
  <si>
    <t xml:space="preserve">vedkommende i sitt arbeid og det vil slå ut en dobbel negativ effekt. Nr aktiviteten </t>
  </si>
  <si>
    <t xml:space="preserve">"koffererer med kollega" faller bort så vil dette gi dobbel positiv effekt på kundesenteret. Der skal </t>
  </si>
  <si>
    <t>sum sparte kostnader på kundesenteret multipliseres med 2.</t>
  </si>
  <si>
    <t>Tid benyttet pr sak "mislighold" i scenario (1): (900 min + 540min + 1350 min+ 180 min) =</t>
  </si>
  <si>
    <t>Lønnskostnad pr min:</t>
  </si>
  <si>
    <t>Total innparing i kostnader ved å fjerne omarbeid: (47520 min * 7,70 kr) =</t>
  </si>
  <si>
    <t>Total tid benyttet i 16 saker "mislighold" scenario (1): (2970 min * 16 saker) =</t>
  </si>
  <si>
    <t>Sum sparte kostnader (1232,59 kr - 410,86 kr) =</t>
  </si>
  <si>
    <t>Økte kostnader for 2016: (6min * 8,4 kr *16 saker) =</t>
  </si>
  <si>
    <t>Kostnaden per sperring:</t>
  </si>
  <si>
    <t>Innsparte kostnader: (100 kr * 16 saker) =</t>
  </si>
  <si>
    <t>Totalt sparte kostnader i scenario (1): (1643,46 + 366 080 -805,93 + 1600) =</t>
  </si>
  <si>
    <t xml:space="preserve">Scenario (2) </t>
  </si>
  <si>
    <t>Innspart tid og kostnader i  scenario (2):</t>
  </si>
  <si>
    <t>Innsparte kostnader 2016 (15 min* 5,14 kr * 8 saker) =</t>
  </si>
  <si>
    <t>Økte kostnader 2016 (5 min  * 5,14 kr * 8 saker) =</t>
  </si>
  <si>
    <t>Sum sparte kostnader (616,30 kr - 205,43 kr) =</t>
  </si>
  <si>
    <t>(Total tid “mislighold" = Sjekke kundeforhold + sjekke transaksjonshistorikk + kontakte andre banker)</t>
  </si>
  <si>
    <t>Tid benyttet pr sak "mislighold" i scenario (2): (900 min + 540min + 1350 min) =</t>
  </si>
  <si>
    <t>Økte kostnader for 2016: (6min * 8,4 kr * 8 saker) =</t>
  </si>
  <si>
    <t>Innsparte kostnader: (100 kr * 8 saker) =</t>
  </si>
  <si>
    <t>Totalt sparte kostnader i scenario (2): (821,73 + 171 946,67 - 402,96 + 800) =</t>
  </si>
  <si>
    <t>Total innparing i kostnader ved å fjerne omarbeid: (47 520 min * 7,70 kr) =</t>
  </si>
  <si>
    <t>Total tid benyttet i 8 saker "mislighold" scenario (2): (2 970 min * 8 saker) =</t>
  </si>
  <si>
    <t xml:space="preserve">Scenario (3) </t>
  </si>
  <si>
    <t>Overarbeid fremtrer ved scenario (3). Tiltaket "informasjonspakke" fjerner overarbeid slik at man oppnår kostnadsbesparelse i form</t>
  </si>
  <si>
    <t xml:space="preserve">av tid og ressurser. </t>
  </si>
  <si>
    <t>Innsparte kostnader 2016 (15 min* 5,14 kr * 2 saker) =</t>
  </si>
  <si>
    <t>Økte kostnader 2016 (5 min  * 5,14 kr * 2 saker) =</t>
  </si>
  <si>
    <t>Sum sparte kostnader (154,07 kr - 102,72 kr) =</t>
  </si>
  <si>
    <t>Sum sparte kostnader (102,72 kr * 2) =</t>
  </si>
  <si>
    <t>Sum sparte kostnader (821,73 kr * 2) =</t>
  </si>
  <si>
    <t>Sum sparte kostnader (410,86 kr * 2) =</t>
  </si>
  <si>
    <t>Totalt sparte kostnader i scenario (3):</t>
  </si>
  <si>
    <t>Totalt sparte kostnader i alle scenarier:</t>
  </si>
  <si>
    <t>Totalt:</t>
  </si>
  <si>
    <t>Scenario (1): 368 517,53 kr</t>
  </si>
  <si>
    <t>Scenario (2): 173 165,43 kr</t>
  </si>
  <si>
    <t>Scenario (3): 205,43 kr</t>
  </si>
  <si>
    <t>Totalt kostnad før tiltakene:</t>
  </si>
  <si>
    <t>- Totalt sparte kostnader i alle scenarioer:</t>
  </si>
  <si>
    <t>Total kostnad etter tiltakene / Antall saker i 2016 = Enhetskostnaden i 2016 etter tiltakene</t>
  </si>
  <si>
    <t>Gjennomsnittskostnaden etter tilakene:</t>
  </si>
  <si>
    <t>= Total kostnad etter tiltakene:</t>
  </si>
  <si>
    <t xml:space="preserve">Hvis vi tar Enhetskostanden pr sak "optimalt" (25 032,49 kr) som vi regnet ut etter å implementert tiltakene og at </t>
  </si>
  <si>
    <t>følgende tall: (25 032,49 * 26 saker) =</t>
  </si>
  <si>
    <t xml:space="preserve">Dette tallet er ikke identisk med det tallet vi fant ovenfor: </t>
  </si>
  <si>
    <t>Grunnen til dette er at det var kun 24 saker som gikk gjennom hele saksbehandlingsprosessen i alle avdelingene. De to siste sakene</t>
  </si>
  <si>
    <t>Enhetskostnaden i 2016 etter tiltakene: (600 877,43 kr / 26 saker) =</t>
  </si>
  <si>
    <t xml:space="preserve">med disse to sakene ETTER tiltakene som tilsvarer: (24 983,70 * 2 saker)      = </t>
  </si>
  <si>
    <t>og legger dette beløpet sammen med 600 877,43 kr vil vi få identiske tall:    +</t>
  </si>
  <si>
    <t>Totalt             =</t>
  </si>
  <si>
    <t>Informasjon / skjema</t>
  </si>
  <si>
    <t>Kontakte hvitvaskingsavdeling</t>
  </si>
  <si>
    <t>Saksbehandlingstiden totalt:</t>
  </si>
  <si>
    <t>Antall minutter</t>
  </si>
  <si>
    <t>selv etter tiltakene. Men det tilføres veldig mye mer kundeverdi i prosessen etter tiltakene fordi kunden mottar et informasjonsbrev</t>
  </si>
  <si>
    <t>Ser vi ifra kundens ståsted så går ikke saksbehandlingstiden særlig ned (4 minutter). Det kommer av at saken tar like lang tid å behandle</t>
  </si>
  <si>
    <t xml:space="preserve">sammen med et vedlagt egenerklæringsskjema vedkommende må fylle ut.  Denne utsendelsen til kunden vil gi vedkommende et bilde hva </t>
  </si>
  <si>
    <t>som skjer fremover i saken. Hvis han IKKE velger å fylle ut skjemaet, så gir vedkomende indikasjon på at han faktisk ikke er utsatt for</t>
  </si>
  <si>
    <t>ID-tyveri (muligens svindel) noe som fører til Storebrand ikke behandler saken og vedkommende må dekke tapet.</t>
  </si>
  <si>
    <t>Dersom han fyller ut skjemaet vil Storebrand med en gang starte å behandle saken og kunden vil bli kontaktet jevnlig for å bli informert</t>
  </si>
  <si>
    <t>om hvordan det går med saksbehandlingen.</t>
  </si>
  <si>
    <t>Ser vi ifra Storebrands ståsted så går ikke saksbehandlingstiden særlig ned heller. Men etter å ha fjernet alle former for</t>
  </si>
  <si>
    <t>Kostnadsberegningav ID-tyveri FØR tiltakene</t>
  </si>
  <si>
    <t>Kostnader HVIS hvitvaskingsavdelingen behandler saken ETTER tiltakene</t>
  </si>
  <si>
    <t>sløsing (overarbeid, omarbeid og venting) og ikke-verdiskapende aktiviteter vil det frigjøre ressurser i flere avdelinger som blir mer</t>
  </si>
  <si>
    <t>tilgjengelig kapasitet. Spørsmålet er om denne tilgjengelige kapasiteten kan anvendes til å skape merverdi for Storebrand? Ja, fordi alle</t>
  </si>
  <si>
    <t>avdelingene har til daglig andre aktiviteter de utfører som skaper merverdi.</t>
  </si>
  <si>
    <t>Dette er et justertbar parameter. Skal du regne ut kostnaden for 1 sak så skriver 1, skal du regne ut kostnadene for 26 saker skriver du 26.</t>
  </si>
  <si>
    <t xml:space="preserve">multiplisere med antall saker for at et scenario inntreffer. Vi ser at ved alle tre scenarioene så vil </t>
  </si>
  <si>
    <t xml:space="preserve">gjennomsnitlig tapt beløp pr sak tatt med. For å finne kostnaden med disse tapte beløpe å legger vi </t>
  </si>
  <si>
    <t>Enhetskostnaden pr sak "optimalt" scenario 1 (hvitvasking behandler saken):</t>
  </si>
  <si>
    <t>Enhetskostnaden pr sak "optimalt" scenario 2 (mislighold behandler saken):</t>
  </si>
  <si>
    <t>behandler saken. Tiltakene skaper større forutisigbarhet i saksbehandlingsprosessen fremover.</t>
  </si>
  <si>
    <t>ble kun bearbeidet på kundesenteret før prosessen stoppet. Dersom vi tar med kostnaden for at hvitvaskingsavdelingen hadde jobbet</t>
  </si>
  <si>
    <t>hvitvaskingsavdelingen behandler saken og multipliserer dette tallet med 26 saker i 2016 så vil vi få</t>
  </si>
  <si>
    <t>For å kunne beregne effekten av tiltakene på kundesenteret måtte vi hatt konkrete statistiske tall fra Storebrand</t>
  </si>
  <si>
    <t>Avkastningskravet:</t>
  </si>
  <si>
    <t>Kostnader uten tiltak fra 2017 til 2021 (6,5%) =</t>
  </si>
  <si>
    <t>Kostnader uten tiltak fra 2017 til 2021 (8,5%) =</t>
  </si>
  <si>
    <t>Kostnader med tiltak fra 2017 til 2021 (6,5%) =</t>
  </si>
  <si>
    <t>Kostnader med tiltak fra 2017 til 2021 (8,5%) =</t>
  </si>
  <si>
    <t>Beregning av nåverdi</t>
  </si>
  <si>
    <t xml:space="preserve">For antall saker med tiltak, baserer utviklingen seg på antall saker uten tiltak tillagt effekten av egenerklæringsskjemaet. </t>
  </si>
  <si>
    <t>Kostnadene uten tiltak beregnes ved å multiplisere enhetskostnaden pr sak FØR" med antall saker som oppstår ellers uten tiltak egenerklæringsskjema</t>
  </si>
  <si>
    <t>Kostnadene med tiltak beregnes ved å multiplisere enhetskostnaden pr sak "ETTER" med antall saker som oppstår etter effekten av egenerkløringsskjema</t>
  </si>
  <si>
    <t>Vi har utledet utvikling av antall saker knyttet til ID-tyveri saker med utganspunkt i historiske tall som strekker seg over 3 år tilbake i tid.</t>
  </si>
  <si>
    <t xml:space="preserve">Antall saker uten tiltak baserer seg på en regresjonslikning som tar for seg utviklingen i de foregående årene av antall saker og danner </t>
  </si>
  <si>
    <t>grunnlag for estimeringen av hvor mange saker som vil forekomme i årene fremover, basert på en vekstfaktor.</t>
  </si>
  <si>
    <t>Storebrand har i sine møter gitt uttrykk for at egenerklæringsskjema vil redusere veksten på antall saker med tilnærmet 50%</t>
  </si>
  <si>
    <t>Forutsetningene for nåverdi beregning:</t>
  </si>
  <si>
    <t>Enhetskostnaden pr sak FØR (43952kr) og ETTER (25032kr) blir beregnet i tidligere arkene.</t>
  </si>
  <si>
    <t>(Reelt vil man aldri kunne finne et avkastningskrav med to desimalers nøyaktighet. Derfor er det</t>
  </si>
  <si>
    <t>mer riktig å bruke et intervall, siden vårt avkastingskrav er 7,7% så vil vårt intervall ligge fra 6,5% - 8,5%)</t>
  </si>
  <si>
    <t>Differansen i kostnader ved 6,5 avkastningskrav: 16 873 288,33 kr - 6 245 150,98 kr =</t>
  </si>
  <si>
    <t>Differansen i kostnader ved 8,5% avkastningskrav: 19 778 400,00 kr - 7 259 280,00 kr =</t>
  </si>
  <si>
    <t>Storebrand vil ut ifra våre forutsetninger og NNV beregninger kunne forvente å spare kostnader kun kyttet til aktivitetene et sted mellom 10 628 137,35 kr og 12 519 120,00 kr når vi beregner med to avkastningskrav.</t>
  </si>
  <si>
    <t xml:space="preserve">Forklaringskraften til modellen er særdeles høy . Trend linjen baserer seg på en polynomfunksjon (nærmest 100% korellasjon "sann sammenheng" mellom avhengig og uavhengige variabler). </t>
  </si>
  <si>
    <t>1. akse = Antall saker</t>
  </si>
  <si>
    <t>2. akse = Antall år</t>
  </si>
  <si>
    <t>Figuren viser egenerklæringsskjemet først får effekt i 2017 og årene frremover. Alt før 2017 er historiske tall.</t>
  </si>
  <si>
    <t>Kostnader HVIS misligholdsavdelingen behandler saken ETTER tiltakene</t>
  </si>
  <si>
    <t>Ikke tatt med i beregningen (ekstern aktør)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</si>
</sst>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scheme val="minor"/>
    </font>
    <font>
      <sz val="12"/>
      <color rgb="FF00B050"/>
      <name val="Calibri"/>
      <family val="2"/>
      <scheme val="minor"/>
    </font>
    <font>
      <sz val="12"/>
      <color rgb="FF000000"/>
      <name val="Times New Roman"/>
    </font>
    <font>
      <sz val="12"/>
      <color rgb="FFFFC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595959"/>
      <name val="Calibri"/>
      <family val="2"/>
      <scheme val="minor"/>
    </font>
    <font>
      <sz val="9"/>
      <color rgb="FF595959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scheme val="minor"/>
    </font>
    <font>
      <vertAlign val="superscript"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b/>
      <sz val="16"/>
      <color theme="1"/>
      <name val="Calibri"/>
      <scheme val="minor"/>
    </font>
    <font>
      <sz val="12"/>
      <color theme="1"/>
      <name val="Times New Roman"/>
    </font>
    <font>
      <i/>
      <sz val="12"/>
      <color rgb="FF000000"/>
      <name val="Calibri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5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63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Border="1"/>
    <xf numFmtId="0" fontId="0" fillId="3" borderId="5" xfId="0" applyFill="1" applyBorder="1"/>
    <xf numFmtId="0" fontId="0" fillId="3" borderId="11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0" xfId="0" applyFill="1" applyBorder="1"/>
    <xf numFmtId="4" fontId="0" fillId="4" borderId="6" xfId="0" applyNumberFormat="1" applyFill="1" applyBorder="1"/>
    <xf numFmtId="0" fontId="0" fillId="4" borderId="8" xfId="0" applyFill="1" applyBorder="1"/>
    <xf numFmtId="4" fontId="0" fillId="4" borderId="9" xfId="0" applyNumberFormat="1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6" xfId="0" applyFill="1" applyBorder="1"/>
    <xf numFmtId="0" fontId="0" fillId="0" borderId="0" xfId="0" applyFill="1" applyBorder="1"/>
    <xf numFmtId="4" fontId="0" fillId="4" borderId="9" xfId="0" applyNumberFormat="1" applyFont="1" applyFill="1" applyBorder="1"/>
    <xf numFmtId="0" fontId="0" fillId="3" borderId="8" xfId="0" applyFill="1" applyBorder="1"/>
    <xf numFmtId="4" fontId="0" fillId="4" borderId="0" xfId="0" applyNumberFormat="1" applyFill="1" applyBorder="1"/>
    <xf numFmtId="4" fontId="0" fillId="0" borderId="0" xfId="0" applyNumberFormat="1" applyFill="1" applyBorder="1"/>
    <xf numFmtId="0" fontId="0" fillId="4" borderId="5" xfId="0" quotePrefix="1" applyFill="1" applyBorder="1"/>
    <xf numFmtId="0" fontId="0" fillId="4" borderId="6" xfId="0" applyFill="1" applyBorder="1"/>
    <xf numFmtId="0" fontId="0" fillId="4" borderId="5" xfId="0" applyFill="1" applyBorder="1"/>
    <xf numFmtId="0" fontId="0" fillId="4" borderId="7" xfId="0" quotePrefix="1" applyFill="1" applyBorder="1"/>
    <xf numFmtId="0" fontId="0" fillId="4" borderId="9" xfId="0" applyFill="1" applyBorder="1"/>
    <xf numFmtId="0" fontId="0" fillId="4" borderId="0" xfId="0" applyFill="1"/>
    <xf numFmtId="4" fontId="0" fillId="4" borderId="0" xfId="0" applyNumberFormat="1" applyFill="1"/>
    <xf numFmtId="0" fontId="0" fillId="0" borderId="0" xfId="0" applyFill="1"/>
    <xf numFmtId="0" fontId="0" fillId="3" borderId="3" xfId="0" applyFill="1" applyBorder="1"/>
    <xf numFmtId="0" fontId="0" fillId="3" borderId="4" xfId="0" applyFill="1" applyBorder="1"/>
    <xf numFmtId="0" fontId="0" fillId="5" borderId="8" xfId="0" applyFill="1" applyBorder="1"/>
    <xf numFmtId="0" fontId="0" fillId="5" borderId="14" xfId="0" applyFill="1" applyBorder="1"/>
    <xf numFmtId="4" fontId="0" fillId="5" borderId="14" xfId="0" applyNumberFormat="1" applyFill="1" applyBorder="1"/>
    <xf numFmtId="0" fontId="0" fillId="5" borderId="15" xfId="0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4" fontId="1" fillId="5" borderId="1" xfId="0" applyNumberFormat="1" applyFont="1" applyFill="1" applyBorder="1"/>
    <xf numFmtId="4" fontId="1" fillId="5" borderId="14" xfId="0" applyNumberFormat="1" applyFont="1" applyFill="1" applyBorder="1"/>
    <xf numFmtId="4" fontId="0" fillId="5" borderId="15" xfId="0" applyNumberFormat="1" applyFill="1" applyBorder="1"/>
    <xf numFmtId="4" fontId="1" fillId="3" borderId="1" xfId="0" applyNumberFormat="1" applyFont="1" applyFill="1" applyBorder="1"/>
    <xf numFmtId="4" fontId="0" fillId="3" borderId="14" xfId="0" applyNumberFormat="1" applyFill="1" applyBorder="1"/>
    <xf numFmtId="4" fontId="0" fillId="3" borderId="15" xfId="0" applyNumberFormat="1" applyFill="1" applyBorder="1"/>
    <xf numFmtId="4" fontId="0" fillId="3" borderId="10" xfId="0" applyNumberFormat="1" applyFill="1" applyBorder="1"/>
    <xf numFmtId="4" fontId="0" fillId="3" borderId="11" xfId="0" applyNumberFormat="1" applyFill="1" applyBorder="1"/>
    <xf numFmtId="4" fontId="0" fillId="3" borderId="12" xfId="0" applyNumberFormat="1" applyFill="1" applyBorder="1"/>
    <xf numFmtId="4" fontId="0" fillId="5" borderId="1" xfId="0" applyNumberFormat="1" applyFill="1" applyBorder="1"/>
    <xf numFmtId="4" fontId="0" fillId="3" borderId="13" xfId="0" applyNumberFormat="1" applyFill="1" applyBorder="1"/>
    <xf numFmtId="4" fontId="0" fillId="3" borderId="7" xfId="0" applyNumberFormat="1" applyFill="1" applyBorder="1"/>
    <xf numFmtId="4" fontId="0" fillId="5" borderId="13" xfId="0" applyNumberFormat="1" applyFill="1" applyBorder="1"/>
    <xf numFmtId="4" fontId="0" fillId="3" borderId="1" xfId="0" applyNumberFormat="1" applyFill="1" applyBorder="1"/>
    <xf numFmtId="4" fontId="0" fillId="5" borderId="14" xfId="0" applyNumberFormat="1" applyFill="1" applyBorder="1" applyAlignment="1"/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0" xfId="0" quotePrefix="1" applyNumberFormat="1" applyFill="1" applyBorder="1" applyAlignment="1">
      <alignment horizontal="center"/>
    </xf>
    <xf numFmtId="4" fontId="0" fillId="4" borderId="6" xfId="0" quotePrefix="1" applyNumberFormat="1" applyFill="1" applyBorder="1" applyAlignment="1">
      <alignment horizontal="center"/>
    </xf>
    <xf numFmtId="4" fontId="1" fillId="5" borderId="13" xfId="0" applyNumberFormat="1" applyFont="1" applyFill="1" applyBorder="1"/>
    <xf numFmtId="0" fontId="1" fillId="5" borderId="15" xfId="0" applyFont="1" applyFill="1" applyBorder="1"/>
    <xf numFmtId="4" fontId="0" fillId="4" borderId="5" xfId="0" applyNumberFormat="1" applyFill="1" applyBorder="1"/>
    <xf numFmtId="4" fontId="0" fillId="4" borderId="7" xfId="0" quotePrefix="1" applyNumberFormat="1" applyFill="1" applyBorder="1" applyAlignment="1">
      <alignment horizontal="center"/>
    </xf>
    <xf numFmtId="4" fontId="0" fillId="4" borderId="8" xfId="0" applyNumberFormat="1" applyFill="1" applyBorder="1"/>
    <xf numFmtId="4" fontId="0" fillId="4" borderId="8" xfId="0" quotePrefix="1" applyNumberFormat="1" applyFill="1" applyBorder="1" applyAlignment="1">
      <alignment horizontal="center"/>
    </xf>
    <xf numFmtId="4" fontId="0" fillId="4" borderId="9" xfId="0" quotePrefix="1" applyNumberFormat="1" applyFill="1" applyBorder="1" applyAlignment="1">
      <alignment horizontal="center"/>
    </xf>
    <xf numFmtId="0" fontId="0" fillId="3" borderId="1" xfId="0" applyFill="1" applyBorder="1"/>
    <xf numFmtId="0" fontId="0" fillId="3" borderId="13" xfId="0" applyFill="1" applyBorder="1"/>
    <xf numFmtId="0" fontId="0" fillId="4" borderId="3" xfId="0" applyFill="1" applyBorder="1"/>
    <xf numFmtId="0" fontId="4" fillId="4" borderId="5" xfId="0" applyFont="1" applyFill="1" applyBorder="1"/>
    <xf numFmtId="0" fontId="0" fillId="4" borderId="4" xfId="0" applyFill="1" applyBorder="1"/>
    <xf numFmtId="4" fontId="0" fillId="4" borderId="7" xfId="0" applyNumberFormat="1" applyFill="1" applyBorder="1"/>
    <xf numFmtId="0" fontId="0" fillId="4" borderId="2" xfId="0" applyFill="1" applyBorder="1"/>
    <xf numFmtId="0" fontId="0" fillId="4" borderId="7" xfId="0" applyFill="1" applyBorder="1"/>
    <xf numFmtId="0" fontId="3" fillId="4" borderId="0" xfId="0" applyFont="1" applyFill="1" applyBorder="1"/>
    <xf numFmtId="9" fontId="0" fillId="4" borderId="6" xfId="0" applyNumberFormat="1" applyFill="1" applyBorder="1"/>
    <xf numFmtId="9" fontId="0" fillId="4" borderId="9" xfId="0" applyNumberFormat="1" applyFill="1" applyBorder="1"/>
    <xf numFmtId="4" fontId="0" fillId="5" borderId="17" xfId="0" applyNumberFormat="1" applyFill="1" applyBorder="1"/>
    <xf numFmtId="4" fontId="0" fillId="5" borderId="18" xfId="0" applyNumberFormat="1" applyFill="1" applyBorder="1"/>
    <xf numFmtId="0" fontId="0" fillId="4" borderId="6" xfId="0" quotePrefix="1" applyFill="1" applyBorder="1"/>
    <xf numFmtId="0" fontId="6" fillId="0" borderId="0" xfId="0" applyFont="1"/>
    <xf numFmtId="0" fontId="6" fillId="0" borderId="0" xfId="0" applyFont="1" applyAlignment="1"/>
    <xf numFmtId="0" fontId="10" fillId="0" borderId="0" xfId="0" applyFont="1"/>
    <xf numFmtId="0" fontId="0" fillId="2" borderId="7" xfId="0" quotePrefix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0" fillId="2" borderId="0" xfId="0" applyFill="1"/>
    <xf numFmtId="4" fontId="0" fillId="3" borderId="4" xfId="0" applyNumberFormat="1" applyFill="1" applyBorder="1"/>
    <xf numFmtId="4" fontId="0" fillId="4" borderId="3" xfId="0" applyNumberFormat="1" applyFont="1" applyFill="1" applyBorder="1"/>
    <xf numFmtId="0" fontId="1" fillId="0" borderId="0" xfId="0" applyFont="1" applyFill="1" applyBorder="1"/>
    <xf numFmtId="10" fontId="0" fillId="0" borderId="0" xfId="0" applyNumberFormat="1" applyFill="1" applyBorder="1"/>
    <xf numFmtId="4" fontId="0" fillId="0" borderId="0" xfId="0" quotePrefix="1" applyNumberFormat="1" applyFill="1" applyBorder="1"/>
    <xf numFmtId="4" fontId="0" fillId="2" borderId="0" xfId="0" applyNumberFormat="1" applyFill="1" applyBorder="1"/>
    <xf numFmtId="0" fontId="0" fillId="2" borderId="7" xfId="0" applyFill="1" applyBorder="1"/>
    <xf numFmtId="2" fontId="0" fillId="2" borderId="8" xfId="0" applyNumberFormat="1" applyFill="1" applyBorder="1"/>
    <xf numFmtId="0" fontId="4" fillId="2" borderId="5" xfId="0" applyFont="1" applyFill="1" applyBorder="1"/>
    <xf numFmtId="0" fontId="0" fillId="2" borderId="0" xfId="0" applyFill="1" applyBorder="1"/>
    <xf numFmtId="0" fontId="4" fillId="2" borderId="7" xfId="0" applyFont="1" applyFill="1" applyBorder="1"/>
    <xf numFmtId="0" fontId="0" fillId="2" borderId="8" xfId="0" applyFill="1" applyBorder="1"/>
    <xf numFmtId="0" fontId="4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9" xfId="0" applyFill="1" applyBorder="1"/>
    <xf numFmtId="4" fontId="0" fillId="4" borderId="0" xfId="0" applyNumberFormat="1" applyFont="1" applyFill="1" applyBorder="1"/>
    <xf numFmtId="0" fontId="0" fillId="4" borderId="0" xfId="0" applyFont="1" applyFill="1"/>
    <xf numFmtId="4" fontId="1" fillId="4" borderId="0" xfId="0" applyNumberFormat="1" applyFont="1" applyFill="1" applyBorder="1"/>
    <xf numFmtId="0" fontId="1" fillId="4" borderId="0" xfId="0" applyFont="1" applyFill="1"/>
    <xf numFmtId="0" fontId="0" fillId="4" borderId="0" xfId="0" applyFont="1" applyFill="1" applyBorder="1"/>
    <xf numFmtId="4" fontId="0" fillId="4" borderId="0" xfId="0" applyNumberFormat="1" applyFont="1" applyFill="1" applyBorder="1" applyAlignment="1"/>
    <xf numFmtId="4" fontId="0" fillId="4" borderId="0" xfId="0" applyNumberFormat="1" applyFont="1" applyFill="1"/>
    <xf numFmtId="0" fontId="0" fillId="0" borderId="0" xfId="0" applyFont="1" applyFill="1"/>
    <xf numFmtId="0" fontId="6" fillId="4" borderId="0" xfId="0" applyFont="1" applyFill="1"/>
    <xf numFmtId="0" fontId="11" fillId="3" borderId="0" xfId="0" applyFont="1" applyFill="1"/>
    <xf numFmtId="0" fontId="6" fillId="4" borderId="0" xfId="0" applyFont="1" applyFill="1" applyAlignment="1"/>
    <xf numFmtId="0" fontId="6" fillId="0" borderId="0" xfId="0" applyFont="1" applyFill="1"/>
    <xf numFmtId="0" fontId="7" fillId="0" borderId="0" xfId="0" applyFont="1" applyFill="1" applyAlignment="1">
      <alignment vertical="center" readingOrder="1"/>
    </xf>
    <xf numFmtId="0" fontId="9" fillId="0" borderId="0" xfId="0" applyFont="1" applyFill="1"/>
    <xf numFmtId="0" fontId="6" fillId="0" borderId="0" xfId="0" applyFont="1" applyFill="1" applyAlignment="1"/>
    <xf numFmtId="0" fontId="9" fillId="0" borderId="0" xfId="0" applyFont="1" applyFill="1" applyAlignment="1"/>
    <xf numFmtId="16" fontId="0" fillId="4" borderId="0" xfId="0" applyNumberFormat="1" applyFill="1" applyBorder="1"/>
    <xf numFmtId="0" fontId="9" fillId="5" borderId="13" xfId="0" applyFont="1" applyFill="1" applyBorder="1"/>
    <xf numFmtId="0" fontId="0" fillId="0" borderId="5" xfId="0" quotePrefix="1" applyFill="1" applyBorder="1"/>
    <xf numFmtId="4" fontId="0" fillId="3" borderId="9" xfId="0" applyNumberFormat="1" applyFill="1" applyBorder="1"/>
    <xf numFmtId="4" fontId="0" fillId="3" borderId="8" xfId="0" applyNumberFormat="1" applyFill="1" applyBorder="1"/>
    <xf numFmtId="0" fontId="16" fillId="5" borderId="13" xfId="0" applyFont="1" applyFill="1" applyBorder="1"/>
    <xf numFmtId="0" fontId="17" fillId="0" borderId="0" xfId="0" applyFont="1" applyAlignment="1">
      <alignment vertical="center"/>
    </xf>
    <xf numFmtId="4" fontId="0" fillId="0" borderId="0" xfId="0" applyNumberFormat="1" applyFont="1"/>
    <xf numFmtId="4" fontId="0" fillId="2" borderId="17" xfId="0" applyNumberFormat="1" applyFont="1" applyFill="1" applyBorder="1"/>
    <xf numFmtId="4" fontId="0" fillId="2" borderId="17" xfId="0" applyNumberFormat="1" applyFill="1" applyBorder="1"/>
    <xf numFmtId="0" fontId="0" fillId="2" borderId="17" xfId="0" applyFill="1" applyBorder="1"/>
    <xf numFmtId="0" fontId="4" fillId="0" borderId="0" xfId="0" applyFont="1" applyAlignment="1">
      <alignment vertical="center"/>
    </xf>
    <xf numFmtId="4" fontId="18" fillId="0" borderId="0" xfId="0" applyNumberFormat="1" applyFont="1" applyFill="1"/>
    <xf numFmtId="4" fontId="0" fillId="0" borderId="0" xfId="0" applyNumberFormat="1" applyFill="1"/>
    <xf numFmtId="0" fontId="1" fillId="4" borderId="0" xfId="0" applyFont="1" applyFill="1" applyBorder="1"/>
    <xf numFmtId="0" fontId="16" fillId="4" borderId="5" xfId="0" applyFont="1" applyFill="1" applyBorder="1"/>
    <xf numFmtId="0" fontId="19" fillId="5" borderId="13" xfId="0" applyFont="1" applyFill="1" applyBorder="1"/>
    <xf numFmtId="0" fontId="19" fillId="5" borderId="14" xfId="0" applyFont="1" applyFill="1" applyBorder="1"/>
    <xf numFmtId="0" fontId="1" fillId="5" borderId="2" xfId="0" applyFont="1" applyFill="1" applyBorder="1"/>
    <xf numFmtId="0" fontId="19" fillId="5" borderId="3" xfId="0" applyFont="1" applyFill="1" applyBorder="1"/>
    <xf numFmtId="0" fontId="19" fillId="5" borderId="4" xfId="0" applyFont="1" applyFill="1" applyBorder="1"/>
    <xf numFmtId="0" fontId="19" fillId="2" borderId="1" xfId="0" applyFont="1" applyFill="1" applyBorder="1"/>
    <xf numFmtId="0" fontId="1" fillId="5" borderId="3" xfId="0" applyFont="1" applyFill="1" applyBorder="1"/>
    <xf numFmtId="0" fontId="1" fillId="5" borderId="7" xfId="0" applyFont="1" applyFill="1" applyBorder="1"/>
    <xf numFmtId="0" fontId="1" fillId="3" borderId="1" xfId="0" applyFont="1" applyFill="1" applyBorder="1"/>
    <xf numFmtId="4" fontId="1" fillId="3" borderId="11" xfId="0" applyNumberFormat="1" applyFont="1" applyFill="1" applyBorder="1"/>
    <xf numFmtId="4" fontId="1" fillId="3" borderId="12" xfId="0" applyNumberFormat="1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2" borderId="1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4" fontId="0" fillId="3" borderId="4" xfId="0" applyNumberFormat="1" applyFont="1" applyFill="1" applyBorder="1"/>
    <xf numFmtId="4" fontId="0" fillId="5" borderId="19" xfId="0" applyNumberFormat="1" applyFill="1" applyBorder="1"/>
    <xf numFmtId="0" fontId="0" fillId="5" borderId="17" xfId="0" applyFill="1" applyBorder="1"/>
    <xf numFmtId="0" fontId="0" fillId="5" borderId="16" xfId="0" applyFill="1" applyBorder="1"/>
    <xf numFmtId="0" fontId="0" fillId="5" borderId="19" xfId="0" applyFill="1" applyBorder="1"/>
    <xf numFmtId="0" fontId="0" fillId="5" borderId="13" xfId="0" applyFill="1" applyBorder="1"/>
    <xf numFmtId="4" fontId="0" fillId="4" borderId="20" xfId="0" applyNumberFormat="1" applyFill="1" applyBorder="1"/>
    <xf numFmtId="4" fontId="1" fillId="2" borderId="15" xfId="0" applyNumberFormat="1" applyFont="1" applyFill="1" applyBorder="1"/>
    <xf numFmtId="4" fontId="1" fillId="5" borderId="18" xfId="0" applyNumberFormat="1" applyFont="1" applyFill="1" applyBorder="1"/>
    <xf numFmtId="4" fontId="1" fillId="5" borderId="16" xfId="0" applyNumberFormat="1" applyFont="1" applyFill="1" applyBorder="1"/>
    <xf numFmtId="4" fontId="0" fillId="4" borderId="8" xfId="0" quotePrefix="1" applyNumberFormat="1" applyFill="1" applyBorder="1"/>
    <xf numFmtId="4" fontId="0" fillId="4" borderId="20" xfId="0" quotePrefix="1" applyNumberFormat="1" applyFill="1" applyBorder="1"/>
    <xf numFmtId="0" fontId="16" fillId="2" borderId="1" xfId="0" applyFont="1" applyFill="1" applyBorder="1"/>
    <xf numFmtId="4" fontId="0" fillId="4" borderId="0" xfId="0" applyNumberFormat="1" applyFill="1" applyBorder="1" applyAlignment="1"/>
    <xf numFmtId="4" fontId="6" fillId="4" borderId="0" xfId="0" applyNumberFormat="1" applyFont="1" applyFill="1"/>
    <xf numFmtId="4" fontId="6" fillId="4" borderId="0" xfId="0" applyNumberFormat="1" applyFont="1" applyFill="1" applyBorder="1"/>
    <xf numFmtId="10" fontId="6" fillId="4" borderId="0" xfId="0" applyNumberFormat="1" applyFont="1" applyFill="1"/>
    <xf numFmtId="4" fontId="17" fillId="0" borderId="0" xfId="0" applyNumberFormat="1" applyFont="1" applyFill="1"/>
    <xf numFmtId="4" fontId="18" fillId="0" borderId="0" xfId="0" applyNumberFormat="1" applyFont="1" applyFill="1" applyAlignment="1">
      <alignment vertical="center"/>
    </xf>
    <xf numFmtId="4" fontId="1" fillId="2" borderId="17" xfId="0" applyNumberFormat="1" applyFont="1" applyFill="1" applyBorder="1"/>
    <xf numFmtId="0" fontId="1" fillId="2" borderId="17" xfId="0" applyFont="1" applyFill="1" applyBorder="1"/>
    <xf numFmtId="0" fontId="0" fillId="2" borderId="17" xfId="0" applyFont="1" applyFill="1" applyBorder="1"/>
    <xf numFmtId="4" fontId="0" fillId="6" borderId="17" xfId="0" applyNumberFormat="1" applyFill="1" applyBorder="1"/>
    <xf numFmtId="0" fontId="0" fillId="6" borderId="17" xfId="0" applyFill="1" applyBorder="1"/>
    <xf numFmtId="4" fontId="0" fillId="6" borderId="8" xfId="0" applyNumberFormat="1" applyFill="1" applyBorder="1"/>
    <xf numFmtId="0" fontId="0" fillId="6" borderId="8" xfId="0" applyFill="1" applyBorder="1"/>
    <xf numFmtId="4" fontId="0" fillId="2" borderId="8" xfId="0" applyNumberFormat="1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9" fillId="4" borderId="4" xfId="0" applyFont="1" applyFill="1" applyBorder="1"/>
    <xf numFmtId="4" fontId="19" fillId="4" borderId="5" xfId="0" applyNumberFormat="1" applyFont="1" applyFill="1" applyBorder="1"/>
    <xf numFmtId="4" fontId="1" fillId="4" borderId="5" xfId="0" applyNumberFormat="1" applyFon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15" fillId="4" borderId="5" xfId="0" applyNumberFormat="1" applyFont="1" applyFill="1" applyBorder="1"/>
    <xf numFmtId="4" fontId="15" fillId="2" borderId="5" xfId="0" applyNumberFormat="1" applyFont="1" applyFill="1" applyBorder="1"/>
    <xf numFmtId="4" fontId="18" fillId="4" borderId="5" xfId="0" applyNumberFormat="1" applyFont="1" applyFill="1" applyBorder="1"/>
    <xf numFmtId="4" fontId="1" fillId="2" borderId="16" xfId="0" applyNumberFormat="1" applyFont="1" applyFill="1" applyBorder="1"/>
    <xf numFmtId="4" fontId="1" fillId="2" borderId="18" xfId="0" applyNumberFormat="1" applyFont="1" applyFill="1" applyBorder="1"/>
    <xf numFmtId="0" fontId="19" fillId="4" borderId="5" xfId="0" applyFont="1" applyFill="1" applyBorder="1"/>
    <xf numFmtId="0" fontId="19" fillId="4" borderId="0" xfId="0" applyFont="1" applyFill="1" applyBorder="1"/>
    <xf numFmtId="0" fontId="19" fillId="4" borderId="6" xfId="0" applyFont="1" applyFill="1" applyBorder="1"/>
    <xf numFmtId="0" fontId="17" fillId="4" borderId="5" xfId="0" applyFont="1" applyFill="1" applyBorder="1"/>
    <xf numFmtId="0" fontId="0" fillId="4" borderId="6" xfId="0" applyFont="1" applyFill="1" applyBorder="1"/>
    <xf numFmtId="4" fontId="0" fillId="4" borderId="5" xfId="0" applyNumberFormat="1" applyFont="1" applyFill="1" applyBorder="1"/>
    <xf numFmtId="0" fontId="1" fillId="2" borderId="18" xfId="0" applyFont="1" applyFill="1" applyBorder="1"/>
    <xf numFmtId="0" fontId="0" fillId="2" borderId="16" xfId="0" applyFill="1" applyBorder="1"/>
    <xf numFmtId="0" fontId="0" fillId="4" borderId="5" xfId="0" applyFont="1" applyFill="1" applyBorder="1"/>
    <xf numFmtId="0" fontId="0" fillId="4" borderId="5" xfId="0" quotePrefix="1" applyFont="1" applyFill="1" applyBorder="1"/>
    <xf numFmtId="0" fontId="0" fillId="2" borderId="16" xfId="0" quotePrefix="1" applyFont="1" applyFill="1" applyBorder="1"/>
    <xf numFmtId="0" fontId="11" fillId="4" borderId="5" xfId="0" applyFont="1" applyFill="1" applyBorder="1"/>
    <xf numFmtId="4" fontId="0" fillId="4" borderId="0" xfId="0" quotePrefix="1" applyNumberFormat="1" applyFill="1" applyBorder="1" applyAlignment="1">
      <alignment horizontal="right"/>
    </xf>
    <xf numFmtId="0" fontId="0" fillId="4" borderId="0" xfId="0" applyFill="1" applyBorder="1" applyAlignment="1"/>
    <xf numFmtId="0" fontId="0" fillId="5" borderId="14" xfId="0" applyFont="1" applyFill="1" applyBorder="1"/>
    <xf numFmtId="0" fontId="9" fillId="0" borderId="0" xfId="0" applyFont="1" applyFill="1" applyBorder="1"/>
    <xf numFmtId="0" fontId="11" fillId="5" borderId="15" xfId="0" applyFont="1" applyFill="1" applyBorder="1" applyAlignment="1">
      <alignment horizontal="center"/>
    </xf>
    <xf numFmtId="0" fontId="11" fillId="5" borderId="1" xfId="0" applyFont="1" applyFill="1" applyBorder="1"/>
    <xf numFmtId="0" fontId="16" fillId="2" borderId="14" xfId="0" applyFont="1" applyFill="1" applyBorder="1"/>
    <xf numFmtId="0" fontId="16" fillId="2" borderId="15" xfId="0" applyFont="1" applyFill="1" applyBorder="1"/>
    <xf numFmtId="4" fontId="16" fillId="2" borderId="1" xfId="0" applyNumberFormat="1" applyFont="1" applyFill="1" applyBorder="1"/>
    <xf numFmtId="4" fontId="1" fillId="5" borderId="15" xfId="0" applyNumberFormat="1" applyFont="1" applyFill="1" applyBorder="1"/>
    <xf numFmtId="0" fontId="1" fillId="3" borderId="13" xfId="0" applyFont="1" applyFill="1" applyBorder="1"/>
    <xf numFmtId="4" fontId="1" fillId="3" borderId="13" xfId="0" applyNumberFormat="1" applyFont="1" applyFill="1" applyBorder="1"/>
    <xf numFmtId="0" fontId="1" fillId="3" borderId="14" xfId="0" applyFont="1" applyFill="1" applyBorder="1"/>
    <xf numFmtId="0" fontId="1" fillId="0" borderId="0" xfId="0" applyFont="1"/>
    <xf numFmtId="4" fontId="11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Border="1"/>
    <xf numFmtId="0" fontId="0" fillId="4" borderId="0" xfId="0" quotePrefix="1" applyFont="1" applyFill="1"/>
    <xf numFmtId="0" fontId="1" fillId="3" borderId="12" xfId="0" applyFont="1" applyFill="1" applyBorder="1"/>
    <xf numFmtId="0" fontId="1" fillId="2" borderId="1" xfId="0" applyFont="1" applyFill="1" applyBorder="1" applyAlignment="1"/>
    <xf numFmtId="4" fontId="11" fillId="4" borderId="0" xfId="0" applyNumberFormat="1" applyFont="1" applyFill="1"/>
    <xf numFmtId="4" fontId="6" fillId="0" borderId="0" xfId="0" applyNumberFormat="1" applyFont="1"/>
    <xf numFmtId="0" fontId="0" fillId="6" borderId="0" xfId="0" applyFill="1"/>
    <xf numFmtId="4" fontId="6" fillId="6" borderId="0" xfId="0" applyNumberFormat="1" applyFont="1" applyFill="1"/>
    <xf numFmtId="4" fontId="6" fillId="6" borderId="0" xfId="0" applyNumberFormat="1" applyFont="1" applyFill="1" applyBorder="1"/>
    <xf numFmtId="0" fontId="11" fillId="3" borderId="2" xfId="0" applyFont="1" applyFill="1" applyBorder="1"/>
    <xf numFmtId="0" fontId="6" fillId="3" borderId="3" xfId="0" applyFont="1" applyFill="1" applyBorder="1"/>
    <xf numFmtId="0" fontId="11" fillId="3" borderId="5" xfId="0" applyFont="1" applyFill="1" applyBorder="1"/>
    <xf numFmtId="0" fontId="6" fillId="4" borderId="0" xfId="0" applyFont="1" applyFill="1" applyBorder="1"/>
    <xf numFmtId="0" fontId="6" fillId="4" borderId="6" xfId="0" applyFont="1" applyFill="1" applyBorder="1"/>
    <xf numFmtId="4" fontId="6" fillId="4" borderId="8" xfId="0" applyNumberFormat="1" applyFont="1" applyFill="1" applyBorder="1"/>
    <xf numFmtId="4" fontId="6" fillId="4" borderId="14" xfId="0" applyNumberFormat="1" applyFont="1" applyFill="1" applyBorder="1"/>
    <xf numFmtId="0" fontId="6" fillId="6" borderId="0" xfId="0" applyFont="1" applyFill="1"/>
    <xf numFmtId="0" fontId="9" fillId="4" borderId="0" xfId="0" applyFont="1" applyFill="1"/>
    <xf numFmtId="0" fontId="7" fillId="4" borderId="0" xfId="0" applyFont="1" applyFill="1" applyAlignment="1">
      <alignment vertical="center" readingOrder="1"/>
    </xf>
    <xf numFmtId="0" fontId="9" fillId="4" borderId="0" xfId="0" applyFont="1" applyFill="1" applyAlignment="1"/>
    <xf numFmtId="0" fontId="8" fillId="4" borderId="0" xfId="0" applyFont="1" applyFill="1" applyAlignment="1">
      <alignment horizontal="center" vertical="center" readingOrder="1"/>
    </xf>
    <xf numFmtId="0" fontId="10" fillId="4" borderId="0" xfId="0" applyFont="1" applyFill="1"/>
    <xf numFmtId="10" fontId="6" fillId="4" borderId="0" xfId="0" applyNumberFormat="1" applyFont="1" applyFill="1" applyAlignment="1">
      <alignment horizontal="right"/>
    </xf>
    <xf numFmtId="10" fontId="0" fillId="2" borderId="1" xfId="0" applyNumberFormat="1" applyFill="1" applyBorder="1"/>
    <xf numFmtId="0" fontId="16" fillId="4" borderId="0" xfId="0" applyFont="1" applyFill="1"/>
    <xf numFmtId="0" fontId="11" fillId="3" borderId="10" xfId="0" applyFont="1" applyFill="1" applyBorder="1"/>
    <xf numFmtId="0" fontId="11" fillId="3" borderId="11" xfId="0" applyFont="1" applyFill="1" applyBorder="1"/>
    <xf numFmtId="4" fontId="11" fillId="3" borderId="11" xfId="0" applyNumberFormat="1" applyFont="1" applyFill="1" applyBorder="1"/>
    <xf numFmtId="4" fontId="11" fillId="3" borderId="12" xfId="0" applyNumberFormat="1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4" xfId="0" applyFont="1" applyFill="1" applyBorder="1"/>
    <xf numFmtId="4" fontId="6" fillId="4" borderId="6" xfId="0" applyNumberFormat="1" applyFont="1" applyFill="1" applyBorder="1"/>
    <xf numFmtId="4" fontId="6" fillId="4" borderId="15" xfId="0" applyNumberFormat="1" applyFont="1" applyFill="1" applyBorder="1"/>
    <xf numFmtId="0" fontId="20" fillId="4" borderId="0" xfId="0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2" fillId="4" borderId="0" xfId="0" applyFont="1" applyFill="1"/>
    <xf numFmtId="0" fontId="0" fillId="5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55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16009370281853"/>
          <c:y val="0.0506625097427903"/>
          <c:w val="0.93976908303487"/>
          <c:h val="0.856982588789807"/>
        </c:manualLayout>
      </c:layout>
      <c:lineChart>
        <c:grouping val="standard"/>
        <c:varyColors val="0"/>
        <c:ser>
          <c:idx val="0"/>
          <c:order val="0"/>
          <c:tx>
            <c:strRef>
              <c:f>'Nåverdi breregning'!$B$19</c:f>
              <c:strCache>
                <c:ptCount val="1"/>
                <c:pt idx="0">
                  <c:v>Antall saker uten tiltak: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0456409683527306"/>
                  <c:y val="0.03117692907248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val>
            <c:numRef>
              <c:f>'Nåverdi breregning'!$C$19:$K$19</c:f>
              <c:numCache>
                <c:formatCode>General</c:formatCode>
                <c:ptCount val="9"/>
                <c:pt idx="0">
                  <c:v>2.0</c:v>
                </c:pt>
                <c:pt idx="1">
                  <c:v>6.0</c:v>
                </c:pt>
                <c:pt idx="2">
                  <c:v>14.0</c:v>
                </c:pt>
                <c:pt idx="3">
                  <c:v>26.0</c:v>
                </c:pt>
                <c:pt idx="4">
                  <c:v>42.0</c:v>
                </c:pt>
                <c:pt idx="5">
                  <c:v>62.0</c:v>
                </c:pt>
                <c:pt idx="6">
                  <c:v>86.0</c:v>
                </c:pt>
                <c:pt idx="7">
                  <c:v>114.0</c:v>
                </c:pt>
                <c:pt idx="8">
                  <c:v>146.0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'Nåverdi breregning'!$B$20</c:f>
              <c:strCache>
                <c:ptCount val="1"/>
                <c:pt idx="0">
                  <c:v>Antall saker med tiltak: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0134613171203986"/>
                  <c:y val="0.1978989327425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val>
            <c:numRef>
              <c:f>'Nåverdi breregning'!$C$20:$K$20</c:f>
              <c:numCache>
                <c:formatCode>General</c:formatCode>
                <c:ptCount val="9"/>
                <c:pt idx="0">
                  <c:v>2.0</c:v>
                </c:pt>
                <c:pt idx="1">
                  <c:v>6.0</c:v>
                </c:pt>
                <c:pt idx="2">
                  <c:v>14.0</c:v>
                </c:pt>
                <c:pt idx="3">
                  <c:v>26.0</c:v>
                </c:pt>
                <c:pt idx="4">
                  <c:v>34.0</c:v>
                </c:pt>
                <c:pt idx="5">
                  <c:v>44.0</c:v>
                </c:pt>
                <c:pt idx="6">
                  <c:v>56.0</c:v>
                </c:pt>
                <c:pt idx="7">
                  <c:v>70.0</c:v>
                </c:pt>
                <c:pt idx="8">
                  <c:v>86.0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884112"/>
        <c:axId val="775010080"/>
      </c:lineChart>
      <c:catAx>
        <c:axId val="80688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5010080"/>
        <c:crosses val="autoZero"/>
        <c:auto val="1"/>
        <c:lblAlgn val="ctr"/>
        <c:lblOffset val="100"/>
        <c:noMultiLvlLbl val="0"/>
      </c:catAx>
      <c:valAx>
        <c:axId val="77501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688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38</xdr:row>
      <xdr:rowOff>238295</xdr:rowOff>
    </xdr:from>
    <xdr:to>
      <xdr:col>10</xdr:col>
      <xdr:colOff>1066412</xdr:colOff>
      <xdr:row>51</xdr:row>
      <xdr:rowOff>215900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</cdr:x>
      <cdr:y>0.24786</cdr:y>
    </cdr:from>
    <cdr:to>
      <cdr:x>0.86615</cdr:x>
      <cdr:y>0.47545</cdr:y>
    </cdr:to>
    <cdr:cxnSp macro="">
      <cdr:nvCxnSpPr>
        <cdr:cNvPr id="3" name="Rett pil 2"/>
        <cdr:cNvCxnSpPr/>
      </cdr:nvCxnSpPr>
      <cdr:spPr>
        <a:xfrm xmlns:a="http://schemas.openxmlformats.org/drawingml/2006/main">
          <a:off x="7665720" y="807720"/>
          <a:ext cx="10160" cy="74168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0.78475</cdr:x>
      <cdr:y>0.37568</cdr:y>
    </cdr:from>
    <cdr:to>
      <cdr:x>0.78475</cdr:x>
      <cdr:y>0.5378</cdr:y>
    </cdr:to>
    <cdr:cxnSp macro="">
      <cdr:nvCxnSpPr>
        <cdr:cNvPr id="7" name="Rett pil 6"/>
        <cdr:cNvCxnSpPr/>
      </cdr:nvCxnSpPr>
      <cdr:spPr>
        <a:xfrm xmlns:a="http://schemas.openxmlformats.org/drawingml/2006/main">
          <a:off x="6954520" y="1224280"/>
          <a:ext cx="0" cy="52832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0.72399</cdr:x>
      <cdr:y>0.45051</cdr:y>
    </cdr:from>
    <cdr:to>
      <cdr:x>0.72399</cdr:x>
      <cdr:y>0.58457</cdr:y>
    </cdr:to>
    <cdr:cxnSp macro="">
      <cdr:nvCxnSpPr>
        <cdr:cNvPr id="11" name="Rett pil 10"/>
        <cdr:cNvCxnSpPr/>
      </cdr:nvCxnSpPr>
      <cdr:spPr>
        <a:xfrm xmlns:a="http://schemas.openxmlformats.org/drawingml/2006/main">
          <a:off x="6416040" y="1468120"/>
          <a:ext cx="0" cy="43688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0.66323</cdr:x>
      <cdr:y>0.53157</cdr:y>
    </cdr:from>
    <cdr:to>
      <cdr:x>0.66323</cdr:x>
      <cdr:y>0.6251</cdr:y>
    </cdr:to>
    <cdr:cxnSp macro="">
      <cdr:nvCxnSpPr>
        <cdr:cNvPr id="13" name="Rett pil 12"/>
        <cdr:cNvCxnSpPr/>
      </cdr:nvCxnSpPr>
      <cdr:spPr>
        <a:xfrm xmlns:a="http://schemas.openxmlformats.org/drawingml/2006/main">
          <a:off x="5877560" y="1732280"/>
          <a:ext cx="0" cy="30480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0.60017</cdr:x>
      <cdr:y>0.60016</cdr:y>
    </cdr:from>
    <cdr:to>
      <cdr:x>0.60017</cdr:x>
      <cdr:y>0.66875</cdr:y>
    </cdr:to>
    <cdr:cxnSp macro="">
      <cdr:nvCxnSpPr>
        <cdr:cNvPr id="18" name="Rett pil 17"/>
        <cdr:cNvCxnSpPr/>
      </cdr:nvCxnSpPr>
      <cdr:spPr>
        <a:xfrm xmlns:a="http://schemas.openxmlformats.org/drawingml/2006/main">
          <a:off x="5318760" y="1955800"/>
          <a:ext cx="0" cy="22352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0.2166</cdr:x>
      <cdr:y>0.1668</cdr:y>
    </cdr:from>
    <cdr:to>
      <cdr:x>0.46461</cdr:x>
      <cdr:y>0.44739</cdr:y>
    </cdr:to>
    <cdr:sp macro="" textlink="">
      <cdr:nvSpPr>
        <cdr:cNvPr id="23" name="Rektangel 22"/>
        <cdr:cNvSpPr/>
      </cdr:nvSpPr>
      <cdr:spPr>
        <a:xfrm xmlns:a="http://schemas.openxmlformats.org/drawingml/2006/main">
          <a:off x="2067560" y="543560"/>
          <a:ext cx="2367280" cy="9144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nb-NO"/>
            <a:t>Tiltaket av Egenerklæringsskjema</a:t>
          </a:r>
          <a:r>
            <a:rPr lang="nb-NO" baseline="0"/>
            <a:t> har en reduserende effekt på antall ID-tyveri saker.  Det representeres i den vertikale avstanden mellom grafene i figuren.</a:t>
          </a:r>
        </a:p>
        <a:p xmlns:a="http://schemas.openxmlformats.org/drawingml/2006/main">
          <a:endParaRPr lang="nb-NO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5"/>
  <sheetViews>
    <sheetView zoomScaleNormal="120" zoomScalePageLayoutView="120" workbookViewId="0">
      <selection activeCell="F45" sqref="F45"/>
    </sheetView>
  </sheetViews>
  <sheetFormatPr baseColWidth="10" defaultRowHeight="16" x14ac:dyDescent="0.2"/>
  <cols>
    <col min="3" max="3" width="25.5" customWidth="1"/>
    <col min="4" max="4" width="50.33203125" bestFit="1" customWidth="1"/>
    <col min="5" max="5" width="36.83203125" bestFit="1" customWidth="1"/>
    <col min="6" max="6" width="31.83203125" bestFit="1" customWidth="1"/>
    <col min="7" max="7" width="15.83203125" bestFit="1" customWidth="1"/>
    <col min="13" max="13" width="33" bestFit="1" customWidth="1"/>
  </cols>
  <sheetData>
    <row r="1" spans="2:9" ht="31" x14ac:dyDescent="0.35">
      <c r="B1" s="1" t="s">
        <v>0</v>
      </c>
    </row>
    <row r="5" spans="2:9" ht="24" x14ac:dyDescent="0.3">
      <c r="C5" s="123" t="s">
        <v>160</v>
      </c>
      <c r="D5" s="35"/>
      <c r="E5" s="35"/>
      <c r="F5" s="35"/>
      <c r="G5" s="37"/>
    </row>
    <row r="6" spans="2:9" x14ac:dyDescent="0.2">
      <c r="C6" s="41" t="s">
        <v>85</v>
      </c>
      <c r="D6" s="70"/>
      <c r="E6" s="70"/>
      <c r="F6" s="70"/>
      <c r="G6" s="72"/>
    </row>
    <row r="7" spans="2:9" x14ac:dyDescent="0.2">
      <c r="C7" s="69" t="s">
        <v>1</v>
      </c>
      <c r="D7" s="10" t="s">
        <v>2</v>
      </c>
      <c r="E7" s="10" t="s">
        <v>131</v>
      </c>
      <c r="F7" s="10" t="s">
        <v>132</v>
      </c>
      <c r="G7" s="11" t="s">
        <v>133</v>
      </c>
    </row>
    <row r="8" spans="2:9" x14ac:dyDescent="0.2">
      <c r="C8" s="26" t="s">
        <v>134</v>
      </c>
      <c r="D8" s="12" t="s">
        <v>135</v>
      </c>
      <c r="E8" s="122" t="s">
        <v>136</v>
      </c>
      <c r="F8" s="12" t="s">
        <v>135</v>
      </c>
      <c r="G8" s="25" t="s">
        <v>137</v>
      </c>
    </row>
    <row r="9" spans="2:9" x14ac:dyDescent="0.2">
      <c r="C9" s="41" t="s">
        <v>84</v>
      </c>
      <c r="D9" s="12"/>
      <c r="E9" s="12"/>
      <c r="F9" s="12"/>
      <c r="G9" s="25"/>
    </row>
    <row r="10" spans="2:9" x14ac:dyDescent="0.2">
      <c r="C10" s="69" t="s">
        <v>1</v>
      </c>
      <c r="D10" s="10" t="s">
        <v>139</v>
      </c>
      <c r="E10" s="10" t="s">
        <v>9</v>
      </c>
      <c r="F10" s="10" t="s">
        <v>10</v>
      </c>
      <c r="G10" s="11" t="s">
        <v>140</v>
      </c>
    </row>
    <row r="11" spans="2:9" x14ac:dyDescent="0.2">
      <c r="C11" s="26" t="s">
        <v>134</v>
      </c>
      <c r="D11" s="12" t="s">
        <v>47</v>
      </c>
      <c r="E11" s="12" t="s">
        <v>43</v>
      </c>
      <c r="F11" s="12" t="s">
        <v>141</v>
      </c>
      <c r="G11" s="25" t="s">
        <v>45</v>
      </c>
    </row>
    <row r="12" spans="2:9" x14ac:dyDescent="0.2">
      <c r="C12" s="41" t="s">
        <v>87</v>
      </c>
      <c r="D12" s="12"/>
      <c r="E12" s="12"/>
      <c r="F12" s="12"/>
      <c r="G12" s="25"/>
    </row>
    <row r="13" spans="2:9" x14ac:dyDescent="0.2">
      <c r="C13" s="69" t="s">
        <v>1</v>
      </c>
      <c r="D13" s="10" t="s">
        <v>139</v>
      </c>
      <c r="E13" s="10" t="s">
        <v>9</v>
      </c>
      <c r="F13" s="10" t="s">
        <v>10</v>
      </c>
      <c r="G13" s="11" t="s">
        <v>140</v>
      </c>
      <c r="H13" s="31"/>
      <c r="I13" s="31"/>
    </row>
    <row r="14" spans="2:9" x14ac:dyDescent="0.2">
      <c r="C14" s="26" t="s">
        <v>134</v>
      </c>
      <c r="D14" s="12" t="s">
        <v>47</v>
      </c>
      <c r="E14" s="12" t="s">
        <v>43</v>
      </c>
      <c r="F14" s="12" t="s">
        <v>141</v>
      </c>
      <c r="G14" s="25" t="s">
        <v>45</v>
      </c>
      <c r="H14" s="31"/>
      <c r="I14" s="31"/>
    </row>
    <row r="15" spans="2:9" x14ac:dyDescent="0.2">
      <c r="C15" s="41" t="s">
        <v>138</v>
      </c>
      <c r="D15" s="12"/>
      <c r="E15" s="12"/>
      <c r="F15" s="12"/>
      <c r="G15" s="25"/>
      <c r="H15" s="31"/>
      <c r="I15" s="31"/>
    </row>
    <row r="16" spans="2:9" x14ac:dyDescent="0.2">
      <c r="C16" s="69" t="s">
        <v>1</v>
      </c>
      <c r="D16" s="10" t="s">
        <v>49</v>
      </c>
      <c r="E16" s="10"/>
      <c r="F16" s="10"/>
      <c r="G16" s="11"/>
      <c r="H16" s="31"/>
      <c r="I16" s="31"/>
    </row>
    <row r="17" spans="3:9" x14ac:dyDescent="0.2">
      <c r="C17" s="26" t="s">
        <v>134</v>
      </c>
      <c r="D17" s="12" t="s">
        <v>142</v>
      </c>
      <c r="E17" s="12"/>
      <c r="F17" s="12"/>
      <c r="G17" s="25"/>
      <c r="H17" s="31"/>
      <c r="I17" s="31"/>
    </row>
    <row r="18" spans="3:9" x14ac:dyDescent="0.2">
      <c r="C18" s="41" t="s">
        <v>143</v>
      </c>
      <c r="D18" s="12"/>
      <c r="E18" s="12"/>
      <c r="F18" s="12"/>
      <c r="G18" s="25"/>
    </row>
    <row r="19" spans="3:9" x14ac:dyDescent="0.2">
      <c r="C19" s="69" t="s">
        <v>1</v>
      </c>
      <c r="D19" s="10" t="s">
        <v>144</v>
      </c>
      <c r="E19" s="10" t="s">
        <v>150</v>
      </c>
      <c r="F19" s="10"/>
      <c r="G19" s="11"/>
    </row>
    <row r="20" spans="3:9" x14ac:dyDescent="0.2">
      <c r="C20" s="26" t="s">
        <v>134</v>
      </c>
      <c r="D20" s="12" t="s">
        <v>151</v>
      </c>
      <c r="E20" s="12" t="s">
        <v>151</v>
      </c>
      <c r="F20" s="12"/>
      <c r="G20" s="25"/>
    </row>
    <row r="21" spans="3:9" x14ac:dyDescent="0.2">
      <c r="C21" s="41" t="s">
        <v>145</v>
      </c>
      <c r="D21" s="12"/>
      <c r="E21" s="12"/>
      <c r="F21" s="12"/>
      <c r="G21" s="25"/>
    </row>
    <row r="22" spans="3:9" x14ac:dyDescent="0.2">
      <c r="C22" s="69" t="s">
        <v>1</v>
      </c>
      <c r="D22" s="10" t="s">
        <v>147</v>
      </c>
      <c r="E22" s="10" t="s">
        <v>148</v>
      </c>
      <c r="F22" s="10" t="s">
        <v>149</v>
      </c>
      <c r="G22" s="11"/>
    </row>
    <row r="23" spans="3:9" x14ac:dyDescent="0.2">
      <c r="C23" s="75" t="s">
        <v>146</v>
      </c>
      <c r="D23" s="14" t="s">
        <v>152</v>
      </c>
      <c r="E23" s="14" t="s">
        <v>45</v>
      </c>
      <c r="F23" s="14" t="s">
        <v>153</v>
      </c>
      <c r="G23" s="28"/>
    </row>
    <row r="25" spans="3:9" x14ac:dyDescent="0.2">
      <c r="C25" s="29" t="s">
        <v>154</v>
      </c>
      <c r="D25" s="29"/>
      <c r="E25" s="29"/>
      <c r="F25" s="29"/>
      <c r="G25" s="29"/>
      <c r="H25" s="31"/>
    </row>
    <row r="26" spans="3:9" x14ac:dyDescent="0.2">
      <c r="C26" s="29" t="s">
        <v>156</v>
      </c>
      <c r="D26" s="29"/>
      <c r="E26" s="29"/>
      <c r="F26" s="29"/>
      <c r="G26" s="29"/>
    </row>
    <row r="27" spans="3:9" x14ac:dyDescent="0.2">
      <c r="C27" s="29" t="s">
        <v>155</v>
      </c>
      <c r="D27" s="29"/>
      <c r="E27" s="29"/>
      <c r="F27" s="29"/>
      <c r="G27" s="29"/>
    </row>
    <row r="28" spans="3:9" x14ac:dyDescent="0.2">
      <c r="C28" s="29" t="s">
        <v>157</v>
      </c>
      <c r="D28" s="29"/>
      <c r="E28" s="29"/>
      <c r="F28" s="29"/>
      <c r="G28" s="29"/>
    </row>
    <row r="29" spans="3:9" x14ac:dyDescent="0.2">
      <c r="C29" s="29" t="s">
        <v>158</v>
      </c>
      <c r="D29" s="29"/>
      <c r="E29" s="29"/>
      <c r="F29" s="29"/>
      <c r="G29" s="29"/>
    </row>
    <row r="30" spans="3:9" x14ac:dyDescent="0.2">
      <c r="C30" s="29" t="s">
        <v>159</v>
      </c>
      <c r="D30" s="29"/>
      <c r="E30" s="29"/>
      <c r="F30" s="29"/>
      <c r="G30" s="29"/>
    </row>
    <row r="32" spans="3:9" ht="24" x14ac:dyDescent="0.3">
      <c r="C32" s="123" t="s">
        <v>100</v>
      </c>
      <c r="D32" s="39"/>
      <c r="E32" s="62"/>
    </row>
    <row r="33" spans="3:5" x14ac:dyDescent="0.2">
      <c r="C33" s="41" t="s">
        <v>7</v>
      </c>
      <c r="D33" s="35"/>
      <c r="E33" s="260" t="s">
        <v>6</v>
      </c>
    </row>
    <row r="34" spans="3:5" x14ac:dyDescent="0.2">
      <c r="C34" s="5" t="s">
        <v>1</v>
      </c>
      <c r="D34" s="12"/>
      <c r="E34" s="25"/>
    </row>
    <row r="35" spans="3:5" x14ac:dyDescent="0.2">
      <c r="C35" s="5" t="s">
        <v>2</v>
      </c>
      <c r="D35" s="12"/>
      <c r="E35" s="25">
        <v>4.5</v>
      </c>
    </row>
    <row r="36" spans="3:5" x14ac:dyDescent="0.2">
      <c r="C36" s="5" t="s">
        <v>131</v>
      </c>
      <c r="D36" s="12"/>
      <c r="E36" s="25">
        <v>10</v>
      </c>
    </row>
    <row r="37" spans="3:5" x14ac:dyDescent="0.2">
      <c r="C37" s="5" t="s">
        <v>4</v>
      </c>
      <c r="D37" s="12"/>
      <c r="E37" s="25">
        <v>4.5</v>
      </c>
    </row>
    <row r="38" spans="3:5" x14ac:dyDescent="0.2">
      <c r="C38" s="5" t="s">
        <v>34</v>
      </c>
      <c r="D38" s="12"/>
      <c r="E38" s="25">
        <v>0.5</v>
      </c>
    </row>
    <row r="39" spans="3:5" x14ac:dyDescent="0.2">
      <c r="C39" s="68" t="s">
        <v>5</v>
      </c>
      <c r="D39" s="10"/>
      <c r="E39" s="11">
        <f>SUM(E35:E38)</f>
        <v>19.5</v>
      </c>
    </row>
    <row r="40" spans="3:5" x14ac:dyDescent="0.2">
      <c r="C40" s="41" t="s">
        <v>15</v>
      </c>
      <c r="D40" s="35"/>
      <c r="E40" s="260" t="s">
        <v>6</v>
      </c>
    </row>
    <row r="41" spans="3:5" x14ac:dyDescent="0.2">
      <c r="C41" s="5" t="s">
        <v>8</v>
      </c>
      <c r="D41" s="12"/>
      <c r="E41" s="25">
        <f>37.5*60*0.4</f>
        <v>900</v>
      </c>
    </row>
    <row r="42" spans="3:5" x14ac:dyDescent="0.2">
      <c r="C42" s="5" t="s">
        <v>9</v>
      </c>
      <c r="D42" s="12"/>
      <c r="E42" s="25">
        <f>37.5/5*60*0.4*3</f>
        <v>540</v>
      </c>
    </row>
    <row r="43" spans="3:5" x14ac:dyDescent="0.2">
      <c r="C43" s="5" t="s">
        <v>10</v>
      </c>
      <c r="D43" s="12"/>
      <c r="E43" s="25">
        <f>37.5*60*1.5*0.4</f>
        <v>1350</v>
      </c>
    </row>
    <row r="44" spans="3:5" x14ac:dyDescent="0.2">
      <c r="C44" s="5" t="s">
        <v>11</v>
      </c>
      <c r="D44" s="12"/>
      <c r="E44" s="25">
        <f>37.5/5*60*0.4</f>
        <v>180</v>
      </c>
    </row>
    <row r="45" spans="3:5" x14ac:dyDescent="0.2">
      <c r="C45" s="5" t="s">
        <v>12</v>
      </c>
      <c r="D45" s="12" t="s">
        <v>323</v>
      </c>
      <c r="E45" s="81">
        <f>37.5/5*60</f>
        <v>450</v>
      </c>
    </row>
    <row r="46" spans="3:5" x14ac:dyDescent="0.2">
      <c r="C46" s="5" t="s">
        <v>101</v>
      </c>
      <c r="D46" s="12" t="s">
        <v>323</v>
      </c>
      <c r="E46" s="81">
        <f>37.5*60*2</f>
        <v>4500</v>
      </c>
    </row>
    <row r="47" spans="3:5" x14ac:dyDescent="0.2">
      <c r="C47" s="5"/>
      <c r="D47" s="12"/>
      <c r="E47" s="25"/>
    </row>
    <row r="48" spans="3:5" x14ac:dyDescent="0.2">
      <c r="C48" s="68" t="s">
        <v>5</v>
      </c>
      <c r="D48" s="10"/>
      <c r="E48" s="11">
        <f>SUM(E41:E44)</f>
        <v>2970</v>
      </c>
    </row>
    <row r="49" spans="3:6" x14ac:dyDescent="0.2">
      <c r="C49" s="41" t="s">
        <v>14</v>
      </c>
      <c r="D49" s="35"/>
      <c r="E49" s="260" t="s">
        <v>6</v>
      </c>
    </row>
    <row r="50" spans="3:6" x14ac:dyDescent="0.2">
      <c r="C50" s="5" t="s">
        <v>8</v>
      </c>
      <c r="D50" s="12"/>
      <c r="E50" s="25">
        <f>37.5*60*0.4</f>
        <v>900</v>
      </c>
    </row>
    <row r="51" spans="3:6" x14ac:dyDescent="0.2">
      <c r="C51" s="5" t="s">
        <v>9</v>
      </c>
      <c r="D51" s="12"/>
      <c r="E51" s="25">
        <f>37.5/5*60*0.4*3</f>
        <v>540</v>
      </c>
    </row>
    <row r="52" spans="3:6" x14ac:dyDescent="0.2">
      <c r="C52" s="5" t="s">
        <v>10</v>
      </c>
      <c r="D52" s="12"/>
      <c r="E52" s="25">
        <f>37.5*60*1.5*0.4</f>
        <v>1350</v>
      </c>
    </row>
    <row r="53" spans="3:6" x14ac:dyDescent="0.2">
      <c r="C53" s="5" t="s">
        <v>11</v>
      </c>
      <c r="D53" s="12"/>
      <c r="E53" s="25">
        <f>37.5/5*60*0.4</f>
        <v>180</v>
      </c>
    </row>
    <row r="54" spans="3:6" x14ac:dyDescent="0.2">
      <c r="C54" s="5" t="s">
        <v>12</v>
      </c>
      <c r="D54" s="12" t="s">
        <v>323</v>
      </c>
      <c r="E54" s="81">
        <f>37.5/5*60</f>
        <v>450</v>
      </c>
    </row>
    <row r="55" spans="3:6" x14ac:dyDescent="0.2">
      <c r="C55" s="5" t="s">
        <v>13</v>
      </c>
      <c r="D55" s="12" t="s">
        <v>323</v>
      </c>
      <c r="E55" s="81">
        <f>37.5*60*2</f>
        <v>4500</v>
      </c>
    </row>
    <row r="56" spans="3:6" x14ac:dyDescent="0.2">
      <c r="C56" s="68" t="s">
        <v>5</v>
      </c>
      <c r="D56" s="10"/>
      <c r="E56" s="11">
        <f>SUM(E50:E53)</f>
        <v>2970</v>
      </c>
    </row>
    <row r="57" spans="3:6" ht="21" x14ac:dyDescent="0.25">
      <c r="C57" s="166" t="s">
        <v>99</v>
      </c>
      <c r="D57" s="211"/>
      <c r="E57" s="212">
        <f>E39+E48</f>
        <v>2989.5</v>
      </c>
    </row>
    <row r="59" spans="3:6" ht="24" x14ac:dyDescent="0.3">
      <c r="C59" s="208"/>
      <c r="D59" s="91"/>
      <c r="E59" s="19"/>
      <c r="F59" s="91"/>
    </row>
    <row r="60" spans="3:6" ht="24" x14ac:dyDescent="0.3">
      <c r="C60" s="123" t="s">
        <v>285</v>
      </c>
      <c r="D60" s="35"/>
      <c r="E60" s="37"/>
      <c r="F60" s="19"/>
    </row>
    <row r="61" spans="3:6" ht="19" x14ac:dyDescent="0.25">
      <c r="C61" s="210" t="s">
        <v>85</v>
      </c>
      <c r="D61" s="207"/>
      <c r="E61" s="209" t="s">
        <v>275</v>
      </c>
      <c r="F61" s="19"/>
    </row>
    <row r="62" spans="3:6" x14ac:dyDescent="0.2">
      <c r="C62" s="5" t="s">
        <v>1</v>
      </c>
      <c r="D62" s="12"/>
      <c r="E62" s="25"/>
      <c r="F62" s="19"/>
    </row>
    <row r="63" spans="3:6" x14ac:dyDescent="0.2">
      <c r="C63" s="5" t="s">
        <v>2</v>
      </c>
      <c r="D63" s="12"/>
      <c r="E63" s="25">
        <v>4.5</v>
      </c>
      <c r="F63" s="19"/>
    </row>
    <row r="64" spans="3:6" x14ac:dyDescent="0.2">
      <c r="C64" s="5" t="s">
        <v>272</v>
      </c>
      <c r="D64" s="12"/>
      <c r="E64" s="25">
        <v>4.5</v>
      </c>
      <c r="F64" s="19"/>
    </row>
    <row r="65" spans="3:6" x14ac:dyDescent="0.2">
      <c r="C65" s="5" t="s">
        <v>273</v>
      </c>
      <c r="D65" s="12"/>
      <c r="E65" s="25">
        <v>0.5</v>
      </c>
      <c r="F65" s="19"/>
    </row>
    <row r="66" spans="3:6" x14ac:dyDescent="0.2">
      <c r="C66" s="68" t="s">
        <v>255</v>
      </c>
      <c r="D66" s="69"/>
      <c r="E66" s="11">
        <f>SUM(E63:E65)</f>
        <v>9.5</v>
      </c>
      <c r="F66" s="19"/>
    </row>
    <row r="67" spans="3:6" ht="19" x14ac:dyDescent="0.25">
      <c r="C67" s="210" t="s">
        <v>84</v>
      </c>
      <c r="D67" s="35"/>
      <c r="E67" s="37"/>
      <c r="F67" s="19"/>
    </row>
    <row r="68" spans="3:6" x14ac:dyDescent="0.2">
      <c r="C68" s="5" t="s">
        <v>98</v>
      </c>
      <c r="D68" s="12"/>
      <c r="E68" s="25">
        <v>5</v>
      </c>
      <c r="F68" s="19"/>
    </row>
    <row r="69" spans="3:6" x14ac:dyDescent="0.2">
      <c r="C69" s="5" t="s">
        <v>117</v>
      </c>
      <c r="D69" s="12"/>
      <c r="E69" s="25">
        <v>1</v>
      </c>
      <c r="F69" s="19"/>
    </row>
    <row r="70" spans="3:6" x14ac:dyDescent="0.2">
      <c r="C70" s="49" t="s">
        <v>40</v>
      </c>
      <c r="D70" s="12"/>
      <c r="E70" s="25">
        <f>E41</f>
        <v>900</v>
      </c>
      <c r="F70" s="19"/>
    </row>
    <row r="71" spans="3:6" x14ac:dyDescent="0.2">
      <c r="C71" s="49" t="s">
        <v>41</v>
      </c>
      <c r="D71" s="12"/>
      <c r="E71" s="25">
        <f>E42</f>
        <v>540</v>
      </c>
      <c r="F71" s="19"/>
    </row>
    <row r="72" spans="3:6" x14ac:dyDescent="0.2">
      <c r="C72" s="49" t="s">
        <v>10</v>
      </c>
      <c r="D72" s="12"/>
      <c r="E72" s="25">
        <f>E43</f>
        <v>1350</v>
      </c>
      <c r="F72" s="19"/>
    </row>
    <row r="73" spans="3:6" x14ac:dyDescent="0.2">
      <c r="C73" s="49" t="s">
        <v>42</v>
      </c>
      <c r="D73" s="12"/>
      <c r="E73" s="25">
        <f>E44</f>
        <v>180</v>
      </c>
      <c r="F73" s="19"/>
    </row>
    <row r="74" spans="3:6" x14ac:dyDescent="0.2">
      <c r="C74" s="48" t="s">
        <v>86</v>
      </c>
      <c r="D74" s="32"/>
      <c r="E74" s="33">
        <f>SUM(E68:E73)</f>
        <v>2976</v>
      </c>
      <c r="F74" s="19"/>
    </row>
    <row r="75" spans="3:6" ht="21" x14ac:dyDescent="0.25">
      <c r="C75" s="213" t="s">
        <v>274</v>
      </c>
      <c r="D75" s="211"/>
      <c r="E75" s="212">
        <f>E66+E74</f>
        <v>2985.5</v>
      </c>
      <c r="F75" s="19"/>
    </row>
    <row r="76" spans="3:6" x14ac:dyDescent="0.2">
      <c r="F76" s="19"/>
    </row>
    <row r="77" spans="3:6" ht="24" x14ac:dyDescent="0.3">
      <c r="C77" s="123" t="s">
        <v>322</v>
      </c>
      <c r="D77" s="35"/>
      <c r="E77" s="37"/>
      <c r="F77" s="19"/>
    </row>
    <row r="78" spans="3:6" ht="19" x14ac:dyDescent="0.25">
      <c r="C78" s="210" t="s">
        <v>85</v>
      </c>
      <c r="D78" s="207"/>
      <c r="E78" s="209" t="s">
        <v>275</v>
      </c>
      <c r="F78" s="19"/>
    </row>
    <row r="79" spans="3:6" x14ac:dyDescent="0.2">
      <c r="C79" s="5" t="s">
        <v>1</v>
      </c>
      <c r="D79" s="12"/>
      <c r="E79" s="25"/>
      <c r="F79" s="19"/>
    </row>
    <row r="80" spans="3:6" x14ac:dyDescent="0.2">
      <c r="C80" s="5" t="s">
        <v>2</v>
      </c>
      <c r="D80" s="12"/>
      <c r="E80" s="25">
        <v>4.5</v>
      </c>
      <c r="F80" s="19"/>
    </row>
    <row r="81" spans="3:6" x14ac:dyDescent="0.2">
      <c r="C81" s="5" t="s">
        <v>272</v>
      </c>
      <c r="D81" s="12"/>
      <c r="E81" s="25">
        <v>4.5</v>
      </c>
      <c r="F81" s="19"/>
    </row>
    <row r="82" spans="3:6" x14ac:dyDescent="0.2">
      <c r="C82" s="5" t="s">
        <v>273</v>
      </c>
      <c r="D82" s="12"/>
      <c r="E82" s="25">
        <v>0.5</v>
      </c>
      <c r="F82" s="19"/>
    </row>
    <row r="83" spans="3:6" x14ac:dyDescent="0.2">
      <c r="C83" s="68" t="s">
        <v>255</v>
      </c>
      <c r="D83" s="69"/>
      <c r="E83" s="11">
        <f>SUM(E80:E82)</f>
        <v>9.5</v>
      </c>
      <c r="F83" s="19"/>
    </row>
    <row r="84" spans="3:6" ht="19" x14ac:dyDescent="0.25">
      <c r="C84" s="210" t="s">
        <v>84</v>
      </c>
      <c r="D84" s="35"/>
      <c r="E84" s="37"/>
      <c r="F84" s="19"/>
    </row>
    <row r="85" spans="3:6" x14ac:dyDescent="0.2">
      <c r="C85" s="5" t="s">
        <v>98</v>
      </c>
      <c r="D85" s="12"/>
      <c r="E85" s="25">
        <v>5</v>
      </c>
      <c r="F85" s="19"/>
    </row>
    <row r="86" spans="3:6" x14ac:dyDescent="0.2">
      <c r="C86" s="5" t="s">
        <v>117</v>
      </c>
      <c r="D86" s="12"/>
      <c r="E86" s="25">
        <v>1</v>
      </c>
    </row>
    <row r="87" spans="3:6" x14ac:dyDescent="0.2">
      <c r="C87" s="68" t="s">
        <v>255</v>
      </c>
      <c r="D87" s="10"/>
      <c r="E87" s="11">
        <f>SUM(E85:E86)</f>
        <v>6</v>
      </c>
      <c r="F87" s="19"/>
    </row>
    <row r="88" spans="3:6" ht="19" x14ac:dyDescent="0.25">
      <c r="C88" s="210" t="s">
        <v>24</v>
      </c>
      <c r="D88" s="159"/>
      <c r="E88" s="37"/>
      <c r="F88" s="19"/>
    </row>
    <row r="89" spans="3:6" x14ac:dyDescent="0.2">
      <c r="C89" s="49" t="s">
        <v>40</v>
      </c>
      <c r="D89" s="12"/>
      <c r="E89" s="25">
        <f>E50</f>
        <v>900</v>
      </c>
      <c r="F89" s="19"/>
    </row>
    <row r="90" spans="3:6" x14ac:dyDescent="0.2">
      <c r="C90" s="49" t="s">
        <v>41</v>
      </c>
      <c r="D90" s="12"/>
      <c r="E90" s="25">
        <f>E51</f>
        <v>540</v>
      </c>
      <c r="F90" s="19"/>
    </row>
    <row r="91" spans="3:6" x14ac:dyDescent="0.2">
      <c r="C91" s="49" t="s">
        <v>10</v>
      </c>
      <c r="D91" s="12"/>
      <c r="E91" s="25">
        <f>E52</f>
        <v>1350</v>
      </c>
      <c r="F91" s="19"/>
    </row>
    <row r="92" spans="3:6" x14ac:dyDescent="0.2">
      <c r="C92" s="49" t="s">
        <v>42</v>
      </c>
      <c r="D92" s="12"/>
      <c r="E92" s="25">
        <f>E53</f>
        <v>180</v>
      </c>
      <c r="F92" s="19"/>
    </row>
    <row r="93" spans="3:6" x14ac:dyDescent="0.2">
      <c r="C93" s="48" t="s">
        <v>86</v>
      </c>
      <c r="D93" s="32"/>
      <c r="E93" s="33">
        <f>SUM(E89:E92)</f>
        <v>2970</v>
      </c>
      <c r="F93" s="19"/>
    </row>
    <row r="94" spans="3:6" ht="21" x14ac:dyDescent="0.25">
      <c r="C94" s="213" t="s">
        <v>274</v>
      </c>
      <c r="D94" s="211"/>
      <c r="E94" s="212">
        <f>E83+E87+E93</f>
        <v>2985.5</v>
      </c>
      <c r="F94" s="19"/>
    </row>
    <row r="95" spans="3:6" x14ac:dyDescent="0.2">
      <c r="F95" s="19"/>
    </row>
    <row r="96" spans="3:6" x14ac:dyDescent="0.2">
      <c r="C96" s="22" t="s">
        <v>277</v>
      </c>
      <c r="D96" s="29"/>
      <c r="E96" s="29"/>
      <c r="F96" s="19"/>
    </row>
    <row r="97" spans="2:6" x14ac:dyDescent="0.2">
      <c r="C97" s="22" t="s">
        <v>276</v>
      </c>
      <c r="D97" s="29"/>
      <c r="E97" s="29"/>
      <c r="F97" s="19"/>
    </row>
    <row r="98" spans="2:6" x14ac:dyDescent="0.2">
      <c r="C98" s="22" t="s">
        <v>278</v>
      </c>
      <c r="D98" s="29"/>
      <c r="E98" s="29"/>
      <c r="F98" s="19"/>
    </row>
    <row r="99" spans="2:6" x14ac:dyDescent="0.2">
      <c r="C99" s="29" t="s">
        <v>279</v>
      </c>
      <c r="D99" s="29"/>
      <c r="E99" s="29"/>
      <c r="F99" s="19"/>
    </row>
    <row r="100" spans="2:6" x14ac:dyDescent="0.2">
      <c r="C100" s="29" t="s">
        <v>280</v>
      </c>
      <c r="D100" s="29"/>
      <c r="E100" s="29"/>
      <c r="F100" s="19"/>
    </row>
    <row r="101" spans="2:6" x14ac:dyDescent="0.2">
      <c r="C101" s="22" t="s">
        <v>281</v>
      </c>
      <c r="D101" s="29"/>
      <c r="E101" s="29"/>
      <c r="F101" s="19"/>
    </row>
    <row r="102" spans="2:6" x14ac:dyDescent="0.2">
      <c r="C102" s="22" t="s">
        <v>282</v>
      </c>
      <c r="D102" s="29"/>
      <c r="E102" s="29"/>
      <c r="F102" s="19"/>
    </row>
    <row r="103" spans="2:6" x14ac:dyDescent="0.2">
      <c r="C103" s="29"/>
      <c r="D103" s="29"/>
      <c r="E103" s="29"/>
    </row>
    <row r="104" spans="2:6" x14ac:dyDescent="0.2">
      <c r="C104" s="29" t="s">
        <v>283</v>
      </c>
      <c r="D104" s="29"/>
      <c r="E104" s="29"/>
    </row>
    <row r="105" spans="2:6" x14ac:dyDescent="0.2">
      <c r="C105" s="29" t="s">
        <v>286</v>
      </c>
      <c r="D105" s="29"/>
      <c r="E105" s="29"/>
      <c r="F105" s="19"/>
    </row>
    <row r="106" spans="2:6" x14ac:dyDescent="0.2">
      <c r="C106" s="29" t="s">
        <v>287</v>
      </c>
      <c r="D106" s="29"/>
      <c r="E106" s="29"/>
      <c r="F106" s="19"/>
    </row>
    <row r="107" spans="2:6" x14ac:dyDescent="0.2">
      <c r="C107" s="29" t="s">
        <v>288</v>
      </c>
      <c r="D107" s="29"/>
      <c r="E107" s="29"/>
      <c r="F107" s="19"/>
    </row>
    <row r="108" spans="2:6" x14ac:dyDescent="0.2">
      <c r="B108" s="19"/>
      <c r="F108" s="19"/>
    </row>
    <row r="109" spans="2:6" x14ac:dyDescent="0.2">
      <c r="B109" s="19"/>
      <c r="F109" s="91"/>
    </row>
    <row r="110" spans="2:6" x14ac:dyDescent="0.2">
      <c r="B110" s="19"/>
      <c r="F110" s="19"/>
    </row>
    <row r="111" spans="2:6" x14ac:dyDescent="0.2">
      <c r="B111" s="19"/>
      <c r="F111" s="19"/>
    </row>
    <row r="112" spans="2:6" x14ac:dyDescent="0.2">
      <c r="B112" s="19"/>
      <c r="F112" s="19"/>
    </row>
    <row r="113" spans="2:6" x14ac:dyDescent="0.2">
      <c r="B113" s="19"/>
      <c r="F113" s="19"/>
    </row>
    <row r="114" spans="2:6" x14ac:dyDescent="0.2">
      <c r="B114" s="19"/>
      <c r="F114" s="19"/>
    </row>
    <row r="115" spans="2:6" x14ac:dyDescent="0.2">
      <c r="B115" s="19"/>
      <c r="F115" s="19"/>
    </row>
    <row r="116" spans="2:6" x14ac:dyDescent="0.2">
      <c r="B116" s="19"/>
      <c r="F116" s="19"/>
    </row>
    <row r="117" spans="2:6" x14ac:dyDescent="0.2">
      <c r="B117" s="19"/>
      <c r="F117" s="19"/>
    </row>
    <row r="118" spans="2:6" x14ac:dyDescent="0.2">
      <c r="B118" s="19"/>
      <c r="F118" s="19"/>
    </row>
    <row r="119" spans="2:6" x14ac:dyDescent="0.2">
      <c r="B119" s="19"/>
      <c r="F119" s="19"/>
    </row>
    <row r="120" spans="2:6" x14ac:dyDescent="0.2">
      <c r="B120" s="19"/>
      <c r="F120" s="19"/>
    </row>
    <row r="121" spans="2:6" x14ac:dyDescent="0.2">
      <c r="B121" s="19"/>
      <c r="F121" s="19"/>
    </row>
    <row r="122" spans="2:6" x14ac:dyDescent="0.2">
      <c r="B122" s="19"/>
      <c r="C122" s="23"/>
      <c r="D122" s="19"/>
      <c r="E122" s="19"/>
      <c r="F122" s="19"/>
    </row>
    <row r="123" spans="2:6" x14ac:dyDescent="0.2">
      <c r="B123" s="19"/>
      <c r="C123" s="23"/>
      <c r="D123" s="19"/>
      <c r="E123" s="19"/>
      <c r="F123" s="19"/>
    </row>
    <row r="124" spans="2:6" x14ac:dyDescent="0.2">
      <c r="B124" s="19"/>
      <c r="C124" s="23"/>
      <c r="D124" s="19"/>
      <c r="E124" s="19"/>
      <c r="F124" s="19"/>
    </row>
    <row r="125" spans="2:6" x14ac:dyDescent="0.2">
      <c r="B125" s="19"/>
      <c r="C125" s="19"/>
      <c r="D125" s="19"/>
      <c r="E125" s="19"/>
      <c r="F125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zoomScale="89" workbookViewId="0">
      <selection activeCell="N102" sqref="N102"/>
    </sheetView>
  </sheetViews>
  <sheetFormatPr baseColWidth="10" defaultRowHeight="16" x14ac:dyDescent="0.2"/>
  <cols>
    <col min="2" max="2" width="28.5" bestFit="1" customWidth="1"/>
    <col min="3" max="3" width="13.6640625" bestFit="1" customWidth="1"/>
    <col min="4" max="4" width="15.83203125" bestFit="1" customWidth="1"/>
    <col min="5" max="5" width="17" bestFit="1" customWidth="1"/>
    <col min="6" max="6" width="14.83203125" bestFit="1" customWidth="1"/>
    <col min="8" max="8" width="11.6640625" bestFit="1" customWidth="1"/>
  </cols>
  <sheetData>
    <row r="1" spans="2:8" ht="34" x14ac:dyDescent="0.4">
      <c r="B1" s="255" t="s">
        <v>284</v>
      </c>
      <c r="C1" s="29"/>
      <c r="D1" s="29"/>
      <c r="E1" s="29"/>
      <c r="F1" s="29"/>
      <c r="G1" s="29"/>
      <c r="H1" s="29"/>
    </row>
    <row r="2" spans="2:8" x14ac:dyDescent="0.2">
      <c r="B2" s="29"/>
      <c r="C2" s="29"/>
      <c r="D2" s="29"/>
      <c r="E2" s="29"/>
      <c r="F2" s="29"/>
      <c r="G2" s="29"/>
      <c r="H2" s="29"/>
    </row>
    <row r="3" spans="2:8" ht="21" x14ac:dyDescent="0.25">
      <c r="B3" s="127" t="s">
        <v>26</v>
      </c>
      <c r="C3" s="35"/>
      <c r="D3" s="35"/>
      <c r="E3" s="35"/>
      <c r="F3" s="35"/>
      <c r="G3" s="35"/>
      <c r="H3" s="37"/>
    </row>
    <row r="4" spans="2:8" x14ac:dyDescent="0.2">
      <c r="B4" s="24" t="s">
        <v>169</v>
      </c>
      <c r="C4" s="12"/>
      <c r="D4" s="12"/>
      <c r="E4" s="12"/>
      <c r="F4" s="12"/>
      <c r="G4" s="12"/>
      <c r="H4" s="25"/>
    </row>
    <row r="5" spans="2:8" x14ac:dyDescent="0.2">
      <c r="B5" s="26" t="s">
        <v>170</v>
      </c>
      <c r="C5" s="12"/>
      <c r="D5" s="12"/>
      <c r="E5" s="12"/>
      <c r="F5" s="12"/>
      <c r="G5" s="12"/>
      <c r="H5" s="25"/>
    </row>
    <row r="6" spans="2:8" x14ac:dyDescent="0.2">
      <c r="B6" s="24" t="s">
        <v>29</v>
      </c>
      <c r="C6" s="12"/>
      <c r="D6" s="12"/>
      <c r="E6" s="12"/>
      <c r="F6" s="12"/>
      <c r="G6" s="12"/>
      <c r="H6" s="25"/>
    </row>
    <row r="7" spans="2:8" x14ac:dyDescent="0.2">
      <c r="B7" s="24" t="s">
        <v>30</v>
      </c>
      <c r="C7" s="12"/>
      <c r="D7" s="12"/>
      <c r="E7" s="12"/>
      <c r="F7" s="12"/>
      <c r="G7" s="12"/>
      <c r="H7" s="25"/>
    </row>
    <row r="8" spans="2:8" x14ac:dyDescent="0.2">
      <c r="B8" s="24" t="s">
        <v>31</v>
      </c>
      <c r="C8" s="12"/>
      <c r="D8" s="12"/>
      <c r="E8" s="12"/>
      <c r="F8" s="12"/>
      <c r="G8" s="12"/>
      <c r="H8" s="25"/>
    </row>
    <row r="9" spans="2:8" x14ac:dyDescent="0.2">
      <c r="B9" s="24"/>
      <c r="C9" s="12"/>
      <c r="D9" s="12"/>
      <c r="E9" s="12"/>
      <c r="F9" s="12"/>
      <c r="G9" s="12"/>
      <c r="H9" s="25"/>
    </row>
    <row r="10" spans="2:8" ht="21" x14ac:dyDescent="0.25">
      <c r="B10" s="137" t="s">
        <v>171</v>
      </c>
      <c r="C10" s="136"/>
      <c r="D10" s="12"/>
      <c r="E10" s="12"/>
      <c r="F10" s="12"/>
      <c r="G10" s="12"/>
      <c r="H10" s="25"/>
    </row>
    <row r="11" spans="2:8" x14ac:dyDescent="0.2">
      <c r="B11" s="24" t="s">
        <v>54</v>
      </c>
      <c r="C11" s="12"/>
      <c r="D11" s="12"/>
      <c r="E11" s="12"/>
      <c r="F11" s="12"/>
      <c r="G11" s="12"/>
      <c r="H11" s="25"/>
    </row>
    <row r="12" spans="2:8" x14ac:dyDescent="0.2">
      <c r="B12" s="27" t="s">
        <v>55</v>
      </c>
      <c r="C12" s="14"/>
      <c r="D12" s="14"/>
      <c r="E12" s="14"/>
      <c r="F12" s="14"/>
      <c r="G12" s="14"/>
      <c r="H12" s="28"/>
    </row>
    <row r="13" spans="2:8" x14ac:dyDescent="0.2">
      <c r="B13" s="29"/>
      <c r="C13" s="29"/>
      <c r="D13" s="29"/>
      <c r="E13" s="29"/>
      <c r="F13" s="29"/>
      <c r="G13" s="29"/>
      <c r="H13" s="29"/>
    </row>
    <row r="14" spans="2:8" x14ac:dyDescent="0.2">
      <c r="B14" s="40" t="s">
        <v>25</v>
      </c>
      <c r="C14" s="261" t="s">
        <v>7</v>
      </c>
      <c r="D14" s="262"/>
      <c r="E14" s="261" t="s">
        <v>23</v>
      </c>
      <c r="F14" s="262"/>
      <c r="G14" s="261" t="s">
        <v>24</v>
      </c>
      <c r="H14" s="262"/>
    </row>
    <row r="15" spans="2:8" x14ac:dyDescent="0.2">
      <c r="B15" s="8" t="s">
        <v>21</v>
      </c>
      <c r="C15" s="12"/>
      <c r="D15" s="13">
        <v>40</v>
      </c>
      <c r="E15" s="12"/>
      <c r="F15" s="13">
        <v>12</v>
      </c>
      <c r="G15" s="12"/>
      <c r="H15" s="13">
        <v>8</v>
      </c>
    </row>
    <row r="16" spans="2:8" x14ac:dyDescent="0.2">
      <c r="B16" s="5" t="s">
        <v>16</v>
      </c>
      <c r="C16" s="12"/>
      <c r="D16" s="13">
        <v>1687.5</v>
      </c>
      <c r="E16" s="12"/>
      <c r="F16" s="13">
        <v>1687.5</v>
      </c>
      <c r="G16" s="12"/>
      <c r="H16" s="13">
        <v>1687.5</v>
      </c>
    </row>
    <row r="17" spans="2:20" x14ac:dyDescent="0.2">
      <c r="B17" s="5" t="s">
        <v>17</v>
      </c>
      <c r="C17" s="12"/>
      <c r="D17" s="13">
        <f>D15*D16</f>
        <v>67500</v>
      </c>
      <c r="E17" s="12"/>
      <c r="F17" s="13">
        <f>F15*F16</f>
        <v>20250</v>
      </c>
      <c r="G17" s="12"/>
      <c r="H17" s="13">
        <f>H15*H16</f>
        <v>13500</v>
      </c>
    </row>
    <row r="18" spans="2:20" x14ac:dyDescent="0.2">
      <c r="B18" s="5" t="s">
        <v>22</v>
      </c>
      <c r="C18" s="12"/>
      <c r="D18" s="13">
        <f>D17*60</f>
        <v>4050000</v>
      </c>
      <c r="E18" s="12"/>
      <c r="F18" s="13">
        <f>F17*60</f>
        <v>1215000</v>
      </c>
      <c r="G18" s="12"/>
      <c r="H18" s="13">
        <f>H17*60</f>
        <v>810000</v>
      </c>
    </row>
    <row r="19" spans="2:20" x14ac:dyDescent="0.2">
      <c r="B19" s="5" t="s">
        <v>18</v>
      </c>
      <c r="C19" s="12"/>
      <c r="D19" s="13">
        <v>520000</v>
      </c>
      <c r="E19" s="12"/>
      <c r="F19" s="13">
        <v>850000</v>
      </c>
      <c r="G19" s="12"/>
      <c r="H19" s="13">
        <v>780000</v>
      </c>
    </row>
    <row r="20" spans="2:20" x14ac:dyDescent="0.2">
      <c r="B20" s="5" t="s">
        <v>19</v>
      </c>
      <c r="C20" s="12"/>
      <c r="D20" s="13">
        <f>D15*D19</f>
        <v>20800000</v>
      </c>
      <c r="E20" s="12"/>
      <c r="F20" s="13">
        <f>F15*F19</f>
        <v>10200000</v>
      </c>
      <c r="G20" s="12"/>
      <c r="H20" s="13">
        <f>H15*H19</f>
        <v>6240000</v>
      </c>
    </row>
    <row r="21" spans="2:20" x14ac:dyDescent="0.2">
      <c r="B21" s="9" t="s">
        <v>20</v>
      </c>
      <c r="C21" s="14"/>
      <c r="D21" s="15">
        <f>D20/D18</f>
        <v>5.1358024691358022</v>
      </c>
      <c r="E21" s="14"/>
      <c r="F21" s="20">
        <f>F20/F18</f>
        <v>8.3950617283950617</v>
      </c>
      <c r="G21" s="14"/>
      <c r="H21" s="20">
        <f>H20/H18</f>
        <v>7.7037037037037033</v>
      </c>
    </row>
    <row r="22" spans="2:20" x14ac:dyDescent="0.2">
      <c r="B22" s="29"/>
      <c r="C22" s="29"/>
      <c r="D22" s="29"/>
      <c r="E22" s="29"/>
      <c r="F22" s="29"/>
      <c r="G22" s="29"/>
      <c r="H22" s="29"/>
    </row>
    <row r="23" spans="2:20" ht="21" x14ac:dyDescent="0.25">
      <c r="B23" s="138" t="s">
        <v>172</v>
      </c>
      <c r="C23" s="139"/>
      <c r="D23" s="139"/>
      <c r="E23" s="37"/>
      <c r="F23" s="138" t="s">
        <v>39</v>
      </c>
      <c r="G23" s="139"/>
      <c r="H23" s="143">
        <v>1</v>
      </c>
      <c r="J23" s="29" t="s">
        <v>289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x14ac:dyDescent="0.2">
      <c r="B24" s="29"/>
      <c r="C24" s="29"/>
      <c r="D24" s="29"/>
      <c r="E24" s="29"/>
      <c r="F24" s="29"/>
      <c r="G24" s="29"/>
      <c r="H24" s="29"/>
    </row>
    <row r="25" spans="2:20" x14ac:dyDescent="0.2">
      <c r="B25" s="42" t="s">
        <v>7</v>
      </c>
      <c r="C25" s="43" t="s">
        <v>39</v>
      </c>
      <c r="D25" s="161">
        <f>$H$23</f>
        <v>1</v>
      </c>
      <c r="E25" s="30"/>
      <c r="F25" s="30"/>
      <c r="G25" s="29"/>
      <c r="H25" s="29"/>
    </row>
    <row r="26" spans="2:20" x14ac:dyDescent="0.2">
      <c r="B26" s="45" t="s">
        <v>1</v>
      </c>
      <c r="C26" s="46" t="s">
        <v>35</v>
      </c>
      <c r="D26" s="46" t="s">
        <v>36</v>
      </c>
      <c r="E26" s="46" t="s">
        <v>37</v>
      </c>
      <c r="F26" s="47" t="s">
        <v>38</v>
      </c>
      <c r="G26" s="29"/>
      <c r="H26" s="29"/>
      <c r="J26" s="29" t="s">
        <v>192</v>
      </c>
      <c r="K26" s="29"/>
      <c r="L26" s="29"/>
      <c r="M26" s="29"/>
    </row>
    <row r="27" spans="2:20" x14ac:dyDescent="0.2">
      <c r="B27" s="48" t="s">
        <v>32</v>
      </c>
      <c r="C27" s="22">
        <v>4.5</v>
      </c>
      <c r="D27" s="22">
        <f>$D$21</f>
        <v>5.1358024691358022</v>
      </c>
      <c r="E27" s="22">
        <f>C27*D25</f>
        <v>4.5</v>
      </c>
      <c r="F27" s="13">
        <f>D27*E27</f>
        <v>23.111111111111111</v>
      </c>
      <c r="G27" s="29"/>
      <c r="H27" s="29"/>
      <c r="J27" s="29" t="s">
        <v>193</v>
      </c>
      <c r="K27" s="29"/>
      <c r="L27" s="29"/>
      <c r="M27" s="29"/>
    </row>
    <row r="28" spans="2:20" x14ac:dyDescent="0.2">
      <c r="B28" s="49" t="s">
        <v>3</v>
      </c>
      <c r="C28" s="22">
        <v>10</v>
      </c>
      <c r="D28" s="22">
        <f t="shared" ref="D28:D30" si="0">$D$21</f>
        <v>5.1358024691358022</v>
      </c>
      <c r="E28" s="22">
        <f>C28*D25*2</f>
        <v>20</v>
      </c>
      <c r="F28" s="13">
        <f>D28*E28</f>
        <v>102.71604938271605</v>
      </c>
      <c r="G28" s="29"/>
      <c r="H28" s="29"/>
      <c r="J28" s="29" t="s">
        <v>194</v>
      </c>
      <c r="K28" s="29"/>
      <c r="L28" s="29"/>
      <c r="M28" s="29"/>
      <c r="N28" s="31"/>
      <c r="O28" s="31"/>
      <c r="P28" s="31"/>
    </row>
    <row r="29" spans="2:20" x14ac:dyDescent="0.2">
      <c r="B29" s="49" t="s">
        <v>33</v>
      </c>
      <c r="C29" s="22">
        <v>4.5</v>
      </c>
      <c r="D29" s="22">
        <f t="shared" si="0"/>
        <v>5.1358024691358022</v>
      </c>
      <c r="E29" s="22">
        <f>C29*D25</f>
        <v>4.5</v>
      </c>
      <c r="F29" s="13">
        <f>D29*E29</f>
        <v>23.111111111111111</v>
      </c>
      <c r="G29" s="29"/>
      <c r="H29" s="29"/>
      <c r="J29" s="29" t="s">
        <v>195</v>
      </c>
      <c r="K29" s="29"/>
      <c r="L29" s="29"/>
      <c r="M29" s="29"/>
      <c r="N29" s="31"/>
      <c r="O29" s="31"/>
      <c r="P29" s="31"/>
    </row>
    <row r="30" spans="2:20" x14ac:dyDescent="0.2">
      <c r="B30" s="50" t="s">
        <v>34</v>
      </c>
      <c r="C30" s="22">
        <v>0.5</v>
      </c>
      <c r="D30" s="22">
        <f t="shared" si="0"/>
        <v>5.1358024691358022</v>
      </c>
      <c r="E30" s="22">
        <f>C30*D25</f>
        <v>0.5</v>
      </c>
      <c r="F30" s="13">
        <f>D30*E30</f>
        <v>2.5679012345679011</v>
      </c>
      <c r="G30" s="29"/>
      <c r="H30" s="29"/>
      <c r="J30" s="29" t="s">
        <v>196</v>
      </c>
      <c r="K30" s="29"/>
      <c r="L30" s="29"/>
      <c r="M30" s="29"/>
    </row>
    <row r="31" spans="2:20" x14ac:dyDescent="0.2">
      <c r="B31" s="51" t="s">
        <v>5</v>
      </c>
      <c r="C31" s="36">
        <f>SUM(C27:C30)</f>
        <v>19.5</v>
      </c>
      <c r="D31" s="36"/>
      <c r="E31" s="36">
        <f>SUM(E27:E30)</f>
        <v>29.5</v>
      </c>
      <c r="F31" s="44">
        <f>SUM(F27:F30)</f>
        <v>151.50617283950618</v>
      </c>
      <c r="G31" s="29"/>
      <c r="H31" s="29"/>
    </row>
    <row r="32" spans="2:20" x14ac:dyDescent="0.2">
      <c r="B32" s="29"/>
      <c r="C32" s="29"/>
      <c r="D32" s="29"/>
      <c r="E32" s="29"/>
      <c r="F32" s="29"/>
      <c r="G32" s="29"/>
      <c r="H32" s="29"/>
    </row>
    <row r="33" spans="1:16" x14ac:dyDescent="0.2">
      <c r="B33" s="42" t="s">
        <v>23</v>
      </c>
      <c r="C33" s="43" t="s">
        <v>39</v>
      </c>
      <c r="D33" s="161">
        <f>$H$23</f>
        <v>1</v>
      </c>
      <c r="E33" s="30"/>
      <c r="F33" s="30"/>
      <c r="G33" s="29"/>
      <c r="H33" s="29"/>
    </row>
    <row r="34" spans="1:16" x14ac:dyDescent="0.2">
      <c r="B34" s="55" t="s">
        <v>1</v>
      </c>
      <c r="C34" s="46" t="s">
        <v>35</v>
      </c>
      <c r="D34" s="46" t="s">
        <v>36</v>
      </c>
      <c r="E34" s="46" t="s">
        <v>37</v>
      </c>
      <c r="F34" s="47" t="s">
        <v>38</v>
      </c>
      <c r="G34" s="29"/>
      <c r="H34" s="29"/>
      <c r="J34" s="29" t="s">
        <v>197</v>
      </c>
      <c r="K34" s="29"/>
      <c r="L34" s="29"/>
      <c r="M34" s="29"/>
      <c r="N34" s="29"/>
      <c r="O34" s="31"/>
      <c r="P34" s="31"/>
    </row>
    <row r="35" spans="1:16" x14ac:dyDescent="0.2">
      <c r="A35" t="s">
        <v>47</v>
      </c>
      <c r="B35" s="48" t="s">
        <v>40</v>
      </c>
      <c r="C35" s="57">
        <f>37.5*60*0.4</f>
        <v>900</v>
      </c>
      <c r="D35" s="57">
        <f>$F$21</f>
        <v>8.3950617283950617</v>
      </c>
      <c r="E35" s="57">
        <f>C35*D33</f>
        <v>900</v>
      </c>
      <c r="F35" s="58">
        <f>D35*E35</f>
        <v>7555.5555555555557</v>
      </c>
      <c r="G35" s="29"/>
      <c r="H35" s="29"/>
      <c r="J35" s="29" t="s">
        <v>198</v>
      </c>
      <c r="K35" s="29"/>
      <c r="L35" s="29"/>
      <c r="M35" s="29"/>
      <c r="N35" s="29"/>
      <c r="O35" s="31"/>
      <c r="P35" s="31"/>
    </row>
    <row r="36" spans="1:16" x14ac:dyDescent="0.2">
      <c r="A36" t="s">
        <v>43</v>
      </c>
      <c r="B36" s="49" t="s">
        <v>41</v>
      </c>
      <c r="C36" s="22">
        <f>37.5/5*60*0.4*3</f>
        <v>540</v>
      </c>
      <c r="D36" s="22">
        <f t="shared" ref="D36:D39" si="1">$F$21</f>
        <v>8.3950617283950617</v>
      </c>
      <c r="E36" s="22">
        <f>C36*D33</f>
        <v>540</v>
      </c>
      <c r="F36" s="13">
        <f>D36*E36</f>
        <v>4533.333333333333</v>
      </c>
      <c r="G36" s="29"/>
      <c r="H36" s="29"/>
      <c r="J36" s="29" t="s">
        <v>199</v>
      </c>
      <c r="K36" s="29"/>
      <c r="L36" s="29"/>
      <c r="M36" s="29"/>
      <c r="N36" s="29"/>
      <c r="O36" s="31"/>
      <c r="P36" s="31"/>
    </row>
    <row r="37" spans="1:16" x14ac:dyDescent="0.2">
      <c r="A37" t="s">
        <v>141</v>
      </c>
      <c r="B37" s="49" t="s">
        <v>10</v>
      </c>
      <c r="C37" s="22">
        <f>37.5*60*1.5*0.4</f>
        <v>1350</v>
      </c>
      <c r="D37" s="22">
        <f t="shared" si="1"/>
        <v>8.3950617283950617</v>
      </c>
      <c r="E37" s="22">
        <f>C37*D33</f>
        <v>1350</v>
      </c>
      <c r="F37" s="13">
        <f>D37*E37</f>
        <v>11333.333333333334</v>
      </c>
      <c r="G37" s="29"/>
      <c r="H37" s="29"/>
      <c r="J37" s="29" t="s">
        <v>200</v>
      </c>
      <c r="K37" s="29"/>
      <c r="L37" s="29"/>
      <c r="M37" s="29"/>
      <c r="N37" s="29"/>
      <c r="O37" s="31"/>
      <c r="P37" s="31"/>
    </row>
    <row r="38" spans="1:16" x14ac:dyDescent="0.2">
      <c r="A38" t="s">
        <v>45</v>
      </c>
      <c r="B38" s="49" t="s">
        <v>42</v>
      </c>
      <c r="C38" s="22">
        <f>37.5/5*60*0.4</f>
        <v>180</v>
      </c>
      <c r="D38" s="22">
        <f t="shared" si="1"/>
        <v>8.3950617283950617</v>
      </c>
      <c r="E38" s="22">
        <f>C38*D33</f>
        <v>180</v>
      </c>
      <c r="F38" s="13">
        <f>D38*E38</f>
        <v>1511.1111111111111</v>
      </c>
      <c r="G38" s="29"/>
      <c r="H38" s="29"/>
      <c r="J38" s="29" t="s">
        <v>201</v>
      </c>
      <c r="K38" s="29"/>
      <c r="L38" s="29"/>
      <c r="M38" s="29"/>
      <c r="N38" s="29"/>
      <c r="O38" s="31"/>
      <c r="P38" s="31"/>
    </row>
    <row r="39" spans="1:16" x14ac:dyDescent="0.2">
      <c r="B39" s="49" t="s">
        <v>13</v>
      </c>
      <c r="C39" s="59" t="s">
        <v>48</v>
      </c>
      <c r="D39" s="65">
        <f t="shared" si="1"/>
        <v>8.3950617283950617</v>
      </c>
      <c r="E39" s="59" t="s">
        <v>48</v>
      </c>
      <c r="F39" s="60" t="s">
        <v>48</v>
      </c>
      <c r="G39" s="29"/>
      <c r="H39" s="29"/>
      <c r="I39" s="135"/>
      <c r="J39" s="31"/>
      <c r="K39" s="31"/>
      <c r="L39" s="31"/>
      <c r="M39" s="31"/>
      <c r="N39" s="31"/>
      <c r="O39" s="31"/>
      <c r="P39" s="31"/>
    </row>
    <row r="40" spans="1:16" x14ac:dyDescent="0.2">
      <c r="B40" s="51" t="s">
        <v>5</v>
      </c>
      <c r="C40" s="56">
        <f>SUM(C35:C39)</f>
        <v>2970</v>
      </c>
      <c r="D40" s="36"/>
      <c r="E40" s="36">
        <f>SUM(E35:E39)</f>
        <v>2970</v>
      </c>
      <c r="F40" s="44">
        <f>SUM(F35:F39)</f>
        <v>24933.333333333332</v>
      </c>
      <c r="G40" s="29"/>
      <c r="H40" s="29"/>
      <c r="L40" s="31"/>
      <c r="M40" s="31"/>
      <c r="N40" s="31"/>
      <c r="O40" s="31"/>
      <c r="P40" s="31"/>
    </row>
    <row r="41" spans="1:16" x14ac:dyDescent="0.2">
      <c r="B41" s="29"/>
      <c r="C41" s="29"/>
      <c r="D41" s="29"/>
      <c r="E41" s="29"/>
      <c r="F41" s="29"/>
      <c r="G41" s="29"/>
      <c r="H41" s="29"/>
      <c r="L41" s="31"/>
      <c r="M41" s="31"/>
      <c r="N41" s="31"/>
      <c r="O41" s="31"/>
      <c r="P41" s="31"/>
    </row>
    <row r="42" spans="1:16" x14ac:dyDescent="0.2">
      <c r="B42" s="61" t="s">
        <v>24</v>
      </c>
      <c r="C42" s="43" t="s">
        <v>39</v>
      </c>
      <c r="D42" s="161">
        <f>$H$23</f>
        <v>1</v>
      </c>
      <c r="E42" s="30"/>
      <c r="F42" s="30"/>
      <c r="G42" s="29"/>
      <c r="H42" s="29"/>
      <c r="J42" s="31"/>
      <c r="K42" s="31"/>
      <c r="L42" s="31"/>
      <c r="M42" s="31"/>
      <c r="N42" s="31"/>
      <c r="O42" s="31"/>
      <c r="P42" s="31"/>
    </row>
    <row r="43" spans="1:16" x14ac:dyDescent="0.2">
      <c r="B43" s="50" t="s">
        <v>1</v>
      </c>
      <c r="C43" s="52" t="s">
        <v>35</v>
      </c>
      <c r="D43" s="46" t="s">
        <v>36</v>
      </c>
      <c r="E43" s="46" t="s">
        <v>37</v>
      </c>
      <c r="F43" s="47" t="s">
        <v>38</v>
      </c>
      <c r="G43" s="29"/>
      <c r="H43" s="29"/>
      <c r="J43" s="31"/>
      <c r="K43" s="31"/>
      <c r="L43" s="31"/>
      <c r="M43" s="31"/>
      <c r="N43" s="31"/>
      <c r="O43" s="31"/>
      <c r="P43" s="31"/>
    </row>
    <row r="44" spans="1:16" x14ac:dyDescent="0.2">
      <c r="A44" t="s">
        <v>47</v>
      </c>
      <c r="B44" s="48" t="s">
        <v>40</v>
      </c>
      <c r="C44" s="63">
        <f>37.5*60*0.4</f>
        <v>900</v>
      </c>
      <c r="D44" s="22">
        <f>$H$21</f>
        <v>7.7037037037037033</v>
      </c>
      <c r="E44" s="22">
        <f>C44*D42</f>
        <v>900</v>
      </c>
      <c r="F44" s="13">
        <f>D44*E44</f>
        <v>6933.333333333333</v>
      </c>
      <c r="G44" s="29"/>
      <c r="H44" s="29"/>
    </row>
    <row r="45" spans="1:16" x14ac:dyDescent="0.2">
      <c r="A45" t="s">
        <v>43</v>
      </c>
      <c r="B45" s="49" t="s">
        <v>41</v>
      </c>
      <c r="C45" s="63">
        <f>37.5/5*60*0.4*3</f>
        <v>540</v>
      </c>
      <c r="D45" s="22">
        <f t="shared" ref="D45:D48" si="2">$H$21</f>
        <v>7.7037037037037033</v>
      </c>
      <c r="E45" s="22">
        <f>C45*D42</f>
        <v>540</v>
      </c>
      <c r="F45" s="13">
        <f>D45*E45</f>
        <v>4160</v>
      </c>
      <c r="G45" s="29"/>
      <c r="H45" s="29"/>
    </row>
    <row r="46" spans="1:16" x14ac:dyDescent="0.2">
      <c r="A46" t="s">
        <v>141</v>
      </c>
      <c r="B46" s="49" t="s">
        <v>10</v>
      </c>
      <c r="C46" s="63">
        <f>37.5*60*1.5*0.4</f>
        <v>1350</v>
      </c>
      <c r="D46" s="22">
        <f t="shared" si="2"/>
        <v>7.7037037037037033</v>
      </c>
      <c r="E46" s="22">
        <f>C46*D42</f>
        <v>1350</v>
      </c>
      <c r="F46" s="13">
        <f>D46*E46</f>
        <v>10400</v>
      </c>
      <c r="G46" s="29"/>
      <c r="H46" s="29"/>
    </row>
    <row r="47" spans="1:16" x14ac:dyDescent="0.2">
      <c r="A47" t="s">
        <v>45</v>
      </c>
      <c r="B47" s="49" t="s">
        <v>42</v>
      </c>
      <c r="C47" s="63">
        <f>37.5/5*60*0.4</f>
        <v>180</v>
      </c>
      <c r="D47" s="22">
        <f t="shared" si="2"/>
        <v>7.7037037037037033</v>
      </c>
      <c r="E47" s="22">
        <f>C47*D42</f>
        <v>180</v>
      </c>
      <c r="F47" s="13">
        <f>D47*E47</f>
        <v>1386.6666666666665</v>
      </c>
      <c r="G47" s="29"/>
      <c r="H47" s="29"/>
    </row>
    <row r="48" spans="1:16" x14ac:dyDescent="0.2">
      <c r="B48" s="49" t="s">
        <v>13</v>
      </c>
      <c r="C48" s="64" t="s">
        <v>48</v>
      </c>
      <c r="D48" s="22">
        <f t="shared" si="2"/>
        <v>7.7037037037037033</v>
      </c>
      <c r="E48" s="66" t="s">
        <v>48</v>
      </c>
      <c r="F48" s="67" t="s">
        <v>48</v>
      </c>
      <c r="G48" s="29"/>
      <c r="H48" s="29"/>
    </row>
    <row r="49" spans="2:8" x14ac:dyDescent="0.2">
      <c r="B49" s="51" t="s">
        <v>5</v>
      </c>
      <c r="C49" s="54">
        <f>SUM(C44:C48)</f>
        <v>2970</v>
      </c>
      <c r="D49" s="36"/>
      <c r="E49" s="36">
        <f>SUM(E44:E48)</f>
        <v>2970</v>
      </c>
      <c r="F49" s="44">
        <f>SUM(F44:F48)</f>
        <v>22880</v>
      </c>
      <c r="G49" s="29"/>
      <c r="H49" s="29"/>
    </row>
    <row r="50" spans="2:8" x14ac:dyDescent="0.2">
      <c r="B50" s="29"/>
      <c r="C50" s="29"/>
      <c r="D50" s="29"/>
      <c r="E50" s="29"/>
      <c r="F50" s="29"/>
      <c r="G50" s="29"/>
      <c r="H50" s="29"/>
    </row>
    <row r="51" spans="2:8" x14ac:dyDescent="0.2">
      <c r="B51" s="40" t="s">
        <v>51</v>
      </c>
      <c r="C51" s="39" t="s">
        <v>39</v>
      </c>
      <c r="D51" s="161">
        <v>1</v>
      </c>
      <c r="E51" s="29"/>
      <c r="F51" s="29"/>
      <c r="G51" s="29"/>
      <c r="H51" s="29"/>
    </row>
    <row r="52" spans="2:8" x14ac:dyDescent="0.2">
      <c r="B52" s="26" t="s">
        <v>173</v>
      </c>
      <c r="C52" s="12"/>
      <c r="D52" s="25"/>
      <c r="E52" s="29"/>
      <c r="F52" s="29"/>
      <c r="G52" s="29"/>
      <c r="H52" s="29"/>
    </row>
    <row r="53" spans="2:8" x14ac:dyDescent="0.2">
      <c r="B53" s="26" t="s">
        <v>174</v>
      </c>
      <c r="C53" s="12"/>
      <c r="D53" s="25"/>
      <c r="E53" s="29"/>
      <c r="F53" s="29"/>
      <c r="G53" s="29"/>
      <c r="H53" s="29"/>
    </row>
    <row r="54" spans="2:8" x14ac:dyDescent="0.2">
      <c r="B54" s="26" t="s">
        <v>175</v>
      </c>
      <c r="C54" s="12"/>
      <c r="D54" s="25"/>
      <c r="E54" s="29"/>
      <c r="F54" s="29"/>
      <c r="G54" s="29"/>
      <c r="H54" s="29"/>
    </row>
    <row r="55" spans="2:8" x14ac:dyDescent="0.2">
      <c r="B55" s="26" t="s">
        <v>176</v>
      </c>
      <c r="C55" s="12"/>
      <c r="D55" s="25"/>
      <c r="E55" s="29"/>
      <c r="F55" s="29"/>
      <c r="G55" s="29"/>
      <c r="H55" s="29"/>
    </row>
    <row r="56" spans="2:8" x14ac:dyDescent="0.2">
      <c r="B56" s="41" t="s">
        <v>50</v>
      </c>
      <c r="C56" s="35"/>
      <c r="D56" s="44">
        <v>200000</v>
      </c>
      <c r="E56" s="29"/>
      <c r="F56" s="29"/>
      <c r="G56" s="29"/>
      <c r="H56" s="29"/>
    </row>
    <row r="57" spans="2:8" x14ac:dyDescent="0.2">
      <c r="B57" s="41" t="s">
        <v>53</v>
      </c>
      <c r="C57" s="35"/>
      <c r="D57" s="44">
        <f>D56*D51</f>
        <v>200000</v>
      </c>
      <c r="E57" s="29"/>
      <c r="F57" s="29"/>
      <c r="G57" s="29"/>
      <c r="H57" s="29"/>
    </row>
    <row r="58" spans="2:8" x14ac:dyDescent="0.2">
      <c r="B58" s="29"/>
      <c r="C58" s="29"/>
      <c r="D58" s="29"/>
      <c r="E58" s="29"/>
      <c r="F58" s="29"/>
      <c r="G58" s="29"/>
      <c r="H58" s="29"/>
    </row>
    <row r="59" spans="2:8" ht="21" x14ac:dyDescent="0.25">
      <c r="B59" s="127" t="s">
        <v>52</v>
      </c>
      <c r="C59" s="35"/>
      <c r="D59" s="35"/>
      <c r="E59" s="35"/>
      <c r="F59" s="37"/>
      <c r="G59" s="29"/>
      <c r="H59" s="29"/>
    </row>
    <row r="60" spans="2:8" x14ac:dyDescent="0.2">
      <c r="B60" s="26" t="s">
        <v>81</v>
      </c>
      <c r="C60" s="12"/>
      <c r="D60" s="12"/>
      <c r="E60" s="12"/>
      <c r="F60" s="25"/>
      <c r="G60" s="29"/>
      <c r="H60" s="29"/>
    </row>
    <row r="61" spans="2:8" x14ac:dyDescent="0.2">
      <c r="B61" s="26" t="s">
        <v>80</v>
      </c>
      <c r="C61" s="12"/>
      <c r="D61" s="12"/>
      <c r="E61" s="12"/>
      <c r="F61" s="25"/>
      <c r="G61" s="29"/>
      <c r="H61" s="29"/>
    </row>
    <row r="62" spans="2:8" x14ac:dyDescent="0.2">
      <c r="B62" s="26" t="s">
        <v>290</v>
      </c>
      <c r="C62" s="12"/>
      <c r="D62" s="12"/>
      <c r="E62" s="12"/>
      <c r="F62" s="77"/>
      <c r="G62" s="29"/>
      <c r="H62" s="29"/>
    </row>
    <row r="63" spans="2:8" x14ac:dyDescent="0.2">
      <c r="B63" s="26" t="s">
        <v>82</v>
      </c>
      <c r="C63" s="12"/>
      <c r="D63" s="12"/>
      <c r="E63" s="12"/>
      <c r="F63" s="77"/>
      <c r="G63" s="29"/>
      <c r="H63" s="29"/>
    </row>
    <row r="64" spans="2:8" x14ac:dyDescent="0.2">
      <c r="B64" s="75" t="s">
        <v>83</v>
      </c>
      <c r="C64" s="14"/>
      <c r="D64" s="14"/>
      <c r="E64" s="14"/>
      <c r="F64" s="78"/>
      <c r="G64" s="29"/>
      <c r="H64" s="29"/>
    </row>
    <row r="65" spans="2:8" x14ac:dyDescent="0.2">
      <c r="B65" s="29"/>
      <c r="C65" s="29"/>
      <c r="D65" s="29"/>
      <c r="E65" s="29"/>
      <c r="F65" s="29"/>
      <c r="G65" s="29"/>
      <c r="H65" s="29"/>
    </row>
    <row r="66" spans="2:8" ht="21" x14ac:dyDescent="0.25">
      <c r="B66" s="140" t="s">
        <v>178</v>
      </c>
      <c r="C66" s="141"/>
      <c r="D66" s="141"/>
      <c r="E66" s="141"/>
      <c r="F66" s="142"/>
    </row>
    <row r="67" spans="2:8" x14ac:dyDescent="0.2">
      <c r="B67" s="145" t="s">
        <v>177</v>
      </c>
      <c r="C67" s="34"/>
      <c r="D67" s="34"/>
      <c r="E67" s="34"/>
      <c r="F67" s="151">
        <v>16</v>
      </c>
    </row>
    <row r="68" spans="2:8" x14ac:dyDescent="0.2">
      <c r="B68" s="146" t="s">
        <v>85</v>
      </c>
      <c r="C68" s="10"/>
      <c r="D68" s="10"/>
      <c r="E68" s="10"/>
      <c r="F68" s="47">
        <f>$F$31*$F$67</f>
        <v>2424.0987654320988</v>
      </c>
    </row>
    <row r="69" spans="2:8" x14ac:dyDescent="0.2">
      <c r="B69" s="150" t="s">
        <v>84</v>
      </c>
      <c r="C69" s="12"/>
      <c r="D69" s="12"/>
      <c r="E69" s="12"/>
      <c r="F69" s="25"/>
    </row>
    <row r="70" spans="2:8" x14ac:dyDescent="0.2">
      <c r="B70" s="49" t="s">
        <v>40</v>
      </c>
      <c r="C70" s="12"/>
      <c r="D70" s="12"/>
      <c r="E70" s="12"/>
      <c r="F70" s="13">
        <f>$F$35*$F$67</f>
        <v>120888.88888888889</v>
      </c>
    </row>
    <row r="71" spans="2:8" x14ac:dyDescent="0.2">
      <c r="B71" s="49" t="s">
        <v>41</v>
      </c>
      <c r="C71" s="12"/>
      <c r="D71" s="12"/>
      <c r="E71" s="12"/>
      <c r="F71" s="13">
        <f>$F$36*$F$67</f>
        <v>72533.333333333328</v>
      </c>
    </row>
    <row r="72" spans="2:8" x14ac:dyDescent="0.2">
      <c r="B72" s="49" t="s">
        <v>10</v>
      </c>
      <c r="C72" s="12"/>
      <c r="D72" s="12"/>
      <c r="E72" s="12"/>
      <c r="F72" s="13">
        <f>$F$37*$F$67</f>
        <v>181333.33333333334</v>
      </c>
    </row>
    <row r="73" spans="2:8" x14ac:dyDescent="0.2">
      <c r="B73" s="49" t="s">
        <v>42</v>
      </c>
      <c r="C73" s="12"/>
      <c r="D73" s="12"/>
      <c r="E73" s="12"/>
      <c r="F73" s="13">
        <f>$F$38*$F$67</f>
        <v>24177.777777777777</v>
      </c>
    </row>
    <row r="74" spans="2:8" x14ac:dyDescent="0.2">
      <c r="B74" s="55" t="s">
        <v>86</v>
      </c>
      <c r="C74" s="10"/>
      <c r="D74" s="10"/>
      <c r="E74" s="10"/>
      <c r="F74" s="47">
        <f>SUM(F70:F73)</f>
        <v>398933.33333333331</v>
      </c>
    </row>
    <row r="75" spans="2:8" x14ac:dyDescent="0.2">
      <c r="B75" s="147" t="s">
        <v>87</v>
      </c>
      <c r="C75" s="12"/>
      <c r="D75" s="12"/>
      <c r="E75" s="12"/>
      <c r="F75" s="13"/>
    </row>
    <row r="76" spans="2:8" x14ac:dyDescent="0.2">
      <c r="B76" s="49" t="s">
        <v>40</v>
      </c>
      <c r="C76" s="12"/>
      <c r="D76" s="12"/>
      <c r="E76" s="12"/>
      <c r="F76" s="13">
        <f>$F$44*$F$67</f>
        <v>110933.33333333333</v>
      </c>
    </row>
    <row r="77" spans="2:8" x14ac:dyDescent="0.2">
      <c r="B77" s="49" t="s">
        <v>41</v>
      </c>
      <c r="C77" s="12"/>
      <c r="D77" s="12"/>
      <c r="E77" s="12"/>
      <c r="F77" s="13">
        <f>$F$45*$F$67</f>
        <v>66560</v>
      </c>
    </row>
    <row r="78" spans="2:8" x14ac:dyDescent="0.2">
      <c r="B78" s="49" t="s">
        <v>10</v>
      </c>
      <c r="C78" s="12"/>
      <c r="D78" s="12"/>
      <c r="E78" s="12"/>
      <c r="F78" s="13">
        <f>$F$46*$F$67</f>
        <v>166400</v>
      </c>
    </row>
    <row r="79" spans="2:8" x14ac:dyDescent="0.2">
      <c r="B79" s="50" t="s">
        <v>42</v>
      </c>
      <c r="C79" s="12"/>
      <c r="D79" s="12"/>
      <c r="E79" s="12"/>
      <c r="F79" s="13">
        <f>$F$47*$F$67</f>
        <v>22186.666666666664</v>
      </c>
    </row>
    <row r="80" spans="2:8" x14ac:dyDescent="0.2">
      <c r="B80" s="55" t="s">
        <v>88</v>
      </c>
      <c r="C80" s="10"/>
      <c r="D80" s="10"/>
      <c r="E80" s="10"/>
      <c r="F80" s="47">
        <f>SUM(F76:F79)</f>
        <v>366080</v>
      </c>
    </row>
    <row r="81" spans="2:6" x14ac:dyDescent="0.2">
      <c r="B81" s="148" t="s">
        <v>181</v>
      </c>
      <c r="C81" s="21"/>
      <c r="D81" s="21"/>
      <c r="E81" s="21"/>
      <c r="F81" s="125">
        <f>100*$F$67</f>
        <v>1600</v>
      </c>
    </row>
    <row r="82" spans="2:6" ht="17" thickBot="1" x14ac:dyDescent="0.25">
      <c r="B82" s="155" t="s">
        <v>91</v>
      </c>
      <c r="C82" s="156"/>
      <c r="D82" s="156"/>
      <c r="E82" s="156"/>
      <c r="F82" s="80">
        <f>F68+F74+F81+F80</f>
        <v>769037.43209876539</v>
      </c>
    </row>
    <row r="83" spans="2:6" ht="17" thickTop="1" x14ac:dyDescent="0.2">
      <c r="B83" s="29"/>
      <c r="C83" s="29"/>
      <c r="D83" s="29"/>
      <c r="E83" s="29"/>
      <c r="F83" s="29"/>
    </row>
    <row r="84" spans="2:6" x14ac:dyDescent="0.2">
      <c r="B84" s="256" t="s">
        <v>179</v>
      </c>
      <c r="C84" s="257"/>
      <c r="D84" s="257"/>
      <c r="E84" s="257"/>
      <c r="F84" s="258"/>
    </row>
    <row r="85" spans="2:6" x14ac:dyDescent="0.2">
      <c r="B85" s="145" t="s">
        <v>180</v>
      </c>
      <c r="C85" s="34"/>
      <c r="D85" s="34"/>
      <c r="E85" s="34"/>
      <c r="F85" s="151">
        <v>8</v>
      </c>
    </row>
    <row r="86" spans="2:6" x14ac:dyDescent="0.2">
      <c r="B86" s="146" t="s">
        <v>85</v>
      </c>
      <c r="C86" s="10"/>
      <c r="D86" s="10"/>
      <c r="E86" s="10"/>
      <c r="F86" s="47">
        <f>$F$31*$F$85</f>
        <v>1212.0493827160494</v>
      </c>
    </row>
    <row r="87" spans="2:6" x14ac:dyDescent="0.2">
      <c r="B87" s="149" t="s">
        <v>87</v>
      </c>
      <c r="C87" s="12"/>
      <c r="D87" s="12"/>
      <c r="E87" s="12"/>
      <c r="F87" s="25"/>
    </row>
    <row r="88" spans="2:6" x14ac:dyDescent="0.2">
      <c r="B88" s="49" t="s">
        <v>40</v>
      </c>
      <c r="C88" s="12"/>
      <c r="D88" s="12"/>
      <c r="E88" s="12"/>
      <c r="F88" s="13">
        <f>$F$44*$F$85</f>
        <v>55466.666666666664</v>
      </c>
    </row>
    <row r="89" spans="2:6" x14ac:dyDescent="0.2">
      <c r="B89" s="49" t="s">
        <v>41</v>
      </c>
      <c r="C89" s="12"/>
      <c r="D89" s="12"/>
      <c r="E89" s="12"/>
      <c r="F89" s="13">
        <f>$F$45*$F$85</f>
        <v>33280</v>
      </c>
    </row>
    <row r="90" spans="2:6" x14ac:dyDescent="0.2">
      <c r="B90" s="49" t="s">
        <v>10</v>
      </c>
      <c r="C90" s="12"/>
      <c r="D90" s="12"/>
      <c r="E90" s="12"/>
      <c r="F90" s="13">
        <f>$F$46*$F$85</f>
        <v>83200</v>
      </c>
    </row>
    <row r="91" spans="2:6" x14ac:dyDescent="0.2">
      <c r="B91" s="55" t="s">
        <v>88</v>
      </c>
      <c r="C91" s="69"/>
      <c r="D91" s="46"/>
      <c r="E91" s="10"/>
      <c r="F91" s="47">
        <f>SUM(F88:F90)</f>
        <v>171946.66666666666</v>
      </c>
    </row>
    <row r="92" spans="2:6" x14ac:dyDescent="0.2">
      <c r="B92" s="5" t="s">
        <v>84</v>
      </c>
      <c r="C92" s="12"/>
      <c r="D92" s="12"/>
      <c r="E92" s="12"/>
      <c r="F92" s="25"/>
    </row>
    <row r="93" spans="2:6" x14ac:dyDescent="0.2">
      <c r="B93" s="147" t="s">
        <v>40</v>
      </c>
      <c r="C93" s="12"/>
      <c r="D93" s="12"/>
      <c r="E93" s="12"/>
      <c r="F93" s="13">
        <f>$F$35*$F$85</f>
        <v>60444.444444444445</v>
      </c>
    </row>
    <row r="94" spans="2:6" x14ac:dyDescent="0.2">
      <c r="B94" s="49" t="s">
        <v>41</v>
      </c>
      <c r="C94" s="12"/>
      <c r="D94" s="12"/>
      <c r="E94" s="12"/>
      <c r="F94" s="13">
        <f>$F$36*$F$85</f>
        <v>36266.666666666664</v>
      </c>
    </row>
    <row r="95" spans="2:6" x14ac:dyDescent="0.2">
      <c r="B95" s="49" t="s">
        <v>10</v>
      </c>
      <c r="C95" s="12"/>
      <c r="D95" s="12"/>
      <c r="E95" s="12"/>
      <c r="F95" s="13">
        <f>$F$37*$F$85</f>
        <v>90666.666666666672</v>
      </c>
    </row>
    <row r="96" spans="2:6" x14ac:dyDescent="0.2">
      <c r="B96" s="49" t="s">
        <v>42</v>
      </c>
      <c r="C96" s="12"/>
      <c r="D96" s="12"/>
      <c r="E96" s="12"/>
      <c r="F96" s="13">
        <f>$F$38*$F$85</f>
        <v>12088.888888888889</v>
      </c>
    </row>
    <row r="97" spans="2:6" x14ac:dyDescent="0.2">
      <c r="B97" s="55" t="s">
        <v>86</v>
      </c>
      <c r="C97" s="69"/>
      <c r="D97" s="46"/>
      <c r="E97" s="10"/>
      <c r="F97" s="47">
        <f>SUM(F93:F96)</f>
        <v>199466.66666666666</v>
      </c>
    </row>
    <row r="98" spans="2:6" x14ac:dyDescent="0.2">
      <c r="B98" s="148" t="s">
        <v>181</v>
      </c>
      <c r="C98" s="7"/>
      <c r="D98" s="126"/>
      <c r="E98" s="21"/>
      <c r="F98" s="125">
        <f>100*$F$85</f>
        <v>800</v>
      </c>
    </row>
    <row r="99" spans="2:6" ht="17" thickBot="1" x14ac:dyDescent="0.25">
      <c r="B99" s="155" t="s">
        <v>90</v>
      </c>
      <c r="C99" s="157"/>
      <c r="D99" s="156"/>
      <c r="E99" s="156"/>
      <c r="F99" s="80">
        <f>F86+F91+F97+F98</f>
        <v>373425.38271604932</v>
      </c>
    </row>
    <row r="100" spans="2:6" ht="17" thickTop="1" x14ac:dyDescent="0.2">
      <c r="B100" s="29"/>
      <c r="C100" s="29"/>
      <c r="D100" s="29"/>
      <c r="E100" s="29"/>
      <c r="F100" s="29"/>
    </row>
    <row r="101" spans="2:6" x14ac:dyDescent="0.2">
      <c r="B101" s="140" t="s">
        <v>183</v>
      </c>
      <c r="C101" s="144"/>
      <c r="D101" s="144"/>
      <c r="E101" s="144"/>
      <c r="F101" s="62"/>
    </row>
    <row r="102" spans="2:6" x14ac:dyDescent="0.2">
      <c r="B102" s="145" t="s">
        <v>182</v>
      </c>
      <c r="C102" s="152"/>
      <c r="D102" s="152"/>
      <c r="E102" s="153"/>
      <c r="F102" s="151">
        <v>2</v>
      </c>
    </row>
    <row r="103" spans="2:6" x14ac:dyDescent="0.2">
      <c r="B103" s="149" t="s">
        <v>85</v>
      </c>
      <c r="C103" s="32"/>
      <c r="D103" s="32"/>
      <c r="E103" s="32"/>
      <c r="F103" s="154">
        <f>$F$31*$F$102</f>
        <v>303.01234567901236</v>
      </c>
    </row>
    <row r="104" spans="2:6" ht="17" thickBot="1" x14ac:dyDescent="0.25">
      <c r="B104" s="158" t="s">
        <v>89</v>
      </c>
      <c r="C104" s="156"/>
      <c r="D104" s="156"/>
      <c r="E104" s="156"/>
      <c r="F104" s="80">
        <f>$F$103</f>
        <v>303.01234567901236</v>
      </c>
    </row>
    <row r="105" spans="2:6" ht="17" thickTop="1" x14ac:dyDescent="0.2">
      <c r="B105" s="29"/>
      <c r="C105" s="29"/>
      <c r="D105" s="29"/>
      <c r="E105" s="29"/>
      <c r="F105" s="29"/>
    </row>
    <row r="106" spans="2:6" ht="17" thickBot="1" x14ac:dyDescent="0.25">
      <c r="B106" s="163" t="s">
        <v>184</v>
      </c>
      <c r="C106" s="79"/>
      <c r="D106" s="79"/>
      <c r="E106" s="79"/>
      <c r="F106" s="162">
        <f>F82+F99+F104</f>
        <v>1142765.8271604939</v>
      </c>
    </row>
    <row r="107" spans="2:6" ht="17" thickTop="1" x14ac:dyDescent="0.2">
      <c r="B107" s="30" t="s">
        <v>185</v>
      </c>
      <c r="C107" s="30"/>
      <c r="D107" s="30"/>
      <c r="E107" s="30"/>
      <c r="F107" s="30"/>
    </row>
    <row r="108" spans="2:6" x14ac:dyDescent="0.2">
      <c r="B108" s="30" t="s">
        <v>291</v>
      </c>
      <c r="C108" s="30"/>
      <c r="D108" s="30"/>
      <c r="E108" s="30"/>
      <c r="F108" s="30"/>
    </row>
    <row r="109" spans="2:6" x14ac:dyDescent="0.2">
      <c r="B109" s="30" t="s">
        <v>186</v>
      </c>
      <c r="C109" s="30"/>
      <c r="D109" s="30"/>
      <c r="E109" s="30"/>
      <c r="F109" s="30"/>
    </row>
    <row r="110" spans="2:6" x14ac:dyDescent="0.2">
      <c r="B110" s="30"/>
      <c r="C110" s="30"/>
      <c r="D110" s="30"/>
      <c r="E110" s="30"/>
      <c r="F110" s="30"/>
    </row>
    <row r="111" spans="2:6" x14ac:dyDescent="0.2">
      <c r="B111" s="22" t="s">
        <v>187</v>
      </c>
      <c r="C111" s="30"/>
      <c r="D111" s="30"/>
      <c r="E111" s="30"/>
      <c r="F111" s="30">
        <f>$F$106</f>
        <v>1142765.8271604939</v>
      </c>
    </row>
    <row r="112" spans="2:6" x14ac:dyDescent="0.2">
      <c r="B112" s="164" t="s">
        <v>188</v>
      </c>
      <c r="C112" s="65"/>
      <c r="D112" s="65"/>
      <c r="E112" s="65"/>
      <c r="F112" s="65">
        <f>26*$D$56</f>
        <v>5200000</v>
      </c>
    </row>
    <row r="113" spans="2:6" ht="17" thickBot="1" x14ac:dyDescent="0.25">
      <c r="B113" s="165" t="s">
        <v>189</v>
      </c>
      <c r="C113" s="160"/>
      <c r="D113" s="160"/>
      <c r="E113" s="160"/>
      <c r="F113" s="160">
        <f>SUM(F111:F112)</f>
        <v>6342765.8271604944</v>
      </c>
    </row>
    <row r="114" spans="2:6" ht="17" thickTop="1" x14ac:dyDescent="0.2">
      <c r="B114" s="30"/>
      <c r="C114" s="30"/>
      <c r="D114" s="30"/>
      <c r="E114" s="30"/>
      <c r="F114" s="30"/>
    </row>
    <row r="115" spans="2:6" x14ac:dyDescent="0.2">
      <c r="B115" s="30" t="s">
        <v>190</v>
      </c>
      <c r="C115" s="30"/>
      <c r="D115" s="30"/>
      <c r="E115" s="30"/>
      <c r="F115" s="30"/>
    </row>
    <row r="116" spans="2:6" ht="17" thickBot="1" x14ac:dyDescent="0.25">
      <c r="B116" s="165" t="s">
        <v>191</v>
      </c>
      <c r="C116" s="160"/>
      <c r="D116" s="160"/>
      <c r="E116" s="160"/>
      <c r="F116" s="160">
        <f>$F$106/26</f>
        <v>43952.531813865149</v>
      </c>
    </row>
    <row r="117" spans="2:6" ht="17" thickTop="1" x14ac:dyDescent="0.2"/>
  </sheetData>
  <mergeCells count="3">
    <mergeCell ref="C14:D14"/>
    <mergeCell ref="E14:F14"/>
    <mergeCell ref="G14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workbookViewId="0">
      <selection activeCell="K15" sqref="K15"/>
    </sheetView>
  </sheetViews>
  <sheetFormatPr baseColWidth="10" defaultRowHeight="16" x14ac:dyDescent="0.2"/>
  <cols>
    <col min="2" max="2" width="28.5" bestFit="1" customWidth="1"/>
    <col min="3" max="3" width="13.6640625" bestFit="1" customWidth="1"/>
    <col min="4" max="4" width="15.83203125" bestFit="1" customWidth="1"/>
    <col min="5" max="5" width="17" bestFit="1" customWidth="1"/>
    <col min="6" max="6" width="14.83203125" bestFit="1" customWidth="1"/>
    <col min="7" max="7" width="14.33203125" bestFit="1" customWidth="1"/>
    <col min="8" max="8" width="11.83203125" customWidth="1"/>
  </cols>
  <sheetData>
    <row r="1" spans="1:11" ht="31" x14ac:dyDescent="0.35">
      <c r="B1" s="259" t="s">
        <v>202</v>
      </c>
      <c r="C1" s="29"/>
      <c r="D1" s="29"/>
      <c r="E1" s="29"/>
      <c r="F1" s="29"/>
      <c r="G1" s="29"/>
      <c r="H1" s="29"/>
    </row>
    <row r="2" spans="1:11" x14ac:dyDescent="0.2">
      <c r="B2" s="29"/>
      <c r="C2" s="29"/>
      <c r="D2" s="29"/>
      <c r="E2" s="29"/>
      <c r="F2" s="29"/>
      <c r="G2" s="29"/>
      <c r="H2" s="29"/>
    </row>
    <row r="3" spans="1:11" ht="24" x14ac:dyDescent="0.3">
      <c r="B3" s="123" t="s">
        <v>26</v>
      </c>
      <c r="C3" s="35"/>
      <c r="D3" s="35"/>
      <c r="E3" s="35"/>
      <c r="F3" s="35"/>
      <c r="G3" s="35"/>
      <c r="H3" s="37"/>
    </row>
    <row r="4" spans="1:11" x14ac:dyDescent="0.2">
      <c r="B4" s="24" t="s">
        <v>28</v>
      </c>
      <c r="C4" s="12"/>
      <c r="D4" s="12"/>
      <c r="E4" s="12"/>
      <c r="F4" s="12"/>
      <c r="G4" s="12"/>
      <c r="H4" s="25"/>
    </row>
    <row r="5" spans="1:11" x14ac:dyDescent="0.2">
      <c r="B5" s="26" t="s">
        <v>27</v>
      </c>
      <c r="C5" s="12"/>
      <c r="D5" s="12"/>
      <c r="E5" s="12"/>
      <c r="F5" s="12"/>
      <c r="G5" s="12"/>
      <c r="H5" s="25"/>
    </row>
    <row r="6" spans="1:11" x14ac:dyDescent="0.2">
      <c r="B6" s="24" t="s">
        <v>29</v>
      </c>
      <c r="C6" s="12"/>
      <c r="D6" s="12"/>
      <c r="E6" s="12"/>
      <c r="F6" s="12"/>
      <c r="G6" s="12"/>
      <c r="H6" s="25"/>
    </row>
    <row r="7" spans="1:11" x14ac:dyDescent="0.2">
      <c r="B7" s="24" t="s">
        <v>30</v>
      </c>
      <c r="C7" s="12"/>
      <c r="D7" s="12"/>
      <c r="E7" s="12"/>
      <c r="F7" s="12"/>
      <c r="G7" s="12"/>
      <c r="H7" s="25"/>
    </row>
    <row r="8" spans="1:11" x14ac:dyDescent="0.2">
      <c r="B8" s="24" t="s">
        <v>31</v>
      </c>
      <c r="C8" s="12"/>
      <c r="D8" s="12"/>
      <c r="E8" s="12"/>
      <c r="F8" s="12"/>
      <c r="G8" s="12"/>
      <c r="H8" s="25"/>
    </row>
    <row r="9" spans="1:11" x14ac:dyDescent="0.2">
      <c r="B9" s="24" t="s">
        <v>54</v>
      </c>
      <c r="C9" s="12"/>
      <c r="D9" s="12"/>
      <c r="E9" s="12"/>
      <c r="F9" s="12"/>
      <c r="G9" s="12"/>
      <c r="H9" s="25"/>
    </row>
    <row r="10" spans="1:11" x14ac:dyDescent="0.2">
      <c r="B10" s="24" t="s">
        <v>107</v>
      </c>
      <c r="C10" s="12"/>
      <c r="D10" s="12"/>
      <c r="E10" s="12"/>
      <c r="F10" s="12"/>
      <c r="G10" s="12"/>
      <c r="H10" s="25"/>
    </row>
    <row r="11" spans="1:11" x14ac:dyDescent="0.2">
      <c r="B11" s="85" t="s">
        <v>108</v>
      </c>
      <c r="C11" s="86"/>
      <c r="D11" s="86"/>
      <c r="E11" s="86"/>
      <c r="F11" s="86"/>
      <c r="G11" s="86"/>
      <c r="H11" s="87"/>
    </row>
    <row r="12" spans="1:11" x14ac:dyDescent="0.2">
      <c r="B12" s="29"/>
      <c r="C12" s="29"/>
      <c r="D12" s="29"/>
      <c r="E12" s="29"/>
      <c r="F12" s="29"/>
      <c r="G12" s="29"/>
      <c r="H12" s="29"/>
    </row>
    <row r="13" spans="1:11" x14ac:dyDescent="0.2">
      <c r="B13" s="40" t="s">
        <v>25</v>
      </c>
      <c r="C13" s="261" t="s">
        <v>7</v>
      </c>
      <c r="D13" s="262"/>
      <c r="E13" s="261" t="s">
        <v>23</v>
      </c>
      <c r="F13" s="262"/>
      <c r="G13" s="261" t="s">
        <v>24</v>
      </c>
      <c r="H13" s="262"/>
    </row>
    <row r="14" spans="1:11" x14ac:dyDescent="0.2">
      <c r="A14" s="3"/>
      <c r="B14" s="8" t="s">
        <v>21</v>
      </c>
      <c r="C14" s="12"/>
      <c r="D14" s="13">
        <v>40</v>
      </c>
      <c r="E14" s="12"/>
      <c r="F14" s="13">
        <v>12</v>
      </c>
      <c r="G14" s="12"/>
      <c r="H14" s="13">
        <v>8</v>
      </c>
    </row>
    <row r="15" spans="1:11" x14ac:dyDescent="0.2">
      <c r="A15" s="3"/>
      <c r="B15" s="5" t="s">
        <v>16</v>
      </c>
      <c r="C15" s="12"/>
      <c r="D15" s="13">
        <v>1687.5</v>
      </c>
      <c r="E15" s="12"/>
      <c r="F15" s="13">
        <v>1687.5</v>
      </c>
      <c r="G15" s="12"/>
      <c r="H15" s="13">
        <v>1687.5</v>
      </c>
      <c r="K15" s="31"/>
    </row>
    <row r="16" spans="1:11" x14ac:dyDescent="0.2">
      <c r="A16" s="3"/>
      <c r="B16" s="5" t="s">
        <v>17</v>
      </c>
      <c r="C16" s="12"/>
      <c r="D16" s="13">
        <f>D14*D15</f>
        <v>67500</v>
      </c>
      <c r="E16" s="12"/>
      <c r="F16" s="13">
        <f>F14*F15</f>
        <v>20250</v>
      </c>
      <c r="G16" s="12"/>
      <c r="H16" s="13">
        <f>H14*H15</f>
        <v>13500</v>
      </c>
    </row>
    <row r="17" spans="1:20" x14ac:dyDescent="0.2">
      <c r="A17" s="3"/>
      <c r="B17" s="5" t="s">
        <v>22</v>
      </c>
      <c r="C17" s="12"/>
      <c r="D17" s="13">
        <f>D16*60</f>
        <v>4050000</v>
      </c>
      <c r="E17" s="12"/>
      <c r="F17" s="13">
        <f>F16*60</f>
        <v>1215000</v>
      </c>
      <c r="G17" s="12"/>
      <c r="H17" s="13">
        <f>H16*60</f>
        <v>810000</v>
      </c>
    </row>
    <row r="18" spans="1:20" x14ac:dyDescent="0.2">
      <c r="A18" s="3"/>
      <c r="B18" s="5" t="s">
        <v>18</v>
      </c>
      <c r="C18" s="12"/>
      <c r="D18" s="13">
        <v>520000</v>
      </c>
      <c r="E18" s="12"/>
      <c r="F18" s="13">
        <v>850000</v>
      </c>
      <c r="G18" s="12"/>
      <c r="H18" s="13">
        <v>780000</v>
      </c>
    </row>
    <row r="19" spans="1:20" x14ac:dyDescent="0.2">
      <c r="A19" s="3"/>
      <c r="B19" s="5" t="s">
        <v>19</v>
      </c>
      <c r="C19" s="12"/>
      <c r="D19" s="13">
        <f>D14*D18</f>
        <v>20800000</v>
      </c>
      <c r="E19" s="12"/>
      <c r="F19" s="13">
        <f>F14*F18</f>
        <v>10200000</v>
      </c>
      <c r="G19" s="12"/>
      <c r="H19" s="13">
        <f>H14*H18</f>
        <v>6240000</v>
      </c>
    </row>
    <row r="20" spans="1:20" x14ac:dyDescent="0.2">
      <c r="A20" s="3"/>
      <c r="B20" s="9" t="s">
        <v>20</v>
      </c>
      <c r="C20" s="14"/>
      <c r="D20" s="15">
        <f>D19/D17</f>
        <v>5.1358024691358022</v>
      </c>
      <c r="E20" s="14"/>
      <c r="F20" s="20">
        <f>F19/F17</f>
        <v>8.3950617283950617</v>
      </c>
      <c r="G20" s="14"/>
      <c r="H20" s="20">
        <f>H19/H17</f>
        <v>7.7037037037037033</v>
      </c>
    </row>
    <row r="21" spans="1:20" x14ac:dyDescent="0.2">
      <c r="B21" s="29"/>
      <c r="C21" s="29"/>
      <c r="D21" s="29"/>
      <c r="E21" s="29"/>
      <c r="F21" s="29"/>
      <c r="G21" s="29"/>
      <c r="H21" s="29"/>
    </row>
    <row r="22" spans="1:20" ht="21" x14ac:dyDescent="0.25">
      <c r="B22" s="127" t="s">
        <v>172</v>
      </c>
      <c r="C22" s="39"/>
      <c r="D22" s="39"/>
      <c r="E22" s="39"/>
      <c r="F22" s="127" t="s">
        <v>39</v>
      </c>
      <c r="G22" s="39"/>
      <c r="H22" s="166">
        <v>1</v>
      </c>
      <c r="J22" s="29" t="s">
        <v>289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">
      <c r="B23" s="29"/>
      <c r="C23" s="29"/>
      <c r="D23" s="29"/>
      <c r="E23" s="29"/>
      <c r="F23" s="29"/>
      <c r="G23" s="29"/>
      <c r="H23" s="29"/>
    </row>
    <row r="24" spans="1:20" x14ac:dyDescent="0.2">
      <c r="B24" s="42" t="s">
        <v>7</v>
      </c>
      <c r="C24" s="43" t="s">
        <v>39</v>
      </c>
      <c r="D24" s="161">
        <f>$H$22</f>
        <v>1</v>
      </c>
      <c r="E24" s="30"/>
      <c r="F24" s="30"/>
      <c r="G24" s="29"/>
      <c r="H24" s="29"/>
    </row>
    <row r="25" spans="1:20" x14ac:dyDescent="0.2">
      <c r="B25" s="45" t="s">
        <v>1</v>
      </c>
      <c r="C25" s="46" t="s">
        <v>35</v>
      </c>
      <c r="D25" s="46" t="s">
        <v>36</v>
      </c>
      <c r="E25" s="46" t="s">
        <v>109</v>
      </c>
      <c r="F25" s="47" t="s">
        <v>38</v>
      </c>
      <c r="G25" s="29"/>
      <c r="H25" s="29"/>
      <c r="J25" s="29" t="s">
        <v>93</v>
      </c>
      <c r="K25" s="29"/>
      <c r="L25" s="29"/>
      <c r="M25" s="29"/>
      <c r="N25" s="29"/>
      <c r="O25" s="29"/>
      <c r="P25" s="29"/>
      <c r="Q25" s="29"/>
      <c r="R25" s="29"/>
      <c r="S25" s="29"/>
    </row>
    <row r="26" spans="1:20" x14ac:dyDescent="0.2">
      <c r="B26" s="48" t="s">
        <v>32</v>
      </c>
      <c r="C26" s="22">
        <v>4.5</v>
      </c>
      <c r="D26" s="22">
        <f>$D$20</f>
        <v>5.1358024691358022</v>
      </c>
      <c r="E26" s="22">
        <f>C26*D24</f>
        <v>4.5</v>
      </c>
      <c r="F26" s="13">
        <f>D26*E26</f>
        <v>23.111111111111111</v>
      </c>
      <c r="G26" s="29"/>
      <c r="H26" s="29"/>
      <c r="J26" s="29" t="s">
        <v>92</v>
      </c>
      <c r="K26" s="29"/>
      <c r="L26" s="29"/>
      <c r="M26" s="29"/>
      <c r="N26" s="29"/>
      <c r="O26" s="29"/>
      <c r="P26" s="29"/>
      <c r="Q26" s="29"/>
      <c r="R26" s="29"/>
      <c r="S26" s="29"/>
    </row>
    <row r="27" spans="1:20" x14ac:dyDescent="0.2">
      <c r="B27" s="49" t="s">
        <v>97</v>
      </c>
      <c r="C27" s="22">
        <v>4.5</v>
      </c>
      <c r="D27" s="22">
        <f t="shared" ref="D27:D28" si="0">$D$20</f>
        <v>5.1358024691358022</v>
      </c>
      <c r="E27" s="22">
        <f>C27*D24</f>
        <v>4.5</v>
      </c>
      <c r="F27" s="13">
        <f>D27*E27</f>
        <v>23.111111111111111</v>
      </c>
      <c r="G27" s="29"/>
      <c r="H27" s="29"/>
      <c r="J27" s="88" t="s">
        <v>162</v>
      </c>
      <c r="K27" s="88"/>
      <c r="L27" s="88"/>
      <c r="M27" s="88"/>
      <c r="N27" s="88"/>
      <c r="O27" s="88"/>
      <c r="P27" s="88"/>
      <c r="Q27" s="88"/>
      <c r="R27" s="88"/>
      <c r="S27" s="88"/>
    </row>
    <row r="28" spans="1:20" x14ac:dyDescent="0.2">
      <c r="B28" s="49" t="s">
        <v>120</v>
      </c>
      <c r="C28" s="22">
        <v>0.5</v>
      </c>
      <c r="D28" s="22">
        <f t="shared" si="0"/>
        <v>5.1358024691358022</v>
      </c>
      <c r="E28" s="22">
        <f>C28*D24</f>
        <v>0.5</v>
      </c>
      <c r="F28" s="13">
        <f>D28*E28</f>
        <v>2.5679012345679011</v>
      </c>
      <c r="G28" s="29"/>
      <c r="H28" s="29"/>
    </row>
    <row r="29" spans="1:20" x14ac:dyDescent="0.2">
      <c r="B29" s="50"/>
      <c r="C29" s="22"/>
      <c r="D29" s="22"/>
      <c r="E29" s="22"/>
      <c r="F29" s="13"/>
      <c r="G29" s="29"/>
      <c r="H29" s="29"/>
    </row>
    <row r="30" spans="1:20" x14ac:dyDescent="0.2">
      <c r="B30" s="51" t="s">
        <v>5</v>
      </c>
      <c r="C30" s="36">
        <f>SUM(C26:C29)</f>
        <v>9.5</v>
      </c>
      <c r="D30" s="36"/>
      <c r="E30" s="36">
        <f>SUM(E26:E29)</f>
        <v>9.5</v>
      </c>
      <c r="F30" s="44">
        <f>SUM(F26:F29)</f>
        <v>48.79012345679012</v>
      </c>
      <c r="G30" s="29"/>
      <c r="H30" s="29"/>
    </row>
    <row r="31" spans="1:20" x14ac:dyDescent="0.2">
      <c r="B31" s="12"/>
      <c r="C31" s="12"/>
      <c r="D31" s="22"/>
      <c r="E31" s="29"/>
      <c r="F31" s="29"/>
      <c r="G31" s="29"/>
      <c r="H31" s="29"/>
    </row>
    <row r="32" spans="1:20" x14ac:dyDescent="0.2">
      <c r="B32" s="42" t="s">
        <v>23</v>
      </c>
      <c r="C32" s="43" t="s">
        <v>39</v>
      </c>
      <c r="D32" s="161">
        <f>$H$22</f>
        <v>1</v>
      </c>
      <c r="E32" s="30"/>
      <c r="F32" s="30"/>
      <c r="G32" s="29"/>
      <c r="H32" s="29"/>
    </row>
    <row r="33" spans="1:18" x14ac:dyDescent="0.2">
      <c r="B33" s="55" t="s">
        <v>1</v>
      </c>
      <c r="C33" s="46" t="s">
        <v>35</v>
      </c>
      <c r="D33" s="46" t="s">
        <v>36</v>
      </c>
      <c r="E33" s="46" t="s">
        <v>109</v>
      </c>
      <c r="F33" s="47" t="s">
        <v>38</v>
      </c>
      <c r="G33" s="29"/>
      <c r="H33" s="22"/>
      <c r="J33" s="29" t="s">
        <v>95</v>
      </c>
      <c r="K33" s="29"/>
      <c r="L33" s="29"/>
      <c r="M33" s="29"/>
      <c r="N33" s="29"/>
      <c r="O33" s="29"/>
      <c r="P33" s="29"/>
      <c r="Q33" s="29"/>
      <c r="R33" s="29"/>
    </row>
    <row r="34" spans="1:18" x14ac:dyDescent="0.2">
      <c r="B34" s="48" t="s">
        <v>98</v>
      </c>
      <c r="C34" s="90">
        <v>5</v>
      </c>
      <c r="D34" s="57">
        <f>$F$20</f>
        <v>8.3950617283950617</v>
      </c>
      <c r="E34" s="57">
        <f>C34*D32</f>
        <v>5</v>
      </c>
      <c r="F34" s="58">
        <f>D34*E34</f>
        <v>41.97530864197531</v>
      </c>
      <c r="G34" s="29"/>
      <c r="H34" s="22"/>
      <c r="J34" s="29" t="s">
        <v>94</v>
      </c>
      <c r="K34" s="29"/>
      <c r="L34" s="29"/>
      <c r="M34" s="29"/>
      <c r="N34" s="29"/>
      <c r="O34" s="29"/>
      <c r="P34" s="29"/>
      <c r="Q34" s="29"/>
      <c r="R34" s="29"/>
    </row>
    <row r="35" spans="1:18" x14ac:dyDescent="0.2">
      <c r="B35" s="49" t="s">
        <v>49</v>
      </c>
      <c r="C35" s="63">
        <v>1</v>
      </c>
      <c r="D35" s="22">
        <f t="shared" ref="D35:D40" si="1">$F$20</f>
        <v>8.3950617283950617</v>
      </c>
      <c r="E35" s="22">
        <f>C35*D32</f>
        <v>1</v>
      </c>
      <c r="F35" s="13">
        <f t="shared" ref="F35:F39" si="2">D35*E35</f>
        <v>8.3950617283950617</v>
      </c>
      <c r="G35" s="29"/>
      <c r="H35" s="22"/>
      <c r="J35" s="29" t="s">
        <v>96</v>
      </c>
      <c r="K35" s="30"/>
      <c r="L35" s="29"/>
      <c r="M35" s="29"/>
      <c r="N35" s="29"/>
      <c r="O35" s="29"/>
      <c r="P35" s="29"/>
      <c r="Q35" s="29"/>
      <c r="R35" s="29"/>
    </row>
    <row r="36" spans="1:18" x14ac:dyDescent="0.2">
      <c r="A36" t="s">
        <v>47</v>
      </c>
      <c r="B36" s="49" t="s">
        <v>40</v>
      </c>
      <c r="C36" s="22">
        <f>37.5*60*0.4</f>
        <v>900</v>
      </c>
      <c r="D36" s="22">
        <f t="shared" si="1"/>
        <v>8.3950617283950617</v>
      </c>
      <c r="E36" s="22">
        <f>C36*D32</f>
        <v>900</v>
      </c>
      <c r="F36" s="13">
        <f t="shared" si="2"/>
        <v>7555.5555555555557</v>
      </c>
      <c r="G36" s="29"/>
      <c r="H36" s="29"/>
    </row>
    <row r="37" spans="1:18" x14ac:dyDescent="0.2">
      <c r="A37" t="s">
        <v>43</v>
      </c>
      <c r="B37" s="49" t="s">
        <v>41</v>
      </c>
      <c r="C37" s="22">
        <f>37.5/5*60*0.4*3</f>
        <v>540</v>
      </c>
      <c r="D37" s="22">
        <f t="shared" si="1"/>
        <v>8.3950617283950617</v>
      </c>
      <c r="E37" s="22">
        <f>C37*D32</f>
        <v>540</v>
      </c>
      <c r="F37" s="13">
        <f t="shared" si="2"/>
        <v>4533.333333333333</v>
      </c>
      <c r="G37" s="29"/>
      <c r="H37" s="29"/>
    </row>
    <row r="38" spans="1:18" x14ac:dyDescent="0.2">
      <c r="A38" t="s">
        <v>44</v>
      </c>
      <c r="B38" s="49" t="s">
        <v>10</v>
      </c>
      <c r="C38" s="22">
        <f>37.5*60*1.5*0.4</f>
        <v>1350</v>
      </c>
      <c r="D38" s="22">
        <f t="shared" si="1"/>
        <v>8.3950617283950617</v>
      </c>
      <c r="E38" s="22">
        <f>C38*D32</f>
        <v>1350</v>
      </c>
      <c r="F38" s="13">
        <f t="shared" si="2"/>
        <v>11333.333333333334</v>
      </c>
      <c r="G38" s="29"/>
      <c r="H38" s="29"/>
    </row>
    <row r="39" spans="1:18" x14ac:dyDescent="0.2">
      <c r="A39" t="s">
        <v>45</v>
      </c>
      <c r="B39" s="49" t="s">
        <v>42</v>
      </c>
      <c r="C39" s="22">
        <f>37.5/5*60*0.4</f>
        <v>180</v>
      </c>
      <c r="D39" s="167">
        <f t="shared" si="1"/>
        <v>8.3950617283950617</v>
      </c>
      <c r="E39" s="22">
        <f>C39*D32</f>
        <v>180</v>
      </c>
      <c r="F39" s="13">
        <f t="shared" si="2"/>
        <v>1511.1111111111111</v>
      </c>
      <c r="G39" s="29"/>
      <c r="H39" s="29"/>
    </row>
    <row r="40" spans="1:18" x14ac:dyDescent="0.2">
      <c r="A40" t="s">
        <v>46</v>
      </c>
      <c r="B40" s="49" t="s">
        <v>13</v>
      </c>
      <c r="C40" s="59" t="s">
        <v>48</v>
      </c>
      <c r="D40" s="65">
        <f t="shared" si="1"/>
        <v>8.3950617283950617</v>
      </c>
      <c r="E40" s="59" t="s">
        <v>48</v>
      </c>
      <c r="F40" s="60" t="s">
        <v>48</v>
      </c>
      <c r="G40" s="29"/>
      <c r="H40" s="29"/>
    </row>
    <row r="41" spans="1:18" x14ac:dyDescent="0.2">
      <c r="B41" s="51" t="s">
        <v>5</v>
      </c>
      <c r="C41" s="56">
        <f>SUM(C36:C40)</f>
        <v>2970</v>
      </c>
      <c r="D41" s="36"/>
      <c r="E41" s="36">
        <f>SUM(E36:E40)</f>
        <v>2970</v>
      </c>
      <c r="F41" s="44">
        <f>SUM(F34:F40)</f>
        <v>24983.703703703701</v>
      </c>
      <c r="G41" s="29"/>
      <c r="H41" s="29"/>
    </row>
    <row r="42" spans="1:18" x14ac:dyDescent="0.2">
      <c r="B42" s="29"/>
      <c r="C42" s="29"/>
      <c r="D42" s="29"/>
      <c r="E42" s="29"/>
      <c r="F42" s="29"/>
      <c r="G42" s="29"/>
      <c r="H42" s="29"/>
    </row>
    <row r="43" spans="1:18" x14ac:dyDescent="0.2">
      <c r="B43" s="42" t="s">
        <v>24</v>
      </c>
      <c r="C43" s="43" t="s">
        <v>39</v>
      </c>
      <c r="D43" s="161">
        <f>$H$22</f>
        <v>1</v>
      </c>
      <c r="E43" s="30"/>
      <c r="F43" s="30"/>
      <c r="G43" s="29"/>
      <c r="H43" s="29"/>
    </row>
    <row r="44" spans="1:18" x14ac:dyDescent="0.2">
      <c r="B44" s="50" t="s">
        <v>1</v>
      </c>
      <c r="C44" s="52" t="s">
        <v>35</v>
      </c>
      <c r="D44" s="46" t="s">
        <v>36</v>
      </c>
      <c r="E44" s="46" t="s">
        <v>110</v>
      </c>
      <c r="F44" s="47" t="s">
        <v>38</v>
      </c>
      <c r="G44" s="29"/>
      <c r="H44" s="29"/>
    </row>
    <row r="45" spans="1:18" x14ac:dyDescent="0.2">
      <c r="B45" s="48" t="s">
        <v>40</v>
      </c>
      <c r="C45" s="63">
        <f>37.5*60*0.4</f>
        <v>900</v>
      </c>
      <c r="D45" s="22">
        <f>$H$20</f>
        <v>7.7037037037037033</v>
      </c>
      <c r="E45" s="22">
        <f>C45*D43</f>
        <v>900</v>
      </c>
      <c r="F45" s="13">
        <f>D45*E45</f>
        <v>6933.333333333333</v>
      </c>
      <c r="G45" s="29"/>
      <c r="H45" s="29"/>
    </row>
    <row r="46" spans="1:18" x14ac:dyDescent="0.2">
      <c r="B46" s="49" t="s">
        <v>41</v>
      </c>
      <c r="C46" s="63">
        <f>37.5/5*60*0.4*3</f>
        <v>540</v>
      </c>
      <c r="D46" s="22">
        <f t="shared" ref="D46:D49" si="3">$H$20</f>
        <v>7.7037037037037033</v>
      </c>
      <c r="E46" s="22">
        <f>C46*D43</f>
        <v>540</v>
      </c>
      <c r="F46" s="13">
        <f>D46*E46</f>
        <v>4160</v>
      </c>
      <c r="G46" s="29"/>
      <c r="H46" s="29"/>
    </row>
    <row r="47" spans="1:18" x14ac:dyDescent="0.2">
      <c r="B47" s="49" t="s">
        <v>10</v>
      </c>
      <c r="C47" s="63">
        <f>37.5*60*1.5*0.4</f>
        <v>1350</v>
      </c>
      <c r="D47" s="22">
        <f t="shared" si="3"/>
        <v>7.7037037037037033</v>
      </c>
      <c r="E47" s="22">
        <f>C47*D43</f>
        <v>1350</v>
      </c>
      <c r="F47" s="13">
        <f>D47*E47</f>
        <v>10400</v>
      </c>
      <c r="G47" s="29"/>
      <c r="H47" s="29"/>
    </row>
    <row r="48" spans="1:18" x14ac:dyDescent="0.2">
      <c r="B48" s="49" t="s">
        <v>42</v>
      </c>
      <c r="C48" s="63">
        <f>37.5/5*60*0.4</f>
        <v>180</v>
      </c>
      <c r="D48" s="22">
        <f t="shared" si="3"/>
        <v>7.7037037037037033</v>
      </c>
      <c r="E48" s="22">
        <f>C48*D43</f>
        <v>180</v>
      </c>
      <c r="F48" s="13">
        <f>D48*E48</f>
        <v>1386.6666666666665</v>
      </c>
      <c r="G48" s="29"/>
      <c r="H48" s="29"/>
    </row>
    <row r="49" spans="2:8" x14ac:dyDescent="0.2">
      <c r="B49" s="49" t="s">
        <v>13</v>
      </c>
      <c r="C49" s="64" t="s">
        <v>48</v>
      </c>
      <c r="D49" s="22">
        <f t="shared" si="3"/>
        <v>7.7037037037037033</v>
      </c>
      <c r="E49" s="66" t="s">
        <v>48</v>
      </c>
      <c r="F49" s="67" t="s">
        <v>48</v>
      </c>
      <c r="G49" s="29"/>
      <c r="H49" s="29"/>
    </row>
    <row r="50" spans="2:8" x14ac:dyDescent="0.2">
      <c r="B50" s="51" t="s">
        <v>5</v>
      </c>
      <c r="C50" s="54">
        <f>SUM(C45:C49)</f>
        <v>2970</v>
      </c>
      <c r="D50" s="36"/>
      <c r="E50" s="36">
        <f>SUM(E45:E49)</f>
        <v>2970</v>
      </c>
      <c r="F50" s="44">
        <f>SUM(F45:F49)</f>
        <v>22880</v>
      </c>
      <c r="G50" s="29"/>
      <c r="H50" s="29"/>
    </row>
    <row r="51" spans="2:8" x14ac:dyDescent="0.2">
      <c r="B51" s="29"/>
      <c r="C51" s="29"/>
      <c r="D51" s="29"/>
      <c r="E51" s="29"/>
      <c r="F51" s="29"/>
      <c r="G51" s="29"/>
      <c r="H51" s="29"/>
    </row>
    <row r="52" spans="2:8" ht="21" x14ac:dyDescent="0.25">
      <c r="B52" s="127" t="s">
        <v>114</v>
      </c>
      <c r="C52" s="35"/>
      <c r="D52" s="35"/>
      <c r="E52" s="35"/>
      <c r="F52" s="37"/>
      <c r="G52" s="29"/>
      <c r="H52" s="29"/>
    </row>
    <row r="53" spans="2:8" x14ac:dyDescent="0.2">
      <c r="B53" s="26" t="s">
        <v>112</v>
      </c>
      <c r="C53" s="12"/>
      <c r="D53" s="12"/>
      <c r="E53" s="12"/>
      <c r="F53" s="25"/>
      <c r="G53" s="29"/>
      <c r="H53" s="29"/>
    </row>
    <row r="54" spans="2:8" x14ac:dyDescent="0.2">
      <c r="B54" s="26" t="s">
        <v>111</v>
      </c>
      <c r="C54" s="12"/>
      <c r="D54" s="12"/>
      <c r="E54" s="12"/>
      <c r="F54" s="25"/>
      <c r="G54" s="29"/>
      <c r="H54" s="29"/>
    </row>
    <row r="55" spans="2:8" x14ac:dyDescent="0.2">
      <c r="B55" s="75" t="s">
        <v>113</v>
      </c>
      <c r="C55" s="14"/>
      <c r="D55" s="14"/>
      <c r="E55" s="14"/>
      <c r="F55" s="28"/>
      <c r="G55" s="29"/>
      <c r="H55" s="29"/>
    </row>
    <row r="56" spans="2:8" x14ac:dyDescent="0.2">
      <c r="B56" s="136"/>
      <c r="C56" s="136"/>
      <c r="D56" s="136"/>
      <c r="E56" s="12"/>
      <c r="F56" s="12"/>
      <c r="G56" s="29"/>
      <c r="H56" s="29"/>
    </row>
    <row r="57" spans="2:8" x14ac:dyDescent="0.2">
      <c r="B57" s="38" t="s">
        <v>115</v>
      </c>
      <c r="C57" s="35"/>
      <c r="D57" s="35"/>
      <c r="E57" s="35"/>
      <c r="F57" s="37"/>
      <c r="G57" s="29"/>
      <c r="H57" s="29"/>
    </row>
    <row r="58" spans="2:8" x14ac:dyDescent="0.2">
      <c r="B58" s="68" t="s">
        <v>85</v>
      </c>
      <c r="C58" s="10"/>
      <c r="D58" s="10"/>
      <c r="E58" s="10"/>
      <c r="F58" s="47">
        <f>F30</f>
        <v>48.79012345679012</v>
      </c>
      <c r="G58" s="29"/>
      <c r="H58" s="29"/>
    </row>
    <row r="59" spans="2:8" x14ac:dyDescent="0.2">
      <c r="B59" s="5" t="s">
        <v>84</v>
      </c>
      <c r="C59" s="12"/>
      <c r="D59" s="12"/>
      <c r="E59" s="12"/>
      <c r="F59" s="72"/>
      <c r="G59" s="29"/>
      <c r="H59" s="29"/>
    </row>
    <row r="60" spans="2:8" x14ac:dyDescent="0.2">
      <c r="B60" s="5" t="s">
        <v>98</v>
      </c>
      <c r="C60" s="12"/>
      <c r="D60" s="12"/>
      <c r="E60" s="12"/>
      <c r="F60" s="13">
        <f t="shared" ref="F60:F65" si="4">F34</f>
        <v>41.97530864197531</v>
      </c>
      <c r="G60" s="29"/>
      <c r="H60" s="29"/>
    </row>
    <row r="61" spans="2:8" x14ac:dyDescent="0.2">
      <c r="B61" s="5" t="s">
        <v>117</v>
      </c>
      <c r="C61" s="12"/>
      <c r="D61" s="12"/>
      <c r="E61" s="12"/>
      <c r="F61" s="13">
        <f t="shared" si="4"/>
        <v>8.3950617283950617</v>
      </c>
      <c r="G61" s="29"/>
      <c r="H61" s="29"/>
    </row>
    <row r="62" spans="2:8" x14ac:dyDescent="0.2">
      <c r="B62" s="49" t="s">
        <v>40</v>
      </c>
      <c r="C62" s="12"/>
      <c r="D62" s="12"/>
      <c r="E62" s="12"/>
      <c r="F62" s="13">
        <f t="shared" si="4"/>
        <v>7555.5555555555557</v>
      </c>
      <c r="G62" s="29"/>
      <c r="H62" s="29"/>
    </row>
    <row r="63" spans="2:8" x14ac:dyDescent="0.2">
      <c r="B63" s="49" t="s">
        <v>41</v>
      </c>
      <c r="C63" s="12"/>
      <c r="D63" s="12"/>
      <c r="E63" s="12"/>
      <c r="F63" s="13">
        <f t="shared" si="4"/>
        <v>4533.333333333333</v>
      </c>
      <c r="G63" s="29"/>
      <c r="H63" s="29"/>
    </row>
    <row r="64" spans="2:8" x14ac:dyDescent="0.2">
      <c r="B64" s="49" t="s">
        <v>10</v>
      </c>
      <c r="C64" s="12"/>
      <c r="D64" s="12"/>
      <c r="E64" s="12"/>
      <c r="F64" s="13">
        <f t="shared" si="4"/>
        <v>11333.333333333334</v>
      </c>
      <c r="G64" s="29"/>
      <c r="H64" s="29"/>
    </row>
    <row r="65" spans="2:11" x14ac:dyDescent="0.2">
      <c r="B65" s="49" t="s">
        <v>42</v>
      </c>
      <c r="C65" s="12"/>
      <c r="D65" s="12"/>
      <c r="E65" s="12"/>
      <c r="F65" s="13">
        <f t="shared" si="4"/>
        <v>1511.1111111111111</v>
      </c>
      <c r="G65" s="29"/>
      <c r="H65" s="29"/>
    </row>
    <row r="66" spans="2:11" x14ac:dyDescent="0.2">
      <c r="B66" s="48" t="s">
        <v>86</v>
      </c>
      <c r="C66" s="32"/>
      <c r="D66" s="32"/>
      <c r="E66" s="32"/>
      <c r="F66" s="89">
        <f>SUM(F60:F65)</f>
        <v>24983.703703703701</v>
      </c>
      <c r="G66" s="30"/>
      <c r="H66" s="29"/>
    </row>
    <row r="67" spans="2:11" x14ac:dyDescent="0.2">
      <c r="B67" s="42" t="s">
        <v>91</v>
      </c>
      <c r="C67" s="39"/>
      <c r="D67" s="39"/>
      <c r="E67" s="39"/>
      <c r="F67" s="214">
        <f>F58+F66</f>
        <v>25032.493827160491</v>
      </c>
      <c r="G67" s="29"/>
      <c r="H67" s="29"/>
    </row>
    <row r="68" spans="2:11" x14ac:dyDescent="0.2">
      <c r="B68" s="29"/>
      <c r="C68" s="29"/>
      <c r="D68" s="29"/>
      <c r="E68" s="29"/>
      <c r="F68" s="29"/>
      <c r="G68" s="29"/>
      <c r="H68" s="29"/>
    </row>
    <row r="69" spans="2:11" x14ac:dyDescent="0.2">
      <c r="B69" s="38" t="s">
        <v>116</v>
      </c>
      <c r="C69" s="39"/>
      <c r="D69" s="39"/>
      <c r="E69" s="39"/>
      <c r="F69" s="62"/>
      <c r="G69" s="29"/>
      <c r="H69" s="29"/>
      <c r="K69" s="2"/>
    </row>
    <row r="70" spans="2:11" x14ac:dyDescent="0.2">
      <c r="B70" s="68" t="s">
        <v>85</v>
      </c>
      <c r="C70" s="10"/>
      <c r="D70" s="10"/>
      <c r="E70" s="10"/>
      <c r="F70" s="47">
        <f>F30</f>
        <v>48.79012345679012</v>
      </c>
      <c r="G70" s="29"/>
      <c r="H70" s="29"/>
    </row>
    <row r="71" spans="2:11" x14ac:dyDescent="0.2">
      <c r="B71" s="5" t="s">
        <v>84</v>
      </c>
      <c r="C71" s="12"/>
      <c r="D71" s="12"/>
      <c r="E71" s="12"/>
      <c r="F71" s="72"/>
      <c r="G71" s="29"/>
      <c r="H71" s="29"/>
    </row>
    <row r="72" spans="2:11" x14ac:dyDescent="0.2">
      <c r="B72" s="5" t="s">
        <v>98</v>
      </c>
      <c r="C72" s="12"/>
      <c r="D72" s="12"/>
      <c r="E72" s="12"/>
      <c r="F72" s="13">
        <f>F34</f>
        <v>41.97530864197531</v>
      </c>
      <c r="G72" s="29"/>
      <c r="H72" s="29"/>
    </row>
    <row r="73" spans="2:11" x14ac:dyDescent="0.2">
      <c r="B73" s="5" t="s">
        <v>117</v>
      </c>
      <c r="C73" s="12"/>
      <c r="D73" s="12"/>
      <c r="E73" s="12"/>
      <c r="F73" s="13">
        <f>F35</f>
        <v>8.3950617283950617</v>
      </c>
      <c r="G73" s="29"/>
      <c r="H73" s="29"/>
    </row>
    <row r="74" spans="2:11" x14ac:dyDescent="0.2">
      <c r="B74" s="68" t="s">
        <v>118</v>
      </c>
      <c r="C74" s="10"/>
      <c r="D74" s="10"/>
      <c r="E74" s="10"/>
      <c r="F74" s="47">
        <f>SUM(F72:F73)</f>
        <v>50.370370370370374</v>
      </c>
      <c r="G74" s="29"/>
      <c r="H74" s="29"/>
    </row>
    <row r="75" spans="2:11" x14ac:dyDescent="0.2">
      <c r="B75" s="5" t="s">
        <v>87</v>
      </c>
      <c r="C75" s="12"/>
      <c r="D75" s="12"/>
      <c r="E75" s="12"/>
      <c r="F75" s="25"/>
      <c r="G75" s="29"/>
      <c r="H75" s="29"/>
    </row>
    <row r="76" spans="2:11" x14ac:dyDescent="0.2">
      <c r="B76" s="49" t="s">
        <v>40</v>
      </c>
      <c r="C76" s="12"/>
      <c r="D76" s="12"/>
      <c r="E76" s="12"/>
      <c r="F76" s="13">
        <f>F45</f>
        <v>6933.333333333333</v>
      </c>
      <c r="G76" s="29"/>
      <c r="H76" s="29"/>
    </row>
    <row r="77" spans="2:11" x14ac:dyDescent="0.2">
      <c r="B77" s="49" t="s">
        <v>41</v>
      </c>
      <c r="C77" s="12"/>
      <c r="D77" s="12"/>
      <c r="E77" s="12"/>
      <c r="F77" s="13">
        <f>F46</f>
        <v>4160</v>
      </c>
      <c r="G77" s="29"/>
      <c r="H77" s="29"/>
    </row>
    <row r="78" spans="2:11" x14ac:dyDescent="0.2">
      <c r="B78" s="49" t="s">
        <v>10</v>
      </c>
      <c r="C78" s="12"/>
      <c r="D78" s="12"/>
      <c r="E78" s="12"/>
      <c r="F78" s="13">
        <f>F47</f>
        <v>10400</v>
      </c>
      <c r="G78" s="29"/>
      <c r="H78" s="29"/>
    </row>
    <row r="79" spans="2:11" x14ac:dyDescent="0.2">
      <c r="B79" s="49" t="s">
        <v>42</v>
      </c>
      <c r="C79" s="12"/>
      <c r="D79" s="12"/>
      <c r="E79" s="12"/>
      <c r="F79" s="13">
        <f>F48</f>
        <v>1386.6666666666665</v>
      </c>
      <c r="G79" s="29"/>
      <c r="H79" s="29"/>
    </row>
    <row r="80" spans="2:11" x14ac:dyDescent="0.2">
      <c r="B80" s="55" t="s">
        <v>119</v>
      </c>
      <c r="C80" s="69"/>
      <c r="D80" s="10"/>
      <c r="E80" s="10"/>
      <c r="F80" s="47">
        <f>SUM(F76:F79)</f>
        <v>22880</v>
      </c>
      <c r="G80" s="29"/>
      <c r="H80" s="29"/>
    </row>
    <row r="81" spans="1:8" x14ac:dyDescent="0.2">
      <c r="B81" s="42" t="s">
        <v>90</v>
      </c>
      <c r="C81" s="39"/>
      <c r="D81" s="39"/>
      <c r="E81" s="39"/>
      <c r="F81" s="214">
        <f>F70+F74+F80</f>
        <v>22979.160493827159</v>
      </c>
      <c r="G81" s="29"/>
      <c r="H81" s="29"/>
    </row>
    <row r="82" spans="1:8" x14ac:dyDescent="0.2">
      <c r="B82" s="29"/>
      <c r="C82" s="29"/>
      <c r="D82" s="29"/>
      <c r="E82" s="29"/>
      <c r="F82" s="29"/>
      <c r="G82" s="29"/>
      <c r="H82" s="29"/>
    </row>
    <row r="83" spans="1:8" x14ac:dyDescent="0.2">
      <c r="B83" s="106" t="s">
        <v>121</v>
      </c>
      <c r="C83" s="107"/>
      <c r="D83" s="107"/>
      <c r="E83" s="107"/>
      <c r="F83" s="107"/>
      <c r="G83" s="29"/>
      <c r="H83" s="29"/>
    </row>
    <row r="84" spans="1:8" x14ac:dyDescent="0.2">
      <c r="B84" s="106" t="s">
        <v>203</v>
      </c>
      <c r="C84" s="107"/>
      <c r="D84" s="107"/>
      <c r="E84" s="107"/>
      <c r="F84" s="107"/>
      <c r="G84" s="29"/>
      <c r="H84" s="29"/>
    </row>
    <row r="85" spans="1:8" x14ac:dyDescent="0.2">
      <c r="B85" s="106"/>
      <c r="C85" s="107"/>
      <c r="D85" s="107"/>
      <c r="E85" s="107"/>
      <c r="F85" s="107"/>
      <c r="G85" s="29"/>
      <c r="H85" s="29"/>
    </row>
    <row r="86" spans="1:8" x14ac:dyDescent="0.2">
      <c r="B86" s="107"/>
      <c r="C86" s="107"/>
      <c r="D86" s="107"/>
      <c r="E86" s="107"/>
      <c r="F86" s="107"/>
      <c r="G86" s="29"/>
      <c r="H86" s="29"/>
    </row>
    <row r="87" spans="1:8" x14ac:dyDescent="0.2">
      <c r="B87" s="108" t="s">
        <v>122</v>
      </c>
      <c r="C87" s="109"/>
      <c r="D87" s="109"/>
      <c r="E87" s="109"/>
      <c r="F87" s="109"/>
      <c r="G87" s="29"/>
      <c r="H87" s="29"/>
    </row>
    <row r="88" spans="1:8" x14ac:dyDescent="0.2">
      <c r="B88" s="110" t="s">
        <v>123</v>
      </c>
      <c r="C88" s="107"/>
      <c r="D88" s="107"/>
      <c r="E88" s="29"/>
      <c r="F88" s="111">
        <f>'Kostnadsberegning FØR tiltakene'!$F$116</f>
        <v>43952.531813865149</v>
      </c>
      <c r="G88" s="29"/>
      <c r="H88" s="29"/>
    </row>
    <row r="89" spans="1:8" x14ac:dyDescent="0.2">
      <c r="B89" s="107"/>
      <c r="C89" s="107"/>
      <c r="D89" s="107"/>
      <c r="E89" s="107"/>
      <c r="F89" s="107"/>
      <c r="G89" s="29"/>
      <c r="H89" s="29"/>
    </row>
    <row r="90" spans="1:8" x14ac:dyDescent="0.2">
      <c r="A90" s="31"/>
      <c r="B90" s="107" t="s">
        <v>292</v>
      </c>
      <c r="C90" s="107"/>
      <c r="D90" s="107"/>
      <c r="E90" s="29"/>
      <c r="F90" s="112">
        <f>F67</f>
        <v>25032.493827160491</v>
      </c>
      <c r="G90" s="29"/>
      <c r="H90" s="29"/>
    </row>
    <row r="91" spans="1:8" x14ac:dyDescent="0.2">
      <c r="A91" s="31"/>
      <c r="B91" s="107" t="s">
        <v>293</v>
      </c>
      <c r="C91" s="107"/>
      <c r="D91" s="107"/>
      <c r="E91" s="29"/>
      <c r="F91" s="112">
        <f>F81</f>
        <v>22979.160493827159</v>
      </c>
      <c r="G91" s="29"/>
      <c r="H91" s="29"/>
    </row>
    <row r="92" spans="1:8" x14ac:dyDescent="0.2">
      <c r="A92" s="124"/>
      <c r="B92" s="22"/>
      <c r="C92" s="12"/>
      <c r="D92" s="12"/>
      <c r="E92" s="22"/>
      <c r="F92" s="12"/>
      <c r="G92" s="12"/>
      <c r="H92" s="29"/>
    </row>
    <row r="93" spans="1:8" x14ac:dyDescent="0.2">
      <c r="A93" s="124"/>
      <c r="B93" s="22"/>
      <c r="C93" s="12"/>
      <c r="D93" s="12"/>
      <c r="E93" s="12" t="s">
        <v>161</v>
      </c>
      <c r="F93" s="12"/>
      <c r="G93" s="12"/>
      <c r="H93" s="29"/>
    </row>
    <row r="94" spans="1:8" x14ac:dyDescent="0.2">
      <c r="A94" s="31"/>
      <c r="B94" s="29"/>
      <c r="C94" s="29"/>
      <c r="D94" s="29"/>
      <c r="E94" s="29"/>
      <c r="F94" s="29"/>
      <c r="G94" s="29"/>
      <c r="H94" s="29"/>
    </row>
    <row r="95" spans="1:8" x14ac:dyDescent="0.2">
      <c r="B95" s="107" t="s">
        <v>124</v>
      </c>
      <c r="C95" s="29"/>
      <c r="D95" s="29"/>
      <c r="E95" s="29"/>
      <c r="F95" s="29"/>
      <c r="G95" s="29"/>
      <c r="H95" s="29"/>
    </row>
    <row r="96" spans="1:8" x14ac:dyDescent="0.2">
      <c r="B96" s="107" t="s">
        <v>294</v>
      </c>
      <c r="C96" s="29"/>
      <c r="D96" s="29"/>
      <c r="E96" s="29"/>
      <c r="F96" s="29"/>
      <c r="G96" s="29"/>
      <c r="H96" s="29"/>
    </row>
    <row r="97" spans="2:6" x14ac:dyDescent="0.2">
      <c r="B97" s="113"/>
      <c r="C97" s="31"/>
      <c r="D97" s="31"/>
      <c r="E97" s="31"/>
      <c r="F97" s="31"/>
    </row>
    <row r="105" spans="2:6" x14ac:dyDescent="0.2">
      <c r="B105" s="23"/>
      <c r="C105" s="19"/>
      <c r="D105" s="19"/>
      <c r="E105" s="19"/>
      <c r="F105" s="23"/>
    </row>
    <row r="106" spans="2:6" x14ac:dyDescent="0.2">
      <c r="B106" s="91"/>
      <c r="C106" s="91"/>
      <c r="D106" s="91"/>
      <c r="E106" s="19"/>
      <c r="F106" s="23"/>
    </row>
    <row r="107" spans="2:6" x14ac:dyDescent="0.2">
      <c r="B107" s="19"/>
      <c r="C107" s="19"/>
      <c r="D107" s="19"/>
      <c r="E107" s="19"/>
      <c r="F107" s="23"/>
    </row>
    <row r="108" spans="2:6" x14ac:dyDescent="0.2">
      <c r="B108" s="19"/>
      <c r="C108" s="19"/>
      <c r="D108" s="19"/>
      <c r="E108" s="19"/>
      <c r="F108" s="23"/>
    </row>
    <row r="109" spans="2:6" x14ac:dyDescent="0.2">
      <c r="B109" s="19"/>
      <c r="C109" s="19"/>
      <c r="D109" s="19"/>
      <c r="E109" s="19"/>
      <c r="F109" s="19"/>
    </row>
    <row r="110" spans="2:6" x14ac:dyDescent="0.2">
      <c r="B110" s="19"/>
      <c r="C110" s="19"/>
      <c r="D110" s="19"/>
      <c r="E110" s="19"/>
      <c r="F110" s="23"/>
    </row>
    <row r="111" spans="2:6" x14ac:dyDescent="0.2">
      <c r="B111" s="19"/>
      <c r="C111" s="19"/>
      <c r="D111" s="23"/>
      <c r="E111" s="19"/>
      <c r="F111" s="23"/>
    </row>
    <row r="112" spans="2:6" x14ac:dyDescent="0.2">
      <c r="B112" s="19"/>
      <c r="C112" s="19"/>
      <c r="D112" s="23"/>
      <c r="E112" s="19"/>
      <c r="F112" s="23"/>
    </row>
    <row r="113" spans="2:12" x14ac:dyDescent="0.2">
      <c r="B113" s="23"/>
      <c r="C113" s="19"/>
      <c r="D113" s="19"/>
      <c r="E113" s="19"/>
      <c r="F113" s="23"/>
    </row>
    <row r="114" spans="2:12" x14ac:dyDescent="0.2">
      <c r="B114" s="23"/>
      <c r="C114" s="19"/>
      <c r="D114" s="23"/>
      <c r="E114" s="19"/>
      <c r="F114" s="23"/>
    </row>
    <row r="115" spans="2:12" x14ac:dyDescent="0.2">
      <c r="B115" s="23"/>
      <c r="C115" s="19"/>
      <c r="D115" s="19"/>
      <c r="E115" s="19"/>
      <c r="F115" s="23"/>
    </row>
    <row r="117" spans="2:12" x14ac:dyDescent="0.2">
      <c r="B117" s="91"/>
      <c r="C117" s="91"/>
      <c r="D117" s="91"/>
      <c r="E117" s="91"/>
      <c r="F117" s="91"/>
    </row>
    <row r="118" spans="2:12" x14ac:dyDescent="0.2">
      <c r="B118" s="19"/>
      <c r="C118" s="19"/>
      <c r="D118" s="19"/>
      <c r="E118" s="19"/>
      <c r="F118" s="23"/>
    </row>
    <row r="119" spans="2:12" x14ac:dyDescent="0.2">
      <c r="B119" s="19"/>
      <c r="C119" s="19"/>
      <c r="D119" s="19"/>
      <c r="E119" s="19"/>
      <c r="F119" s="19"/>
    </row>
    <row r="120" spans="2:12" x14ac:dyDescent="0.2">
      <c r="B120" s="19"/>
      <c r="C120" s="19"/>
      <c r="D120" s="19"/>
      <c r="E120" s="19"/>
      <c r="F120" s="23"/>
    </row>
    <row r="121" spans="2:12" x14ac:dyDescent="0.2">
      <c r="B121" s="23"/>
      <c r="C121" s="19"/>
      <c r="D121" s="19"/>
      <c r="E121" s="19"/>
      <c r="F121" s="23"/>
    </row>
    <row r="122" spans="2:12" x14ac:dyDescent="0.2">
      <c r="B122" s="19"/>
      <c r="C122" s="19"/>
      <c r="D122" s="19"/>
      <c r="E122" s="19"/>
      <c r="F122" s="23"/>
    </row>
    <row r="123" spans="2:12" x14ac:dyDescent="0.2">
      <c r="B123" s="19"/>
      <c r="C123" s="19"/>
      <c r="D123" s="19"/>
      <c r="E123" s="19"/>
      <c r="F123" s="19"/>
      <c r="G123" s="19"/>
    </row>
    <row r="124" spans="2:12" x14ac:dyDescent="0.2">
      <c r="B124" s="23"/>
      <c r="C124" s="23"/>
      <c r="D124" s="23"/>
      <c r="E124" s="23"/>
      <c r="F124" s="19"/>
      <c r="G124" s="19"/>
    </row>
    <row r="125" spans="2:12" x14ac:dyDescent="0.2">
      <c r="B125" s="23"/>
      <c r="C125" s="92"/>
      <c r="D125" s="23"/>
      <c r="E125" s="23"/>
      <c r="F125" s="19"/>
      <c r="G125" s="19"/>
    </row>
    <row r="126" spans="2:12" x14ac:dyDescent="0.2">
      <c r="B126" s="23"/>
      <c r="C126" s="92"/>
      <c r="D126" s="23"/>
      <c r="E126" s="23"/>
      <c r="F126" s="19"/>
      <c r="G126" s="19"/>
      <c r="J126" s="2"/>
      <c r="L126" s="2"/>
    </row>
    <row r="127" spans="2:12" x14ac:dyDescent="0.2">
      <c r="B127" s="23"/>
      <c r="C127" s="92"/>
      <c r="D127" s="23"/>
      <c r="E127" s="23"/>
      <c r="F127" s="19"/>
      <c r="G127" s="19"/>
    </row>
    <row r="128" spans="2:12" x14ac:dyDescent="0.2">
      <c r="B128" s="23"/>
      <c r="C128" s="23"/>
      <c r="D128" s="23"/>
      <c r="E128" s="23"/>
      <c r="F128" s="19"/>
      <c r="G128" s="19"/>
    </row>
    <row r="129" spans="2:15" x14ac:dyDescent="0.2">
      <c r="B129" s="93"/>
      <c r="C129" s="23"/>
      <c r="D129" s="23"/>
      <c r="E129" s="23"/>
      <c r="F129" s="19"/>
      <c r="G129" s="19"/>
    </row>
    <row r="130" spans="2:15" x14ac:dyDescent="0.2">
      <c r="B130" s="93"/>
      <c r="C130" s="23"/>
      <c r="D130" s="23"/>
      <c r="E130" s="23"/>
      <c r="F130" s="19"/>
      <c r="G130" s="19"/>
      <c r="H130" s="31"/>
      <c r="I130" s="31"/>
      <c r="J130" s="31"/>
      <c r="K130" s="31"/>
      <c r="L130" s="31"/>
      <c r="M130" s="31"/>
      <c r="N130" s="31"/>
      <c r="O130" s="31"/>
    </row>
    <row r="131" spans="2:15" x14ac:dyDescent="0.2">
      <c r="B131" s="19"/>
      <c r="C131" s="19"/>
      <c r="D131" s="19"/>
      <c r="E131" s="19"/>
      <c r="F131" s="19"/>
      <c r="G131" s="19"/>
      <c r="H131" s="31"/>
      <c r="I131" s="31"/>
      <c r="J131" s="31"/>
      <c r="K131" s="31"/>
      <c r="L131" s="31"/>
      <c r="M131" s="31"/>
      <c r="N131" s="31"/>
      <c r="O131" s="31"/>
    </row>
    <row r="132" spans="2:15" x14ac:dyDescent="0.2">
      <c r="B132" s="19"/>
      <c r="C132" s="19"/>
      <c r="D132" s="19"/>
      <c r="E132" s="23"/>
      <c r="F132" s="19"/>
      <c r="G132" s="19"/>
      <c r="H132" s="31"/>
      <c r="I132" s="31"/>
      <c r="J132" s="31"/>
      <c r="K132" s="31"/>
      <c r="L132" s="31"/>
      <c r="M132" s="31"/>
      <c r="N132" s="31"/>
      <c r="O132" s="31"/>
    </row>
    <row r="133" spans="2:15" x14ac:dyDescent="0.2">
      <c r="B133" s="19"/>
      <c r="C133" s="19"/>
      <c r="D133" s="19"/>
      <c r="E133" s="23"/>
      <c r="F133" s="19"/>
      <c r="G133" s="19"/>
    </row>
    <row r="134" spans="2:15" x14ac:dyDescent="0.2">
      <c r="B134" s="19"/>
      <c r="C134" s="19"/>
      <c r="D134" s="19"/>
      <c r="E134" s="19"/>
      <c r="F134" s="19"/>
      <c r="G134" s="19"/>
    </row>
    <row r="135" spans="2:15" x14ac:dyDescent="0.2">
      <c r="B135" s="19"/>
      <c r="C135" s="19"/>
      <c r="D135" s="19"/>
      <c r="E135" s="19"/>
      <c r="F135" s="19"/>
      <c r="G135" s="19"/>
    </row>
    <row r="136" spans="2:15" x14ac:dyDescent="0.2">
      <c r="B136" s="19"/>
      <c r="C136" s="19"/>
      <c r="D136" s="19"/>
      <c r="E136" s="19"/>
      <c r="F136" s="19"/>
      <c r="G136" s="19"/>
    </row>
    <row r="137" spans="2:15" x14ac:dyDescent="0.2">
      <c r="B137" s="19"/>
      <c r="C137" s="19"/>
      <c r="D137" s="19"/>
      <c r="E137" s="19"/>
      <c r="F137" s="19"/>
      <c r="G137" s="19"/>
    </row>
    <row r="138" spans="2:15" x14ac:dyDescent="0.2">
      <c r="B138" s="19"/>
      <c r="C138" s="19"/>
      <c r="D138" s="19"/>
      <c r="E138" s="19"/>
      <c r="F138" s="19"/>
      <c r="G138" s="19"/>
    </row>
    <row r="139" spans="2:15" x14ac:dyDescent="0.2">
      <c r="B139" s="19"/>
      <c r="C139" s="19"/>
      <c r="D139" s="19"/>
      <c r="E139" s="19"/>
      <c r="F139" s="19"/>
      <c r="G139" s="19"/>
    </row>
    <row r="141" spans="2:15" x14ac:dyDescent="0.2">
      <c r="B141" s="19"/>
    </row>
  </sheetData>
  <mergeCells count="3">
    <mergeCell ref="C13:D13"/>
    <mergeCell ref="E13:F13"/>
    <mergeCell ref="G13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2"/>
  <sheetViews>
    <sheetView topLeftCell="A120" zoomScale="84" workbookViewId="0">
      <selection activeCell="B158" sqref="B158"/>
    </sheetView>
  </sheetViews>
  <sheetFormatPr baseColWidth="10" defaultRowHeight="16" x14ac:dyDescent="0.2"/>
  <cols>
    <col min="3" max="3" width="28.5" bestFit="1" customWidth="1"/>
    <col min="4" max="4" width="11.1640625" bestFit="1" customWidth="1"/>
    <col min="5" max="5" width="12.6640625" bestFit="1" customWidth="1"/>
    <col min="7" max="7" width="12.6640625" bestFit="1" customWidth="1"/>
    <col min="9" max="9" width="11.6640625" bestFit="1" customWidth="1"/>
  </cols>
  <sheetData>
    <row r="1" spans="2:15" ht="31" x14ac:dyDescent="0.35">
      <c r="B1" s="1" t="s">
        <v>210</v>
      </c>
    </row>
    <row r="4" spans="2:15" x14ac:dyDescent="0.2">
      <c r="C4" s="40" t="s">
        <v>25</v>
      </c>
      <c r="D4" s="261" t="s">
        <v>7</v>
      </c>
      <c r="E4" s="262"/>
      <c r="F4" s="261" t="s">
        <v>23</v>
      </c>
      <c r="G4" s="262"/>
      <c r="H4" s="261" t="s">
        <v>24</v>
      </c>
      <c r="I4" s="262"/>
    </row>
    <row r="5" spans="2:15" x14ac:dyDescent="0.2">
      <c r="C5" s="8" t="s">
        <v>21</v>
      </c>
      <c r="D5" s="12"/>
      <c r="E5" s="13">
        <v>40</v>
      </c>
      <c r="F5" s="12"/>
      <c r="G5" s="13">
        <v>12</v>
      </c>
      <c r="H5" s="12"/>
      <c r="I5" s="13">
        <v>8</v>
      </c>
    </row>
    <row r="6" spans="2:15" x14ac:dyDescent="0.2">
      <c r="C6" s="5" t="s">
        <v>16</v>
      </c>
      <c r="D6" s="12"/>
      <c r="E6" s="13">
        <v>1687.5</v>
      </c>
      <c r="F6" s="12"/>
      <c r="G6" s="13">
        <v>1687.5</v>
      </c>
      <c r="H6" s="12"/>
      <c r="I6" s="13">
        <v>1687.5</v>
      </c>
    </row>
    <row r="7" spans="2:15" x14ac:dyDescent="0.2">
      <c r="C7" s="5" t="s">
        <v>17</v>
      </c>
      <c r="D7" s="12"/>
      <c r="E7" s="13">
        <f>E5*E6</f>
        <v>67500</v>
      </c>
      <c r="F7" s="12"/>
      <c r="G7" s="13">
        <f>G5*G6</f>
        <v>20250</v>
      </c>
      <c r="H7" s="12"/>
      <c r="I7" s="13">
        <f>I5*I6</f>
        <v>13500</v>
      </c>
    </row>
    <row r="8" spans="2:15" x14ac:dyDescent="0.2">
      <c r="C8" s="5" t="s">
        <v>22</v>
      </c>
      <c r="D8" s="12"/>
      <c r="E8" s="13">
        <f>E7*60</f>
        <v>4050000</v>
      </c>
      <c r="F8" s="12"/>
      <c r="G8" s="13">
        <f>G7*60</f>
        <v>1215000</v>
      </c>
      <c r="H8" s="12"/>
      <c r="I8" s="13">
        <f>I7*60</f>
        <v>810000</v>
      </c>
    </row>
    <row r="9" spans="2:15" x14ac:dyDescent="0.2">
      <c r="C9" s="5" t="s">
        <v>18</v>
      </c>
      <c r="D9" s="12"/>
      <c r="E9" s="13">
        <v>520000</v>
      </c>
      <c r="F9" s="12"/>
      <c r="G9" s="13">
        <v>850000</v>
      </c>
      <c r="H9" s="12"/>
      <c r="I9" s="13">
        <v>780000</v>
      </c>
    </row>
    <row r="10" spans="2:15" x14ac:dyDescent="0.2">
      <c r="C10" s="5" t="s">
        <v>19</v>
      </c>
      <c r="D10" s="12"/>
      <c r="E10" s="13">
        <f>E5*E9</f>
        <v>20800000</v>
      </c>
      <c r="F10" s="12"/>
      <c r="G10" s="13">
        <f>G5*G9</f>
        <v>10200000</v>
      </c>
      <c r="H10" s="12"/>
      <c r="I10" s="13">
        <f>I5*I9</f>
        <v>6240000</v>
      </c>
      <c r="L10" s="135"/>
      <c r="M10" s="135"/>
      <c r="N10" s="135"/>
      <c r="O10" s="31"/>
    </row>
    <row r="11" spans="2:15" x14ac:dyDescent="0.2">
      <c r="C11" s="9" t="s">
        <v>20</v>
      </c>
      <c r="D11" s="14"/>
      <c r="E11" s="15">
        <f>E10/E8</f>
        <v>5.1358024691358022</v>
      </c>
      <c r="F11" s="14"/>
      <c r="G11" s="20">
        <f>G10/G8</f>
        <v>8.3950617283950617</v>
      </c>
      <c r="H11" s="14"/>
      <c r="I11" s="20">
        <f>I10/I8</f>
        <v>7.7037037037037033</v>
      </c>
      <c r="L11" s="135"/>
      <c r="M11" s="135"/>
      <c r="N11" s="135"/>
      <c r="O11" s="31"/>
    </row>
    <row r="12" spans="2:15" x14ac:dyDescent="0.2">
      <c r="L12" s="135"/>
      <c r="M12" s="135"/>
      <c r="N12" s="135"/>
      <c r="O12" s="31"/>
    </row>
    <row r="15" spans="2:15" ht="21" x14ac:dyDescent="0.25">
      <c r="B15" s="181" t="s">
        <v>211</v>
      </c>
      <c r="C15" s="182"/>
      <c r="D15" s="182" t="s">
        <v>39</v>
      </c>
      <c r="E15" s="182"/>
      <c r="F15" s="182">
        <v>16</v>
      </c>
      <c r="G15" s="182"/>
      <c r="H15" s="182"/>
      <c r="I15" s="183"/>
      <c r="J15" s="171"/>
      <c r="K15" s="135"/>
    </row>
    <row r="16" spans="2:15" x14ac:dyDescent="0.2">
      <c r="B16" s="26" t="s">
        <v>212</v>
      </c>
      <c r="C16" s="12"/>
      <c r="D16" s="12"/>
      <c r="E16" s="12"/>
      <c r="F16" s="12"/>
      <c r="G16" s="12"/>
      <c r="H16" s="12"/>
      <c r="I16" s="25"/>
      <c r="J16" s="135"/>
      <c r="K16" s="135"/>
    </row>
    <row r="17" spans="2:17" x14ac:dyDescent="0.2">
      <c r="B17" s="26" t="s">
        <v>213</v>
      </c>
      <c r="C17" s="12"/>
      <c r="D17" s="12"/>
      <c r="E17" s="12"/>
      <c r="F17" s="12"/>
      <c r="G17" s="12"/>
      <c r="H17" s="12"/>
      <c r="I17" s="25"/>
      <c r="J17" s="171"/>
      <c r="K17" s="135"/>
    </row>
    <row r="18" spans="2:17" x14ac:dyDescent="0.2">
      <c r="B18" s="26"/>
      <c r="C18" s="12"/>
      <c r="D18" s="12"/>
      <c r="E18" s="12"/>
      <c r="F18" s="12"/>
      <c r="G18" s="12"/>
      <c r="H18" s="12"/>
      <c r="I18" s="25"/>
    </row>
    <row r="19" spans="2:17" ht="21" x14ac:dyDescent="0.25">
      <c r="B19" s="184" t="s">
        <v>214</v>
      </c>
      <c r="C19" s="22"/>
      <c r="D19" s="22"/>
      <c r="E19" s="22"/>
      <c r="F19" s="22"/>
      <c r="G19" s="22"/>
      <c r="H19" s="22"/>
      <c r="I19" s="13"/>
    </row>
    <row r="20" spans="2:17" x14ac:dyDescent="0.2">
      <c r="B20" s="63"/>
      <c r="C20" s="22"/>
      <c r="D20" s="22"/>
      <c r="E20" s="22"/>
      <c r="F20" s="22"/>
      <c r="G20" s="22"/>
      <c r="H20" s="22"/>
      <c r="I20" s="13"/>
    </row>
    <row r="21" spans="2:17" x14ac:dyDescent="0.2">
      <c r="B21" s="185" t="s">
        <v>85</v>
      </c>
      <c r="C21" s="22"/>
      <c r="D21" s="22"/>
      <c r="E21" s="22"/>
      <c r="F21" s="22"/>
      <c r="G21" s="22"/>
      <c r="H21" s="22"/>
      <c r="I21" s="13"/>
    </row>
    <row r="22" spans="2:17" x14ac:dyDescent="0.2">
      <c r="B22" s="63"/>
      <c r="C22" s="22"/>
      <c r="D22" s="22"/>
      <c r="E22" s="22"/>
      <c r="F22" s="22"/>
      <c r="G22" s="22"/>
      <c r="H22" s="22"/>
      <c r="I22" s="13"/>
    </row>
    <row r="23" spans="2:17" x14ac:dyDescent="0.2">
      <c r="B23" s="63" t="s">
        <v>215</v>
      </c>
      <c r="C23" s="22"/>
      <c r="D23" s="22"/>
      <c r="E23" s="22"/>
      <c r="F23" s="22"/>
      <c r="G23" s="22"/>
      <c r="H23" s="22">
        <v>15</v>
      </c>
      <c r="I23" s="13" t="s">
        <v>165</v>
      </c>
    </row>
    <row r="24" spans="2:17" x14ac:dyDescent="0.2">
      <c r="B24" s="63" t="s">
        <v>224</v>
      </c>
      <c r="C24" s="22"/>
      <c r="D24" s="22"/>
      <c r="E24" s="22"/>
      <c r="F24" s="22"/>
      <c r="G24" s="22"/>
      <c r="H24" s="22">
        <f>$E$11</f>
        <v>5.1358024691358022</v>
      </c>
      <c r="I24" s="13" t="s">
        <v>164</v>
      </c>
    </row>
    <row r="25" spans="2:17" x14ac:dyDescent="0.2">
      <c r="B25" s="63" t="s">
        <v>218</v>
      </c>
      <c r="C25" s="22"/>
      <c r="D25" s="22"/>
      <c r="E25" s="22"/>
      <c r="F25" s="22"/>
      <c r="G25" s="22"/>
      <c r="H25" s="22">
        <f>H23*H24*F15</f>
        <v>1232.5925925925926</v>
      </c>
      <c r="I25" s="13" t="s">
        <v>164</v>
      </c>
    </row>
    <row r="26" spans="2:17" x14ac:dyDescent="0.2">
      <c r="B26" s="63"/>
      <c r="C26" s="22"/>
      <c r="D26" s="22"/>
      <c r="E26" s="22"/>
      <c r="F26" s="22"/>
      <c r="G26" s="22"/>
      <c r="H26" s="22"/>
      <c r="I26" s="13"/>
    </row>
    <row r="27" spans="2:17" x14ac:dyDescent="0.2">
      <c r="B27" s="63" t="s">
        <v>216</v>
      </c>
      <c r="C27" s="22"/>
      <c r="D27" s="22"/>
      <c r="E27" s="22"/>
      <c r="F27" s="22"/>
      <c r="G27" s="22"/>
      <c r="H27" s="22">
        <v>5</v>
      </c>
      <c r="I27" s="13" t="s">
        <v>165</v>
      </c>
    </row>
    <row r="28" spans="2:17" x14ac:dyDescent="0.2">
      <c r="B28" s="63" t="s">
        <v>217</v>
      </c>
      <c r="C28" s="22"/>
      <c r="D28" s="22"/>
      <c r="E28" s="22"/>
      <c r="F28" s="22"/>
      <c r="G28" s="22"/>
      <c r="H28" s="22">
        <f>H27*H24*F15</f>
        <v>410.8641975308642</v>
      </c>
      <c r="I28" s="13" t="s">
        <v>164</v>
      </c>
    </row>
    <row r="29" spans="2:17" x14ac:dyDescent="0.2">
      <c r="B29" s="63" t="s">
        <v>227</v>
      </c>
      <c r="C29" s="22"/>
      <c r="D29" s="22"/>
      <c r="E29" s="22"/>
      <c r="F29" s="22"/>
      <c r="G29" s="22"/>
      <c r="H29" s="22">
        <f>H25-H28</f>
        <v>821.72839506172841</v>
      </c>
      <c r="I29" s="13" t="s">
        <v>164</v>
      </c>
    </row>
    <row r="30" spans="2:17" x14ac:dyDescent="0.2">
      <c r="B30" s="63"/>
      <c r="C30" s="22"/>
      <c r="D30" s="22"/>
      <c r="E30" s="22"/>
      <c r="F30" s="22"/>
      <c r="G30" s="22"/>
      <c r="H30" s="22"/>
      <c r="I30" s="13"/>
    </row>
    <row r="31" spans="2:17" x14ac:dyDescent="0.2">
      <c r="B31" s="63" t="s">
        <v>219</v>
      </c>
      <c r="C31" s="22"/>
      <c r="D31" s="22"/>
      <c r="E31" s="22"/>
      <c r="F31" s="22"/>
      <c r="G31" s="22"/>
      <c r="H31" s="22"/>
      <c r="I31" s="13"/>
      <c r="K31" s="134"/>
      <c r="L31" s="135"/>
      <c r="M31" s="135"/>
      <c r="N31" s="135"/>
      <c r="O31" s="31"/>
      <c r="P31" s="31"/>
      <c r="Q31" s="31"/>
    </row>
    <row r="32" spans="2:17" x14ac:dyDescent="0.2">
      <c r="B32" s="63" t="s">
        <v>220</v>
      </c>
      <c r="C32" s="22"/>
      <c r="D32" s="22"/>
      <c r="E32" s="22"/>
      <c r="F32" s="22"/>
      <c r="G32" s="22"/>
      <c r="H32" s="22"/>
      <c r="I32" s="13"/>
      <c r="K32" s="134"/>
      <c r="L32" s="135"/>
      <c r="M32" s="135"/>
      <c r="N32" s="135"/>
      <c r="O32" s="31"/>
      <c r="P32" s="31"/>
      <c r="Q32" s="31"/>
    </row>
    <row r="33" spans="2:17" x14ac:dyDescent="0.2">
      <c r="B33" s="63" t="s">
        <v>221</v>
      </c>
      <c r="C33" s="22"/>
      <c r="D33" s="22"/>
      <c r="E33" s="22"/>
      <c r="F33" s="22"/>
      <c r="G33" s="22"/>
      <c r="H33" s="22"/>
      <c r="I33" s="13"/>
      <c r="K33" s="134"/>
      <c r="L33" s="135"/>
      <c r="M33" s="135"/>
      <c r="N33" s="135"/>
      <c r="O33" s="31"/>
      <c r="P33" s="31"/>
      <c r="Q33" s="31"/>
    </row>
    <row r="34" spans="2:17" x14ac:dyDescent="0.2">
      <c r="B34" s="63" t="s">
        <v>222</v>
      </c>
      <c r="C34" s="22"/>
      <c r="D34" s="22"/>
      <c r="E34" s="22"/>
      <c r="F34" s="22"/>
      <c r="G34" s="22"/>
      <c r="H34" s="22"/>
      <c r="I34" s="13"/>
      <c r="K34" s="172"/>
      <c r="L34" s="135"/>
      <c r="M34" s="135"/>
      <c r="N34" s="135"/>
      <c r="O34" s="31"/>
      <c r="P34" s="31"/>
      <c r="Q34" s="31"/>
    </row>
    <row r="35" spans="2:17" x14ac:dyDescent="0.2">
      <c r="B35" s="186" t="s">
        <v>251</v>
      </c>
      <c r="C35" s="94"/>
      <c r="D35" s="94"/>
      <c r="E35" s="94"/>
      <c r="F35" s="94"/>
      <c r="G35" s="94"/>
      <c r="H35" s="94">
        <f>H29*2</f>
        <v>1643.4567901234568</v>
      </c>
      <c r="I35" s="187" t="s">
        <v>164</v>
      </c>
    </row>
    <row r="36" spans="2:17" x14ac:dyDescent="0.2">
      <c r="B36" s="63"/>
      <c r="C36" s="22"/>
      <c r="D36" s="22"/>
      <c r="E36" s="22"/>
      <c r="F36" s="22"/>
      <c r="G36" s="22"/>
      <c r="H36" s="22"/>
      <c r="I36" s="13"/>
    </row>
    <row r="37" spans="2:17" x14ac:dyDescent="0.2">
      <c r="B37" s="185" t="s">
        <v>87</v>
      </c>
      <c r="C37" s="22"/>
      <c r="D37" s="22"/>
      <c r="E37" s="22"/>
      <c r="F37" s="22"/>
      <c r="G37" s="22"/>
      <c r="H37" s="22"/>
      <c r="I37" s="13"/>
    </row>
    <row r="38" spans="2:17" x14ac:dyDescent="0.2">
      <c r="B38" s="63"/>
      <c r="C38" s="22"/>
      <c r="D38" s="22"/>
      <c r="E38" s="22"/>
      <c r="F38" s="22"/>
      <c r="G38" s="22"/>
      <c r="H38" s="22"/>
      <c r="I38" s="13"/>
    </row>
    <row r="39" spans="2:17" x14ac:dyDescent="0.2">
      <c r="B39" s="63" t="s">
        <v>223</v>
      </c>
      <c r="C39" s="22"/>
      <c r="D39" s="22"/>
      <c r="E39" s="22"/>
      <c r="F39" s="22"/>
      <c r="G39" s="22"/>
      <c r="H39" s="22">
        <f>900+540+1350+180</f>
        <v>2970</v>
      </c>
      <c r="I39" s="13" t="s">
        <v>165</v>
      </c>
    </row>
    <row r="40" spans="2:17" x14ac:dyDescent="0.2">
      <c r="B40" s="63" t="s">
        <v>226</v>
      </c>
      <c r="C40" s="22"/>
      <c r="D40" s="22"/>
      <c r="E40" s="22"/>
      <c r="F40" s="22"/>
      <c r="G40" s="22"/>
      <c r="H40" s="22">
        <f>H39*F15</f>
        <v>47520</v>
      </c>
      <c r="I40" s="13" t="s">
        <v>165</v>
      </c>
    </row>
    <row r="41" spans="2:17" x14ac:dyDescent="0.2">
      <c r="B41" s="63" t="s">
        <v>224</v>
      </c>
      <c r="C41" s="22"/>
      <c r="D41" s="22"/>
      <c r="E41" s="22"/>
      <c r="F41" s="22"/>
      <c r="G41" s="22"/>
      <c r="H41" s="22">
        <f>$I$11</f>
        <v>7.7037037037037033</v>
      </c>
      <c r="I41" s="13" t="s">
        <v>164</v>
      </c>
    </row>
    <row r="42" spans="2:17" x14ac:dyDescent="0.2">
      <c r="B42" s="186" t="s">
        <v>225</v>
      </c>
      <c r="C42" s="94"/>
      <c r="D42" s="94"/>
      <c r="E42" s="94"/>
      <c r="F42" s="94"/>
      <c r="G42" s="94"/>
      <c r="H42" s="94">
        <f>H40*H41</f>
        <v>366080</v>
      </c>
      <c r="I42" s="187" t="s">
        <v>164</v>
      </c>
    </row>
    <row r="43" spans="2:17" x14ac:dyDescent="0.2">
      <c r="B43" s="63"/>
      <c r="C43" s="22"/>
      <c r="D43" s="22"/>
      <c r="E43" s="22"/>
      <c r="F43" s="22"/>
      <c r="G43" s="22"/>
      <c r="H43" s="22"/>
      <c r="I43" s="13"/>
    </row>
    <row r="44" spans="2:17" x14ac:dyDescent="0.2">
      <c r="B44" s="185" t="s">
        <v>84</v>
      </c>
      <c r="C44" s="22"/>
      <c r="D44" s="22"/>
      <c r="E44" s="22"/>
      <c r="F44" s="22"/>
      <c r="G44" s="22"/>
      <c r="H44" s="22"/>
      <c r="I44" s="13"/>
    </row>
    <row r="45" spans="2:17" x14ac:dyDescent="0.2">
      <c r="B45" s="63"/>
      <c r="C45" s="22"/>
      <c r="D45" s="22"/>
      <c r="E45" s="22"/>
      <c r="F45" s="22"/>
      <c r="G45" s="22"/>
      <c r="H45" s="22"/>
      <c r="I45" s="13"/>
    </row>
    <row r="46" spans="2:17" x14ac:dyDescent="0.2">
      <c r="B46" s="63" t="s">
        <v>163</v>
      </c>
      <c r="C46" s="22"/>
      <c r="D46" s="22"/>
      <c r="E46" s="22"/>
      <c r="F46" s="22"/>
      <c r="G46" s="22"/>
      <c r="H46" s="22">
        <v>6</v>
      </c>
      <c r="I46" s="13" t="s">
        <v>165</v>
      </c>
    </row>
    <row r="47" spans="2:17" x14ac:dyDescent="0.2">
      <c r="B47" s="63" t="s">
        <v>224</v>
      </c>
      <c r="C47" s="22"/>
      <c r="D47" s="22"/>
      <c r="E47" s="22"/>
      <c r="F47" s="22"/>
      <c r="G47" s="22"/>
      <c r="H47" s="22">
        <f>$G$11</f>
        <v>8.3950617283950617</v>
      </c>
      <c r="I47" s="13" t="s">
        <v>164</v>
      </c>
    </row>
    <row r="48" spans="2:17" x14ac:dyDescent="0.2">
      <c r="B48" s="186" t="s">
        <v>228</v>
      </c>
      <c r="C48" s="94"/>
      <c r="D48" s="94"/>
      <c r="E48" s="94"/>
      <c r="F48" s="94"/>
      <c r="G48" s="94"/>
      <c r="H48" s="94">
        <f>H46*H47*F15</f>
        <v>805.92592592592587</v>
      </c>
      <c r="I48" s="187" t="s">
        <v>164</v>
      </c>
    </row>
    <row r="49" spans="2:9" x14ac:dyDescent="0.2">
      <c r="B49" s="63"/>
      <c r="C49" s="22"/>
      <c r="D49" s="22"/>
      <c r="E49" s="22"/>
      <c r="F49" s="22"/>
      <c r="G49" s="22"/>
      <c r="H49" s="22"/>
      <c r="I49" s="13"/>
    </row>
    <row r="50" spans="2:9" x14ac:dyDescent="0.2">
      <c r="B50" s="185" t="s">
        <v>138</v>
      </c>
      <c r="C50" s="22"/>
      <c r="D50" s="22"/>
      <c r="E50" s="22"/>
      <c r="F50" s="22"/>
      <c r="G50" s="22"/>
      <c r="H50" s="22"/>
      <c r="I50" s="13"/>
    </row>
    <row r="51" spans="2:9" x14ac:dyDescent="0.2">
      <c r="B51" s="63"/>
      <c r="C51" s="22"/>
      <c r="D51" s="22"/>
      <c r="E51" s="22"/>
      <c r="F51" s="22"/>
      <c r="G51" s="22"/>
      <c r="H51" s="22"/>
      <c r="I51" s="13"/>
    </row>
    <row r="52" spans="2:9" x14ac:dyDescent="0.2">
      <c r="B52" s="188" t="s">
        <v>229</v>
      </c>
      <c r="C52" s="22"/>
      <c r="D52" s="22"/>
      <c r="E52" s="22"/>
      <c r="F52" s="22"/>
      <c r="G52" s="22"/>
      <c r="H52" s="22">
        <v>100</v>
      </c>
      <c r="I52" s="13" t="s">
        <v>164</v>
      </c>
    </row>
    <row r="53" spans="2:9" x14ac:dyDescent="0.2">
      <c r="B53" s="189" t="s">
        <v>230</v>
      </c>
      <c r="C53" s="94"/>
      <c r="D53" s="94"/>
      <c r="E53" s="94"/>
      <c r="F53" s="94"/>
      <c r="G53" s="94"/>
      <c r="H53" s="94">
        <f>H52*F15</f>
        <v>1600</v>
      </c>
      <c r="I53" s="187" t="s">
        <v>164</v>
      </c>
    </row>
    <row r="54" spans="2:9" x14ac:dyDescent="0.2">
      <c r="B54" s="190"/>
      <c r="C54" s="22"/>
      <c r="D54" s="22"/>
      <c r="E54" s="22"/>
      <c r="F54" s="22"/>
      <c r="G54" s="22"/>
      <c r="H54" s="22"/>
      <c r="I54" s="13"/>
    </row>
    <row r="55" spans="2:9" ht="17" thickBot="1" x14ac:dyDescent="0.25">
      <c r="B55" s="191" t="s">
        <v>231</v>
      </c>
      <c r="C55" s="131"/>
      <c r="D55" s="131"/>
      <c r="E55" s="131"/>
      <c r="F55" s="131"/>
      <c r="G55" s="131"/>
      <c r="H55" s="173">
        <f>H35+H42-H48+H53</f>
        <v>368517.53086419759</v>
      </c>
      <c r="I55" s="192" t="s">
        <v>164</v>
      </c>
    </row>
    <row r="56" spans="2:9" ht="17" thickTop="1" x14ac:dyDescent="0.2">
      <c r="B56" s="26"/>
      <c r="C56" s="12"/>
      <c r="D56" s="12"/>
      <c r="E56" s="12"/>
      <c r="F56" s="12"/>
      <c r="G56" s="12"/>
      <c r="H56" s="12"/>
      <c r="I56" s="25"/>
    </row>
    <row r="57" spans="2:9" x14ac:dyDescent="0.2">
      <c r="B57" s="26"/>
      <c r="C57" s="12"/>
      <c r="D57" s="12"/>
      <c r="E57" s="12"/>
      <c r="F57" s="12"/>
      <c r="G57" s="12"/>
      <c r="H57" s="12"/>
      <c r="I57" s="25"/>
    </row>
    <row r="58" spans="2:9" ht="21" x14ac:dyDescent="0.25">
      <c r="B58" s="193" t="s">
        <v>232</v>
      </c>
      <c r="C58" s="194"/>
      <c r="D58" s="194" t="s">
        <v>39</v>
      </c>
      <c r="E58" s="194"/>
      <c r="F58" s="194">
        <v>8</v>
      </c>
      <c r="G58" s="194"/>
      <c r="H58" s="194"/>
      <c r="I58" s="195"/>
    </row>
    <row r="59" spans="2:9" x14ac:dyDescent="0.2">
      <c r="B59" s="196" t="s">
        <v>166</v>
      </c>
      <c r="C59" s="12"/>
      <c r="D59" s="12"/>
      <c r="E59" s="12"/>
      <c r="F59" s="12"/>
      <c r="G59" s="12"/>
      <c r="H59" s="110"/>
      <c r="I59" s="197"/>
    </row>
    <row r="60" spans="2:9" x14ac:dyDescent="0.2">
      <c r="B60" s="196" t="s">
        <v>167</v>
      </c>
      <c r="C60" s="12"/>
      <c r="D60" s="12"/>
      <c r="E60" s="12"/>
      <c r="F60" s="12"/>
      <c r="G60" s="12"/>
      <c r="H60" s="110"/>
      <c r="I60" s="197"/>
    </row>
    <row r="61" spans="2:9" x14ac:dyDescent="0.2">
      <c r="B61" s="196" t="s">
        <v>168</v>
      </c>
      <c r="C61" s="12"/>
      <c r="D61" s="12"/>
      <c r="E61" s="12"/>
      <c r="F61" s="12"/>
      <c r="G61" s="12"/>
      <c r="H61" s="110"/>
      <c r="I61" s="197"/>
    </row>
    <row r="62" spans="2:9" x14ac:dyDescent="0.2">
      <c r="B62" s="26"/>
      <c r="C62" s="12"/>
      <c r="D62" s="12"/>
      <c r="E62" s="12"/>
      <c r="F62" s="12"/>
      <c r="G62" s="12"/>
      <c r="H62" s="12"/>
      <c r="I62" s="25"/>
    </row>
    <row r="63" spans="2:9" ht="21" x14ac:dyDescent="0.25">
      <c r="B63" s="184" t="s">
        <v>233</v>
      </c>
      <c r="C63" s="22"/>
      <c r="D63" s="22"/>
      <c r="E63" s="22"/>
      <c r="F63" s="22"/>
      <c r="G63" s="22"/>
      <c r="H63" s="22"/>
      <c r="I63" s="13"/>
    </row>
    <row r="64" spans="2:9" x14ac:dyDescent="0.2">
      <c r="B64" s="63"/>
      <c r="C64" s="22"/>
      <c r="D64" s="22"/>
      <c r="E64" s="22"/>
      <c r="F64" s="22"/>
      <c r="G64" s="22"/>
      <c r="H64" s="22"/>
      <c r="I64" s="13"/>
    </row>
    <row r="65" spans="2:9" x14ac:dyDescent="0.2">
      <c r="B65" s="185" t="s">
        <v>85</v>
      </c>
      <c r="C65" s="22"/>
      <c r="D65" s="22"/>
      <c r="E65" s="22"/>
      <c r="F65" s="22"/>
      <c r="G65" s="22"/>
      <c r="H65" s="22"/>
      <c r="I65" s="13"/>
    </row>
    <row r="66" spans="2:9" x14ac:dyDescent="0.2">
      <c r="B66" s="63"/>
      <c r="C66" s="22"/>
      <c r="D66" s="22"/>
      <c r="E66" s="22"/>
      <c r="F66" s="22"/>
      <c r="G66" s="22"/>
      <c r="H66" s="22"/>
      <c r="I66" s="13"/>
    </row>
    <row r="67" spans="2:9" x14ac:dyDescent="0.2">
      <c r="B67" s="63" t="s">
        <v>215</v>
      </c>
      <c r="C67" s="22"/>
      <c r="D67" s="22"/>
      <c r="E67" s="22"/>
      <c r="F67" s="22"/>
      <c r="G67" s="22"/>
      <c r="H67" s="22">
        <v>15</v>
      </c>
      <c r="I67" s="13" t="s">
        <v>165</v>
      </c>
    </row>
    <row r="68" spans="2:9" x14ac:dyDescent="0.2">
      <c r="B68" s="63" t="s">
        <v>224</v>
      </c>
      <c r="C68" s="22"/>
      <c r="D68" s="22"/>
      <c r="E68" s="22"/>
      <c r="F68" s="22"/>
      <c r="G68" s="22"/>
      <c r="H68" s="22">
        <f>$E$11</f>
        <v>5.1358024691358022</v>
      </c>
      <c r="I68" s="13" t="s">
        <v>164</v>
      </c>
    </row>
    <row r="69" spans="2:9" x14ac:dyDescent="0.2">
      <c r="B69" s="63" t="s">
        <v>234</v>
      </c>
      <c r="C69" s="22"/>
      <c r="D69" s="22"/>
      <c r="E69" s="22"/>
      <c r="F69" s="22"/>
      <c r="G69" s="22"/>
      <c r="H69" s="22">
        <f>H67*H68*F58</f>
        <v>616.2962962962963</v>
      </c>
      <c r="I69" s="13" t="s">
        <v>164</v>
      </c>
    </row>
    <row r="70" spans="2:9" x14ac:dyDescent="0.2">
      <c r="B70" s="63"/>
      <c r="C70" s="22"/>
      <c r="D70" s="22"/>
      <c r="E70" s="22"/>
      <c r="F70" s="22"/>
      <c r="G70" s="22"/>
      <c r="H70" s="22"/>
      <c r="I70" s="13"/>
    </row>
    <row r="71" spans="2:9" x14ac:dyDescent="0.2">
      <c r="B71" s="63" t="s">
        <v>216</v>
      </c>
      <c r="C71" s="22"/>
      <c r="D71" s="22"/>
      <c r="E71" s="22"/>
      <c r="F71" s="22"/>
      <c r="G71" s="22"/>
      <c r="H71" s="22">
        <v>5</v>
      </c>
      <c r="I71" s="13" t="s">
        <v>165</v>
      </c>
    </row>
    <row r="72" spans="2:9" x14ac:dyDescent="0.2">
      <c r="B72" s="63" t="s">
        <v>235</v>
      </c>
      <c r="C72" s="22"/>
      <c r="D72" s="22"/>
      <c r="E72" s="22"/>
      <c r="F72" s="22"/>
      <c r="G72" s="22"/>
      <c r="H72" s="22">
        <f>H71*H68*F58</f>
        <v>205.4320987654321</v>
      </c>
      <c r="I72" s="13" t="s">
        <v>164</v>
      </c>
    </row>
    <row r="73" spans="2:9" x14ac:dyDescent="0.2">
      <c r="B73" s="63" t="s">
        <v>236</v>
      </c>
      <c r="C73" s="22"/>
      <c r="D73" s="22"/>
      <c r="E73" s="22"/>
      <c r="F73" s="22"/>
      <c r="G73" s="22"/>
      <c r="H73" s="22">
        <f>H69-H72</f>
        <v>410.8641975308642</v>
      </c>
      <c r="I73" s="13" t="s">
        <v>164</v>
      </c>
    </row>
    <row r="74" spans="2:9" x14ac:dyDescent="0.2">
      <c r="B74" s="63"/>
      <c r="C74" s="22"/>
      <c r="D74" s="22"/>
      <c r="E74" s="22"/>
      <c r="F74" s="22"/>
      <c r="G74" s="22"/>
      <c r="H74" s="22"/>
      <c r="I74" s="13"/>
    </row>
    <row r="75" spans="2:9" x14ac:dyDescent="0.2">
      <c r="B75" s="63" t="s">
        <v>219</v>
      </c>
      <c r="C75" s="22"/>
      <c r="D75" s="22"/>
      <c r="E75" s="22"/>
      <c r="F75" s="22"/>
      <c r="G75" s="22"/>
      <c r="H75" s="22"/>
      <c r="I75" s="13"/>
    </row>
    <row r="76" spans="2:9" x14ac:dyDescent="0.2">
      <c r="B76" s="63" t="s">
        <v>220</v>
      </c>
      <c r="C76" s="22"/>
      <c r="D76" s="22"/>
      <c r="E76" s="22"/>
      <c r="F76" s="22"/>
      <c r="G76" s="22"/>
      <c r="H76" s="22"/>
      <c r="I76" s="13"/>
    </row>
    <row r="77" spans="2:9" x14ac:dyDescent="0.2">
      <c r="B77" s="63" t="s">
        <v>221</v>
      </c>
      <c r="C77" s="22"/>
      <c r="D77" s="22"/>
      <c r="E77" s="22"/>
      <c r="F77" s="22"/>
      <c r="G77" s="22"/>
      <c r="H77" s="22"/>
      <c r="I77" s="13"/>
    </row>
    <row r="78" spans="2:9" x14ac:dyDescent="0.2">
      <c r="B78" s="63" t="s">
        <v>222</v>
      </c>
      <c r="C78" s="22"/>
      <c r="D78" s="22"/>
      <c r="E78" s="22"/>
      <c r="F78" s="22"/>
      <c r="G78" s="22"/>
      <c r="H78" s="22"/>
      <c r="I78" s="13"/>
    </row>
    <row r="79" spans="2:9" x14ac:dyDescent="0.2">
      <c r="B79" s="186" t="s">
        <v>252</v>
      </c>
      <c r="C79" s="94"/>
      <c r="D79" s="94"/>
      <c r="E79" s="94"/>
      <c r="F79" s="94"/>
      <c r="G79" s="94"/>
      <c r="H79" s="94">
        <f>H73*2</f>
        <v>821.72839506172841</v>
      </c>
      <c r="I79" s="187" t="s">
        <v>164</v>
      </c>
    </row>
    <row r="80" spans="2:9" x14ac:dyDescent="0.2">
      <c r="B80" s="63"/>
      <c r="C80" s="22"/>
      <c r="D80" s="22"/>
      <c r="E80" s="22"/>
      <c r="F80" s="22"/>
      <c r="G80" s="22"/>
      <c r="H80" s="22"/>
      <c r="I80" s="13"/>
    </row>
    <row r="81" spans="2:9" x14ac:dyDescent="0.2">
      <c r="B81" s="185" t="s">
        <v>87</v>
      </c>
      <c r="C81" s="22"/>
      <c r="D81" s="22"/>
      <c r="E81" s="22"/>
      <c r="F81" s="22"/>
      <c r="G81" s="22"/>
      <c r="H81" s="22"/>
      <c r="I81" s="13"/>
    </row>
    <row r="82" spans="2:9" x14ac:dyDescent="0.2">
      <c r="B82" s="185"/>
      <c r="C82" s="22"/>
      <c r="D82" s="22"/>
      <c r="E82" s="22"/>
      <c r="F82" s="22"/>
      <c r="G82" s="22"/>
      <c r="H82" s="22"/>
      <c r="I82" s="13"/>
    </row>
    <row r="83" spans="2:9" x14ac:dyDescent="0.2">
      <c r="B83" s="198" t="s">
        <v>237</v>
      </c>
      <c r="C83" s="22"/>
      <c r="D83" s="22"/>
      <c r="E83" s="22"/>
      <c r="F83" s="22"/>
      <c r="G83" s="22"/>
      <c r="H83" s="22"/>
      <c r="I83" s="13"/>
    </row>
    <row r="84" spans="2:9" x14ac:dyDescent="0.2">
      <c r="B84" s="63"/>
      <c r="C84" s="22"/>
      <c r="D84" s="22"/>
      <c r="E84" s="22"/>
      <c r="F84" s="22"/>
      <c r="G84" s="22"/>
      <c r="H84" s="22"/>
      <c r="I84" s="13"/>
    </row>
    <row r="85" spans="2:9" x14ac:dyDescent="0.2">
      <c r="B85" s="63" t="s">
        <v>238</v>
      </c>
      <c r="C85" s="22"/>
      <c r="D85" s="22"/>
      <c r="E85" s="22"/>
      <c r="F85" s="22"/>
      <c r="G85" s="22"/>
      <c r="H85" s="22">
        <f>900+540+1350</f>
        <v>2790</v>
      </c>
      <c r="I85" s="13" t="s">
        <v>165</v>
      </c>
    </row>
    <row r="86" spans="2:9" x14ac:dyDescent="0.2">
      <c r="B86" s="63" t="s">
        <v>243</v>
      </c>
      <c r="C86" s="22"/>
      <c r="D86" s="22"/>
      <c r="E86" s="22"/>
      <c r="F86" s="22"/>
      <c r="G86" s="22"/>
      <c r="H86" s="22">
        <f>H85*F58</f>
        <v>22320</v>
      </c>
      <c r="I86" s="13" t="s">
        <v>165</v>
      </c>
    </row>
    <row r="87" spans="2:9" x14ac:dyDescent="0.2">
      <c r="B87" s="63" t="s">
        <v>224</v>
      </c>
      <c r="C87" s="22"/>
      <c r="D87" s="22"/>
      <c r="E87" s="22"/>
      <c r="F87" s="22"/>
      <c r="G87" s="22"/>
      <c r="H87" s="22">
        <f>$I$11</f>
        <v>7.7037037037037033</v>
      </c>
      <c r="I87" s="13" t="s">
        <v>164</v>
      </c>
    </row>
    <row r="88" spans="2:9" x14ac:dyDescent="0.2">
      <c r="B88" s="186" t="s">
        <v>242</v>
      </c>
      <c r="C88" s="94"/>
      <c r="D88" s="94"/>
      <c r="E88" s="94"/>
      <c r="F88" s="94"/>
      <c r="G88" s="94"/>
      <c r="H88" s="94">
        <f>H86*H87</f>
        <v>171946.66666666666</v>
      </c>
      <c r="I88" s="187" t="s">
        <v>164</v>
      </c>
    </row>
    <row r="89" spans="2:9" x14ac:dyDescent="0.2">
      <c r="B89" s="63"/>
      <c r="C89" s="22"/>
      <c r="D89" s="22"/>
      <c r="E89" s="22"/>
      <c r="F89" s="22"/>
      <c r="G89" s="22"/>
      <c r="H89" s="22"/>
      <c r="I89" s="13"/>
    </row>
    <row r="90" spans="2:9" x14ac:dyDescent="0.2">
      <c r="B90" s="185" t="s">
        <v>84</v>
      </c>
      <c r="C90" s="22"/>
      <c r="D90" s="22"/>
      <c r="E90" s="22"/>
      <c r="F90" s="22"/>
      <c r="G90" s="22"/>
      <c r="H90" s="22"/>
      <c r="I90" s="13"/>
    </row>
    <row r="91" spans="2:9" x14ac:dyDescent="0.2">
      <c r="B91" s="63"/>
      <c r="C91" s="22"/>
      <c r="D91" s="22"/>
      <c r="E91" s="22"/>
      <c r="F91" s="22"/>
      <c r="G91" s="22"/>
      <c r="H91" s="22"/>
      <c r="I91" s="13"/>
    </row>
    <row r="92" spans="2:9" x14ac:dyDescent="0.2">
      <c r="B92" s="63" t="s">
        <v>163</v>
      </c>
      <c r="C92" s="22"/>
      <c r="D92" s="22"/>
      <c r="E92" s="22"/>
      <c r="F92" s="22"/>
      <c r="G92" s="22"/>
      <c r="H92" s="22">
        <v>6</v>
      </c>
      <c r="I92" s="13" t="s">
        <v>165</v>
      </c>
    </row>
    <row r="93" spans="2:9" x14ac:dyDescent="0.2">
      <c r="B93" s="63" t="s">
        <v>224</v>
      </c>
      <c r="C93" s="22"/>
      <c r="D93" s="22"/>
      <c r="E93" s="22"/>
      <c r="F93" s="22"/>
      <c r="G93" s="22"/>
      <c r="H93" s="22">
        <f>$G$11</f>
        <v>8.3950617283950617</v>
      </c>
      <c r="I93" s="13" t="s">
        <v>164</v>
      </c>
    </row>
    <row r="94" spans="2:9" x14ac:dyDescent="0.2">
      <c r="B94" s="186" t="s">
        <v>239</v>
      </c>
      <c r="C94" s="94"/>
      <c r="D94" s="94"/>
      <c r="E94" s="94"/>
      <c r="F94" s="94"/>
      <c r="G94" s="94"/>
      <c r="H94" s="94">
        <f>H92*H93*F58</f>
        <v>402.96296296296293</v>
      </c>
      <c r="I94" s="187" t="s">
        <v>164</v>
      </c>
    </row>
    <row r="95" spans="2:9" x14ac:dyDescent="0.2">
      <c r="B95" s="63"/>
      <c r="C95" s="22"/>
      <c r="D95" s="22"/>
      <c r="E95" s="22"/>
      <c r="F95" s="22"/>
      <c r="G95" s="22"/>
      <c r="H95" s="22"/>
      <c r="I95" s="13"/>
    </row>
    <row r="96" spans="2:9" x14ac:dyDescent="0.2">
      <c r="B96" s="185" t="s">
        <v>138</v>
      </c>
      <c r="C96" s="22"/>
      <c r="D96" s="22"/>
      <c r="E96" s="22"/>
      <c r="F96" s="22"/>
      <c r="G96" s="22"/>
      <c r="H96" s="22"/>
      <c r="I96" s="13"/>
    </row>
    <row r="97" spans="2:11" x14ac:dyDescent="0.2">
      <c r="B97" s="63"/>
      <c r="C97" s="22"/>
      <c r="D97" s="22"/>
      <c r="E97" s="22"/>
      <c r="F97" s="22"/>
      <c r="G97" s="22"/>
      <c r="H97" s="22"/>
      <c r="I97" s="13"/>
    </row>
    <row r="98" spans="2:11" x14ac:dyDescent="0.2">
      <c r="B98" s="188" t="s">
        <v>229</v>
      </c>
      <c r="C98" s="22"/>
      <c r="D98" s="22"/>
      <c r="E98" s="22"/>
      <c r="F98" s="22"/>
      <c r="G98" s="22"/>
      <c r="H98" s="22">
        <v>100</v>
      </c>
      <c r="I98" s="13" t="s">
        <v>164</v>
      </c>
    </row>
    <row r="99" spans="2:11" x14ac:dyDescent="0.2">
      <c r="B99" s="189" t="s">
        <v>240</v>
      </c>
      <c r="C99" s="94"/>
      <c r="D99" s="94"/>
      <c r="E99" s="94"/>
      <c r="F99" s="94"/>
      <c r="G99" s="94"/>
      <c r="H99" s="94">
        <f>H98*F58</f>
        <v>800</v>
      </c>
      <c r="I99" s="187" t="s">
        <v>164</v>
      </c>
    </row>
    <row r="100" spans="2:11" x14ac:dyDescent="0.2">
      <c r="B100" s="190"/>
      <c r="C100" s="22"/>
      <c r="D100" s="22"/>
      <c r="E100" s="22"/>
      <c r="F100" s="22"/>
      <c r="G100" s="22"/>
      <c r="H100" s="22"/>
      <c r="I100" s="13"/>
    </row>
    <row r="101" spans="2:11" ht="17" thickBot="1" x14ac:dyDescent="0.25">
      <c r="B101" s="191" t="s">
        <v>241</v>
      </c>
      <c r="C101" s="131"/>
      <c r="D101" s="131"/>
      <c r="E101" s="131"/>
      <c r="F101" s="131"/>
      <c r="G101" s="131"/>
      <c r="H101" s="173">
        <f>H79+H88-H94+H99</f>
        <v>173165.43209876545</v>
      </c>
      <c r="I101" s="192" t="s">
        <v>164</v>
      </c>
    </row>
    <row r="102" spans="2:11" ht="17" thickTop="1" x14ac:dyDescent="0.2">
      <c r="B102" s="26"/>
      <c r="C102" s="12"/>
      <c r="D102" s="12"/>
      <c r="E102" s="12"/>
      <c r="F102" s="12"/>
      <c r="G102" s="12"/>
      <c r="H102" s="12"/>
      <c r="I102" s="25"/>
    </row>
    <row r="103" spans="2:11" x14ac:dyDescent="0.2">
      <c r="B103" s="26"/>
      <c r="C103" s="12"/>
      <c r="D103" s="12"/>
      <c r="E103" s="12"/>
      <c r="F103" s="12"/>
      <c r="G103" s="12"/>
      <c r="H103" s="12"/>
      <c r="I103" s="25"/>
    </row>
    <row r="104" spans="2:11" ht="21" x14ac:dyDescent="0.25">
      <c r="B104" s="193" t="s">
        <v>244</v>
      </c>
      <c r="C104" s="194"/>
      <c r="D104" s="194" t="s">
        <v>39</v>
      </c>
      <c r="E104" s="194"/>
      <c r="F104" s="194">
        <v>2</v>
      </c>
      <c r="G104" s="194"/>
      <c r="H104" s="194"/>
      <c r="I104" s="195"/>
    </row>
    <row r="105" spans="2:11" x14ac:dyDescent="0.2">
      <c r="B105" s="26" t="s">
        <v>245</v>
      </c>
      <c r="C105" s="12"/>
      <c r="D105" s="12"/>
      <c r="E105" s="12"/>
      <c r="F105" s="12"/>
      <c r="G105" s="12"/>
      <c r="H105" s="12"/>
      <c r="I105" s="25"/>
      <c r="K105" s="133"/>
    </row>
    <row r="106" spans="2:11" x14ac:dyDescent="0.2">
      <c r="B106" s="26" t="s">
        <v>246</v>
      </c>
      <c r="C106" s="12"/>
      <c r="D106" s="12"/>
      <c r="E106" s="12"/>
      <c r="F106" s="12"/>
      <c r="G106" s="12"/>
      <c r="H106" s="12"/>
      <c r="I106" s="25"/>
      <c r="K106" s="128"/>
    </row>
    <row r="107" spans="2:11" x14ac:dyDescent="0.2">
      <c r="B107" s="26"/>
      <c r="C107" s="12"/>
      <c r="D107" s="12"/>
      <c r="E107" s="12"/>
      <c r="F107" s="12"/>
      <c r="G107" s="12"/>
      <c r="H107" s="12"/>
      <c r="I107" s="25"/>
    </row>
    <row r="108" spans="2:11" ht="21" x14ac:dyDescent="0.25">
      <c r="B108" s="184" t="s">
        <v>214</v>
      </c>
      <c r="C108" s="22"/>
      <c r="D108" s="22"/>
      <c r="E108" s="22"/>
      <c r="F108" s="22"/>
      <c r="G108" s="22"/>
      <c r="H108" s="22"/>
      <c r="I108" s="13"/>
    </row>
    <row r="109" spans="2:11" x14ac:dyDescent="0.2">
      <c r="B109" s="63"/>
      <c r="C109" s="22"/>
      <c r="D109" s="22"/>
      <c r="E109" s="22"/>
      <c r="F109" s="22"/>
      <c r="G109" s="22"/>
      <c r="H109" s="22"/>
      <c r="I109" s="13"/>
    </row>
    <row r="110" spans="2:11" x14ac:dyDescent="0.2">
      <c r="B110" s="185" t="s">
        <v>85</v>
      </c>
      <c r="C110" s="22"/>
      <c r="D110" s="22"/>
      <c r="E110" s="22"/>
      <c r="F110" s="22"/>
      <c r="G110" s="22"/>
      <c r="H110" s="22"/>
      <c r="I110" s="13"/>
    </row>
    <row r="111" spans="2:11" x14ac:dyDescent="0.2">
      <c r="B111" s="63"/>
      <c r="C111" s="22"/>
      <c r="D111" s="22"/>
      <c r="E111" s="22"/>
      <c r="F111" s="22"/>
      <c r="G111" s="22"/>
      <c r="H111" s="22"/>
      <c r="I111" s="13"/>
    </row>
    <row r="112" spans="2:11" x14ac:dyDescent="0.2">
      <c r="B112" s="63" t="s">
        <v>215</v>
      </c>
      <c r="C112" s="22"/>
      <c r="D112" s="22"/>
      <c r="E112" s="22"/>
      <c r="F112" s="22"/>
      <c r="G112" s="22"/>
      <c r="H112" s="22">
        <v>15</v>
      </c>
      <c r="I112" s="13" t="s">
        <v>165</v>
      </c>
    </row>
    <row r="113" spans="2:9" x14ac:dyDescent="0.2">
      <c r="B113" s="63" t="s">
        <v>224</v>
      </c>
      <c r="C113" s="22"/>
      <c r="D113" s="22"/>
      <c r="E113" s="22"/>
      <c r="F113" s="22"/>
      <c r="G113" s="22"/>
      <c r="H113" s="22">
        <f>$E$11</f>
        <v>5.1358024691358022</v>
      </c>
      <c r="I113" s="13" t="s">
        <v>164</v>
      </c>
    </row>
    <row r="114" spans="2:9" x14ac:dyDescent="0.2">
      <c r="B114" s="63" t="s">
        <v>247</v>
      </c>
      <c r="C114" s="22"/>
      <c r="D114" s="22"/>
      <c r="E114" s="22"/>
      <c r="F114" s="22"/>
      <c r="G114" s="22"/>
      <c r="H114" s="22">
        <f>H112*H113*F104</f>
        <v>154.07407407407408</v>
      </c>
      <c r="I114" s="13" t="s">
        <v>164</v>
      </c>
    </row>
    <row r="115" spans="2:9" x14ac:dyDescent="0.2">
      <c r="B115" s="63"/>
      <c r="C115" s="22"/>
      <c r="D115" s="22"/>
      <c r="E115" s="22"/>
      <c r="F115" s="22"/>
      <c r="G115" s="22"/>
      <c r="H115" s="22"/>
      <c r="I115" s="13"/>
    </row>
    <row r="116" spans="2:9" x14ac:dyDescent="0.2">
      <c r="B116" s="63" t="s">
        <v>216</v>
      </c>
      <c r="C116" s="22"/>
      <c r="D116" s="22"/>
      <c r="E116" s="22"/>
      <c r="F116" s="22"/>
      <c r="G116" s="22"/>
      <c r="H116" s="22">
        <v>5</v>
      </c>
      <c r="I116" s="13" t="s">
        <v>165</v>
      </c>
    </row>
    <row r="117" spans="2:9" x14ac:dyDescent="0.2">
      <c r="B117" s="63" t="s">
        <v>248</v>
      </c>
      <c r="C117" s="22"/>
      <c r="D117" s="22"/>
      <c r="E117" s="22"/>
      <c r="F117" s="22"/>
      <c r="G117" s="22"/>
      <c r="H117" s="22">
        <f>H116*H113*F104</f>
        <v>51.358024691358025</v>
      </c>
      <c r="I117" s="13" t="s">
        <v>164</v>
      </c>
    </row>
    <row r="118" spans="2:9" x14ac:dyDescent="0.2">
      <c r="B118" s="63" t="s">
        <v>249</v>
      </c>
      <c r="C118" s="22"/>
      <c r="D118" s="22"/>
      <c r="E118" s="22"/>
      <c r="F118" s="22"/>
      <c r="G118" s="22"/>
      <c r="H118" s="22">
        <f>H114-H117</f>
        <v>102.71604938271605</v>
      </c>
      <c r="I118" s="13" t="s">
        <v>164</v>
      </c>
    </row>
    <row r="119" spans="2:9" x14ac:dyDescent="0.2">
      <c r="B119" s="63"/>
      <c r="C119" s="22"/>
      <c r="D119" s="22"/>
      <c r="E119" s="22"/>
      <c r="F119" s="22"/>
      <c r="G119" s="22"/>
      <c r="H119" s="22"/>
      <c r="I119" s="13"/>
    </row>
    <row r="120" spans="2:9" x14ac:dyDescent="0.2">
      <c r="B120" s="63" t="s">
        <v>219</v>
      </c>
      <c r="C120" s="22"/>
      <c r="D120" s="22"/>
      <c r="E120" s="22"/>
      <c r="F120" s="22"/>
      <c r="G120" s="22"/>
      <c r="H120" s="22"/>
      <c r="I120" s="13"/>
    </row>
    <row r="121" spans="2:9" x14ac:dyDescent="0.2">
      <c r="B121" s="63" t="s">
        <v>220</v>
      </c>
      <c r="C121" s="22"/>
      <c r="D121" s="22"/>
      <c r="E121" s="22"/>
      <c r="F121" s="22"/>
      <c r="G121" s="22"/>
      <c r="H121" s="22"/>
      <c r="I121" s="13"/>
    </row>
    <row r="122" spans="2:9" x14ac:dyDescent="0.2">
      <c r="B122" s="63" t="s">
        <v>221</v>
      </c>
      <c r="C122" s="22"/>
      <c r="D122" s="22"/>
      <c r="E122" s="22"/>
      <c r="F122" s="22"/>
      <c r="G122" s="22"/>
      <c r="H122" s="22"/>
      <c r="I122" s="13"/>
    </row>
    <row r="123" spans="2:9" x14ac:dyDescent="0.2">
      <c r="B123" s="63" t="s">
        <v>222</v>
      </c>
      <c r="C123" s="22"/>
      <c r="D123" s="22"/>
      <c r="E123" s="22"/>
      <c r="F123" s="22"/>
      <c r="G123" s="22"/>
      <c r="H123" s="22"/>
      <c r="I123" s="13"/>
    </row>
    <row r="124" spans="2:9" x14ac:dyDescent="0.2">
      <c r="B124" s="186" t="s">
        <v>250</v>
      </c>
      <c r="C124" s="94"/>
      <c r="D124" s="94"/>
      <c r="E124" s="94"/>
      <c r="F124" s="94"/>
      <c r="G124" s="94"/>
      <c r="H124" s="94">
        <f>H118*2</f>
        <v>205.4320987654321</v>
      </c>
      <c r="I124" s="187" t="s">
        <v>164</v>
      </c>
    </row>
    <row r="125" spans="2:9" x14ac:dyDescent="0.2">
      <c r="B125" s="26"/>
      <c r="C125" s="12"/>
      <c r="D125" s="12"/>
      <c r="E125" s="12"/>
      <c r="F125" s="12"/>
      <c r="G125" s="12"/>
      <c r="H125" s="12"/>
      <c r="I125" s="25"/>
    </row>
    <row r="126" spans="2:9" ht="17" thickBot="1" x14ac:dyDescent="0.25">
      <c r="B126" s="191" t="s">
        <v>253</v>
      </c>
      <c r="C126" s="174"/>
      <c r="D126" s="174"/>
      <c r="E126" s="174"/>
      <c r="F126" s="174"/>
      <c r="G126" s="174"/>
      <c r="H126" s="173">
        <f>$H$124</f>
        <v>205.4320987654321</v>
      </c>
      <c r="I126" s="199"/>
    </row>
    <row r="127" spans="2:9" ht="17" thickTop="1" x14ac:dyDescent="0.2">
      <c r="B127" s="26"/>
      <c r="C127" s="12"/>
      <c r="D127" s="12"/>
      <c r="E127" s="12"/>
      <c r="F127" s="12"/>
      <c r="G127" s="12"/>
      <c r="H127" s="12"/>
      <c r="I127" s="25"/>
    </row>
    <row r="128" spans="2:9" ht="21" x14ac:dyDescent="0.25">
      <c r="B128" s="137" t="s">
        <v>254</v>
      </c>
      <c r="C128" s="12"/>
      <c r="D128" s="12"/>
      <c r="E128" s="12"/>
      <c r="F128" s="12"/>
      <c r="G128" s="12"/>
      <c r="H128" s="22"/>
      <c r="I128" s="25"/>
    </row>
    <row r="129" spans="2:12" x14ac:dyDescent="0.2">
      <c r="B129" s="26"/>
      <c r="C129" s="12"/>
      <c r="D129" s="12"/>
      <c r="E129" s="12"/>
      <c r="F129" s="12"/>
      <c r="G129" s="12"/>
      <c r="H129" s="12"/>
      <c r="I129" s="25"/>
    </row>
    <row r="130" spans="2:12" x14ac:dyDescent="0.2">
      <c r="B130" s="26" t="s">
        <v>256</v>
      </c>
      <c r="C130" s="12"/>
      <c r="D130" s="22">
        <f>$H$55</f>
        <v>368517.53086419759</v>
      </c>
      <c r="E130" s="12" t="s">
        <v>164</v>
      </c>
      <c r="F130" s="12"/>
      <c r="G130" s="12"/>
      <c r="H130" s="12"/>
      <c r="I130" s="25"/>
    </row>
    <row r="131" spans="2:12" x14ac:dyDescent="0.2">
      <c r="B131" s="26" t="s">
        <v>257</v>
      </c>
      <c r="C131" s="12"/>
      <c r="D131" s="22">
        <f>$H$101</f>
        <v>173165.43209876545</v>
      </c>
      <c r="E131" s="12" t="s">
        <v>164</v>
      </c>
      <c r="F131" s="12"/>
      <c r="G131" s="12"/>
      <c r="H131" s="12"/>
      <c r="I131" s="25"/>
    </row>
    <row r="132" spans="2:12" x14ac:dyDescent="0.2">
      <c r="B132" s="26" t="s">
        <v>258</v>
      </c>
      <c r="C132" s="12"/>
      <c r="D132" s="22">
        <f>$H$126</f>
        <v>205.4320987654321</v>
      </c>
      <c r="E132" s="12" t="s">
        <v>164</v>
      </c>
      <c r="F132" s="12"/>
      <c r="G132" s="12"/>
      <c r="H132" s="12"/>
      <c r="I132" s="25"/>
    </row>
    <row r="133" spans="2:12" ht="17" thickBot="1" x14ac:dyDescent="0.25">
      <c r="B133" s="200" t="s">
        <v>255</v>
      </c>
      <c r="C133" s="132"/>
      <c r="D133" s="131">
        <f>SUM(D130:D132)</f>
        <v>541888.39506172843</v>
      </c>
      <c r="E133" s="132" t="s">
        <v>164</v>
      </c>
      <c r="F133" s="12"/>
      <c r="G133" s="12"/>
      <c r="H133" s="12"/>
      <c r="I133" s="25"/>
    </row>
    <row r="134" spans="2:12" ht="17" thickTop="1" x14ac:dyDescent="0.2">
      <c r="B134" s="26"/>
      <c r="C134" s="12"/>
      <c r="D134" s="12"/>
      <c r="E134" s="12"/>
      <c r="F134" s="12"/>
      <c r="G134" s="12"/>
      <c r="H134" s="12"/>
      <c r="I134" s="25"/>
    </row>
    <row r="135" spans="2:12" x14ac:dyDescent="0.2">
      <c r="B135" s="201"/>
      <c r="C135" s="110"/>
      <c r="D135" s="110"/>
      <c r="E135" s="110"/>
      <c r="F135" s="110"/>
      <c r="G135" s="110"/>
      <c r="H135" s="110"/>
      <c r="I135" s="197"/>
    </row>
    <row r="136" spans="2:12" x14ac:dyDescent="0.2">
      <c r="B136" s="201" t="s">
        <v>259</v>
      </c>
      <c r="C136" s="110"/>
      <c r="D136" s="12"/>
      <c r="E136" s="106">
        <f>'Kostnadsberegning FØR tiltakene'!$F$106</f>
        <v>1142765.8271604939</v>
      </c>
      <c r="F136" s="110"/>
      <c r="G136" s="110"/>
      <c r="H136" s="110"/>
      <c r="I136" s="197"/>
    </row>
    <row r="137" spans="2:12" x14ac:dyDescent="0.2">
      <c r="B137" s="202" t="s">
        <v>260</v>
      </c>
      <c r="C137" s="110"/>
      <c r="D137" s="110"/>
      <c r="E137" s="106">
        <f>$D$133</f>
        <v>541888.39506172843</v>
      </c>
      <c r="F137" s="110"/>
      <c r="G137" s="110"/>
      <c r="H137" s="110"/>
      <c r="I137" s="197"/>
    </row>
    <row r="138" spans="2:12" ht="17" thickBot="1" x14ac:dyDescent="0.25">
      <c r="B138" s="203" t="s">
        <v>263</v>
      </c>
      <c r="C138" s="175"/>
      <c r="D138" s="175"/>
      <c r="E138" s="130">
        <f>E136-E137</f>
        <v>600877.43209876551</v>
      </c>
      <c r="F138" s="110"/>
      <c r="G138" s="110"/>
      <c r="H138" s="110"/>
      <c r="I138" s="197"/>
    </row>
    <row r="139" spans="2:12" ht="17" thickTop="1" x14ac:dyDescent="0.2">
      <c r="B139" s="201"/>
      <c r="C139" s="110"/>
      <c r="D139" s="110"/>
      <c r="E139" s="110"/>
      <c r="F139" s="110"/>
      <c r="G139" s="110"/>
      <c r="H139" s="110"/>
      <c r="I139" s="197"/>
    </row>
    <row r="140" spans="2:12" ht="19" x14ac:dyDescent="0.25">
      <c r="B140" s="204" t="s">
        <v>262</v>
      </c>
      <c r="C140" s="12"/>
      <c r="D140" s="12"/>
      <c r="E140" s="12"/>
      <c r="F140" s="22"/>
      <c r="G140" s="12"/>
      <c r="H140" s="12"/>
      <c r="I140" s="25"/>
    </row>
    <row r="141" spans="2:12" x14ac:dyDescent="0.2">
      <c r="B141" s="26"/>
      <c r="C141" s="12"/>
      <c r="D141" s="12"/>
      <c r="E141" s="12"/>
      <c r="F141" s="12"/>
      <c r="G141" s="12"/>
      <c r="H141" s="12"/>
      <c r="I141" s="25"/>
    </row>
    <row r="142" spans="2:12" x14ac:dyDescent="0.2">
      <c r="B142" s="26" t="s">
        <v>261</v>
      </c>
      <c r="C142" s="12"/>
      <c r="D142" s="12"/>
      <c r="E142" s="12"/>
      <c r="F142" s="12"/>
      <c r="G142" s="12"/>
      <c r="H142" s="12"/>
      <c r="I142" s="25"/>
      <c r="L142" s="2"/>
    </row>
    <row r="143" spans="2:12" x14ac:dyDescent="0.2">
      <c r="B143" s="26"/>
      <c r="C143" s="12"/>
      <c r="D143" s="12"/>
      <c r="E143" s="12"/>
      <c r="F143" s="12"/>
      <c r="G143" s="12"/>
      <c r="H143" s="12"/>
      <c r="I143" s="25"/>
      <c r="L143" s="2"/>
    </row>
    <row r="144" spans="2:12" ht="17" thickBot="1" x14ac:dyDescent="0.25">
      <c r="B144" s="200" t="s">
        <v>268</v>
      </c>
      <c r="C144" s="132"/>
      <c r="D144" s="132"/>
      <c r="E144" s="132"/>
      <c r="F144" s="131">
        <f>E138/26</f>
        <v>23110.670465337134</v>
      </c>
      <c r="G144" s="12"/>
      <c r="H144" s="12"/>
      <c r="I144" s="25"/>
    </row>
    <row r="145" spans="2:11" ht="17" thickTop="1" x14ac:dyDescent="0.2">
      <c r="B145" s="26"/>
      <c r="C145" s="12"/>
      <c r="D145" s="12"/>
      <c r="E145" s="12"/>
      <c r="F145" s="12"/>
      <c r="G145" s="12"/>
      <c r="H145" s="12"/>
      <c r="I145" s="25"/>
    </row>
    <row r="146" spans="2:11" x14ac:dyDescent="0.2">
      <c r="B146" s="26"/>
      <c r="C146" s="12"/>
      <c r="D146" s="12"/>
      <c r="E146" s="12"/>
      <c r="F146" s="12"/>
      <c r="G146" s="12"/>
      <c r="H146" s="12"/>
      <c r="I146" s="25"/>
    </row>
    <row r="147" spans="2:11" x14ac:dyDescent="0.2">
      <c r="B147" s="26"/>
      <c r="C147" s="12"/>
      <c r="D147" s="12"/>
      <c r="E147" s="12"/>
      <c r="F147" s="12"/>
      <c r="G147" s="12"/>
      <c r="H147" s="12"/>
      <c r="I147" s="25"/>
    </row>
    <row r="148" spans="2:11" x14ac:dyDescent="0.2">
      <c r="B148" s="26" t="s">
        <v>264</v>
      </c>
      <c r="C148" s="12"/>
      <c r="D148" s="12"/>
      <c r="E148" s="12"/>
      <c r="F148" s="12"/>
      <c r="G148" s="12"/>
      <c r="H148" s="12"/>
      <c r="I148" s="25"/>
    </row>
    <row r="149" spans="2:11" x14ac:dyDescent="0.2">
      <c r="B149" s="26" t="s">
        <v>296</v>
      </c>
      <c r="C149" s="12"/>
      <c r="D149" s="12"/>
      <c r="E149" s="12"/>
      <c r="F149" s="12"/>
      <c r="G149" s="12"/>
      <c r="H149" s="12"/>
      <c r="I149" s="25"/>
    </row>
    <row r="150" spans="2:11" x14ac:dyDescent="0.2">
      <c r="B150" s="26" t="s">
        <v>265</v>
      </c>
      <c r="C150" s="12"/>
      <c r="D150" s="12"/>
      <c r="E150" s="178">
        <f>'Kostnadsberegning ETTER tiltak'!$F$90*26</f>
        <v>650844.83950617281</v>
      </c>
      <c r="F150" s="179" t="s">
        <v>164</v>
      </c>
      <c r="G150" s="12"/>
      <c r="H150" s="12"/>
      <c r="I150" s="25"/>
      <c r="K150" s="129"/>
    </row>
    <row r="151" spans="2:11" x14ac:dyDescent="0.2">
      <c r="B151" s="26"/>
      <c r="C151" s="12"/>
      <c r="D151" s="12"/>
      <c r="E151" s="12"/>
      <c r="F151" s="12"/>
      <c r="G151" s="12"/>
      <c r="H151" s="12"/>
      <c r="I151" s="25"/>
    </row>
    <row r="152" spans="2:11" x14ac:dyDescent="0.2">
      <c r="B152" s="26" t="s">
        <v>266</v>
      </c>
      <c r="C152" s="12"/>
      <c r="D152" s="12"/>
      <c r="E152" s="180">
        <v>600877.43000000005</v>
      </c>
      <c r="F152" s="98" t="s">
        <v>164</v>
      </c>
      <c r="G152" s="12"/>
      <c r="H152" s="12"/>
      <c r="I152" s="25"/>
    </row>
    <row r="153" spans="2:11" x14ac:dyDescent="0.2">
      <c r="B153" s="26"/>
      <c r="C153" s="12"/>
      <c r="D153" s="12"/>
      <c r="E153" s="12"/>
      <c r="F153" s="12"/>
      <c r="G153" s="12"/>
      <c r="H153" s="12"/>
      <c r="I153" s="25"/>
    </row>
    <row r="154" spans="2:11" x14ac:dyDescent="0.2">
      <c r="B154" s="26" t="s">
        <v>267</v>
      </c>
      <c r="C154" s="12"/>
      <c r="D154" s="12"/>
      <c r="E154" s="12"/>
      <c r="F154" s="12"/>
      <c r="G154" s="12"/>
      <c r="H154" s="12"/>
      <c r="I154" s="25"/>
    </row>
    <row r="155" spans="2:11" x14ac:dyDescent="0.2">
      <c r="B155" s="26" t="s">
        <v>295</v>
      </c>
      <c r="C155" s="12"/>
      <c r="D155" s="12"/>
      <c r="E155" s="12"/>
      <c r="F155" s="12"/>
      <c r="G155" s="12"/>
      <c r="H155" s="12"/>
      <c r="I155" s="25"/>
    </row>
    <row r="156" spans="2:11" x14ac:dyDescent="0.2">
      <c r="B156" s="26" t="s">
        <v>269</v>
      </c>
      <c r="C156" s="12"/>
      <c r="D156" s="12"/>
      <c r="E156" s="12"/>
      <c r="F156" s="22">
        <f>'Kostnadsberegning ETTER tiltak'!$F$66*2</f>
        <v>49967.407407407401</v>
      </c>
      <c r="G156" s="12" t="s">
        <v>164</v>
      </c>
      <c r="H156" s="12"/>
      <c r="I156" s="25"/>
    </row>
    <row r="157" spans="2:11" x14ac:dyDescent="0.2">
      <c r="B157" s="26"/>
      <c r="C157" s="12"/>
      <c r="D157" s="12"/>
      <c r="E157" s="12"/>
      <c r="F157" s="12"/>
      <c r="G157" s="12"/>
      <c r="H157" s="12"/>
      <c r="I157" s="25"/>
    </row>
    <row r="158" spans="2:11" x14ac:dyDescent="0.2">
      <c r="B158" s="26" t="s">
        <v>270</v>
      </c>
      <c r="C158" s="12"/>
      <c r="D158" s="12"/>
      <c r="E158" s="12"/>
      <c r="F158" s="205">
        <v>600877.43000000005</v>
      </c>
      <c r="G158" s="12" t="s">
        <v>164</v>
      </c>
      <c r="H158" s="12"/>
      <c r="I158" s="25"/>
    </row>
    <row r="159" spans="2:11" ht="17" thickBot="1" x14ac:dyDescent="0.25">
      <c r="B159" s="26"/>
      <c r="C159" s="12"/>
      <c r="D159" s="12"/>
      <c r="E159" s="206" t="s">
        <v>271</v>
      </c>
      <c r="F159" s="176">
        <f>F156+F158</f>
        <v>650844.83740740747</v>
      </c>
      <c r="G159" s="177"/>
      <c r="H159" s="12"/>
      <c r="I159" s="25"/>
    </row>
    <row r="160" spans="2:11" ht="17" thickTop="1" x14ac:dyDescent="0.2">
      <c r="B160" s="75"/>
      <c r="C160" s="14"/>
      <c r="D160" s="14"/>
      <c r="E160" s="14"/>
      <c r="F160" s="14"/>
      <c r="G160" s="14"/>
      <c r="H160" s="14"/>
      <c r="I160" s="28"/>
    </row>
    <row r="161" spans="2:9" x14ac:dyDescent="0.2">
      <c r="B161" s="31"/>
      <c r="C161" s="31"/>
      <c r="D161" s="31"/>
      <c r="E161" s="31"/>
      <c r="F161" s="31"/>
      <c r="G161" s="135"/>
      <c r="H161" s="31"/>
      <c r="I161" s="31"/>
    </row>
    <row r="162" spans="2:9" x14ac:dyDescent="0.2">
      <c r="B162" s="31"/>
      <c r="C162" s="31"/>
      <c r="D162" s="31"/>
      <c r="E162" s="31"/>
      <c r="F162" s="31"/>
      <c r="G162" s="31"/>
      <c r="H162" s="31"/>
      <c r="I162" s="31"/>
    </row>
  </sheetData>
  <mergeCells count="3">
    <mergeCell ref="D4:E4"/>
    <mergeCell ref="F4:G4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zoomScale="75" workbookViewId="0">
      <selection activeCell="B7" sqref="B7"/>
    </sheetView>
  </sheetViews>
  <sheetFormatPr baseColWidth="10" defaultRowHeight="16" x14ac:dyDescent="0.2"/>
  <sheetData>
    <row r="1" spans="2:14" ht="31" x14ac:dyDescent="0.35">
      <c r="B1" s="1" t="s">
        <v>56</v>
      </c>
    </row>
    <row r="3" spans="2:14" x14ac:dyDescent="0.2">
      <c r="B3" s="29" t="s">
        <v>57</v>
      </c>
      <c r="C3" s="29"/>
      <c r="D3" s="29"/>
      <c r="E3" s="29"/>
      <c r="F3" s="29"/>
      <c r="G3" s="29"/>
      <c r="H3" s="29"/>
      <c r="I3" s="29"/>
      <c r="J3" s="29"/>
      <c r="K3" s="29"/>
    </row>
    <row r="4" spans="2:14" x14ac:dyDescent="0.2">
      <c r="B4" s="29" t="s">
        <v>67</v>
      </c>
      <c r="C4" s="29"/>
      <c r="D4" s="29"/>
      <c r="E4" s="29"/>
      <c r="F4" s="29"/>
      <c r="G4" s="29"/>
      <c r="H4" s="29"/>
      <c r="I4" s="29"/>
      <c r="J4" s="29"/>
      <c r="K4" s="29"/>
    </row>
    <row r="5" spans="2:14" x14ac:dyDescent="0.2">
      <c r="B5" s="29" t="s">
        <v>58</v>
      </c>
      <c r="C5" s="29"/>
      <c r="D5" s="29"/>
      <c r="E5" s="29"/>
      <c r="F5" s="29"/>
      <c r="G5" s="29"/>
      <c r="H5" s="29"/>
      <c r="I5" s="29"/>
      <c r="J5" s="29"/>
      <c r="K5" s="29"/>
    </row>
    <row r="6" spans="2:14" x14ac:dyDescent="0.2">
      <c r="B6" s="29" t="s">
        <v>297</v>
      </c>
      <c r="C6" s="29"/>
      <c r="D6" s="29"/>
      <c r="E6" s="29"/>
      <c r="F6" s="29"/>
      <c r="G6" s="29"/>
      <c r="H6" s="29"/>
      <c r="I6" s="29"/>
      <c r="J6" s="29"/>
      <c r="K6" s="29"/>
    </row>
    <row r="7" spans="2:14" x14ac:dyDescent="0.2">
      <c r="B7" s="29" t="s">
        <v>79</v>
      </c>
      <c r="C7" s="29"/>
      <c r="D7" s="29"/>
      <c r="E7" s="29"/>
      <c r="F7" s="29"/>
      <c r="G7" s="29"/>
      <c r="H7" s="29"/>
      <c r="I7" s="29"/>
      <c r="J7" s="29"/>
      <c r="K7" s="29"/>
    </row>
    <row r="10" spans="2:14" x14ac:dyDescent="0.2">
      <c r="B10" s="215" t="s">
        <v>106</v>
      </c>
      <c r="C10" s="10"/>
      <c r="D10" s="10"/>
      <c r="E10" s="10"/>
      <c r="F10" s="10"/>
      <c r="G10" s="11"/>
      <c r="I10" s="215" t="s">
        <v>59</v>
      </c>
      <c r="J10" s="10"/>
      <c r="K10" s="10"/>
      <c r="L10" s="10"/>
      <c r="M10" s="10"/>
      <c r="N10" s="11"/>
    </row>
    <row r="11" spans="2:14" x14ac:dyDescent="0.2">
      <c r="B11" s="48" t="s">
        <v>2</v>
      </c>
      <c r="C11" s="32"/>
      <c r="D11" s="33"/>
      <c r="E11" s="12"/>
      <c r="F11" s="12"/>
      <c r="G11" s="13">
        <v>4.5</v>
      </c>
      <c r="I11" s="6" t="s">
        <v>2</v>
      </c>
      <c r="J11" s="32"/>
      <c r="K11" s="33"/>
      <c r="L11" s="12"/>
      <c r="M11" s="12"/>
      <c r="N11" s="25">
        <v>4.5</v>
      </c>
    </row>
    <row r="12" spans="2:14" x14ac:dyDescent="0.2">
      <c r="B12" s="49" t="s">
        <v>3</v>
      </c>
      <c r="C12" s="16"/>
      <c r="D12" s="18"/>
      <c r="E12" s="12"/>
      <c r="F12" s="12"/>
      <c r="G12" s="13">
        <v>10</v>
      </c>
      <c r="I12" s="4" t="s">
        <v>60</v>
      </c>
      <c r="J12" s="16"/>
      <c r="K12" s="18"/>
      <c r="L12" s="12"/>
      <c r="M12" s="12"/>
      <c r="N12" s="25">
        <v>4.5</v>
      </c>
    </row>
    <row r="13" spans="2:14" x14ac:dyDescent="0.2">
      <c r="B13" s="49" t="s">
        <v>33</v>
      </c>
      <c r="C13" s="16"/>
      <c r="D13" s="18"/>
      <c r="E13" s="12"/>
      <c r="F13" s="12"/>
      <c r="G13" s="13">
        <v>4.5</v>
      </c>
      <c r="I13" s="4" t="s">
        <v>61</v>
      </c>
      <c r="J13" s="16"/>
      <c r="K13" s="18"/>
      <c r="L13" s="12"/>
      <c r="M13" s="12"/>
      <c r="N13" s="25">
        <v>0.5</v>
      </c>
    </row>
    <row r="14" spans="2:14" x14ac:dyDescent="0.2">
      <c r="B14" s="53" t="s">
        <v>34</v>
      </c>
      <c r="C14" s="21"/>
      <c r="D14" s="17"/>
      <c r="E14" s="12"/>
      <c r="F14" s="12"/>
      <c r="G14" s="13">
        <v>0.5</v>
      </c>
      <c r="I14" s="7"/>
      <c r="J14" s="21"/>
      <c r="K14" s="17"/>
      <c r="L14" s="29"/>
      <c r="M14" s="29"/>
      <c r="N14" s="25"/>
    </row>
    <row r="15" spans="2:14" x14ac:dyDescent="0.2">
      <c r="B15" s="216" t="s">
        <v>5</v>
      </c>
      <c r="C15" s="217"/>
      <c r="D15" s="217"/>
      <c r="E15" s="217"/>
      <c r="F15" s="217"/>
      <c r="G15" s="42">
        <f>SUM(G11:G14)</f>
        <v>19.5</v>
      </c>
      <c r="H15" s="218"/>
      <c r="I15" s="215" t="s">
        <v>5</v>
      </c>
      <c r="J15" s="217"/>
      <c r="K15" s="217"/>
      <c r="L15" s="217"/>
      <c r="M15" s="217"/>
      <c r="N15" s="40">
        <f>SUM(N11:N13)</f>
        <v>9.5</v>
      </c>
    </row>
    <row r="17" spans="2:12" x14ac:dyDescent="0.2">
      <c r="B17" s="61" t="s">
        <v>62</v>
      </c>
      <c r="C17" s="35"/>
      <c r="D17" s="35"/>
      <c r="E17" s="35"/>
      <c r="F17" s="35"/>
      <c r="G17" s="35"/>
      <c r="H17" s="35"/>
      <c r="I17" s="35"/>
      <c r="J17" s="35"/>
      <c r="K17" s="37">
        <v>10</v>
      </c>
    </row>
    <row r="18" spans="2:12" x14ac:dyDescent="0.2">
      <c r="B18" s="63" t="s">
        <v>63</v>
      </c>
      <c r="C18" s="12"/>
      <c r="D18" s="12"/>
      <c r="E18" s="12"/>
      <c r="F18" s="25">
        <v>10</v>
      </c>
      <c r="G18" s="12"/>
      <c r="H18" s="12"/>
      <c r="I18" s="12"/>
      <c r="J18" s="12"/>
      <c r="K18" s="25"/>
    </row>
    <row r="19" spans="2:12" x14ac:dyDescent="0.2">
      <c r="B19" s="63" t="s">
        <v>65</v>
      </c>
      <c r="C19" s="12"/>
      <c r="D19" s="12"/>
      <c r="E19" s="12"/>
      <c r="F19" s="25">
        <f>26*10</f>
        <v>260</v>
      </c>
      <c r="G19" s="12"/>
      <c r="H19" s="12"/>
      <c r="I19" s="12"/>
      <c r="J19" s="12"/>
      <c r="K19" s="25"/>
      <c r="L19" s="3"/>
    </row>
    <row r="20" spans="2:12" x14ac:dyDescent="0.2">
      <c r="B20" s="63" t="s">
        <v>66</v>
      </c>
      <c r="C20" s="12"/>
      <c r="D20" s="12"/>
      <c r="E20" s="12"/>
      <c r="F20" s="25">
        <v>4.7</v>
      </c>
      <c r="G20" s="12"/>
      <c r="H20" s="12"/>
      <c r="I20" s="12"/>
      <c r="J20" s="12"/>
      <c r="K20" s="25"/>
    </row>
    <row r="21" spans="2:12" x14ac:dyDescent="0.2">
      <c r="B21" s="73" t="s">
        <v>64</v>
      </c>
      <c r="C21" s="14"/>
      <c r="D21" s="14"/>
      <c r="E21" s="14"/>
      <c r="F21" s="28">
        <v>2</v>
      </c>
      <c r="G21" s="12"/>
      <c r="H21" s="12"/>
      <c r="I21" s="12"/>
      <c r="J21" s="12"/>
      <c r="K21" s="25"/>
    </row>
    <row r="22" spans="2:12" x14ac:dyDescent="0.2">
      <c r="B22" s="26"/>
      <c r="C22" s="12"/>
      <c r="D22" s="12"/>
      <c r="E22" s="12"/>
      <c r="F22" s="12"/>
      <c r="G22" s="12"/>
      <c r="H22" s="12"/>
      <c r="I22" s="12"/>
      <c r="J22" s="12"/>
      <c r="K22" s="25"/>
    </row>
    <row r="23" spans="2:12" x14ac:dyDescent="0.2">
      <c r="B23" s="71" t="s">
        <v>68</v>
      </c>
      <c r="C23" s="12"/>
      <c r="D23" s="12"/>
      <c r="E23" s="12"/>
      <c r="F23" s="12"/>
      <c r="G23" s="12"/>
      <c r="H23" s="76"/>
      <c r="I23" s="12"/>
      <c r="J23" s="12"/>
      <c r="K23" s="25"/>
    </row>
    <row r="24" spans="2:12" x14ac:dyDescent="0.2">
      <c r="B24" s="26" t="s">
        <v>69</v>
      </c>
      <c r="C24" s="12"/>
      <c r="D24" s="12"/>
      <c r="E24" s="12"/>
      <c r="F24" s="12"/>
      <c r="G24" s="12"/>
      <c r="H24" s="12"/>
      <c r="I24" s="12"/>
      <c r="J24" s="12"/>
      <c r="K24" s="25"/>
    </row>
    <row r="25" spans="2:12" x14ac:dyDescent="0.2">
      <c r="B25" s="26"/>
      <c r="C25" s="12"/>
      <c r="D25" s="12"/>
      <c r="E25" s="12"/>
      <c r="F25" s="12"/>
      <c r="G25" s="12"/>
      <c r="H25" s="12"/>
      <c r="I25" s="12"/>
      <c r="J25" s="12"/>
      <c r="K25" s="25"/>
    </row>
    <row r="26" spans="2:12" x14ac:dyDescent="0.2">
      <c r="B26" s="74" t="s">
        <v>70</v>
      </c>
      <c r="C26" s="70"/>
      <c r="D26" s="70"/>
      <c r="E26" s="70"/>
      <c r="F26" s="72"/>
      <c r="G26" s="12"/>
      <c r="H26" s="12"/>
      <c r="I26" s="12"/>
      <c r="J26" s="12"/>
      <c r="K26" s="25"/>
    </row>
    <row r="27" spans="2:12" x14ac:dyDescent="0.2">
      <c r="B27" s="95" t="s">
        <v>71</v>
      </c>
      <c r="C27" s="96">
        <f>F19/F20</f>
        <v>55.319148936170208</v>
      </c>
      <c r="D27" s="14"/>
      <c r="E27" s="14"/>
      <c r="F27" s="28"/>
      <c r="G27" s="12"/>
      <c r="H27" s="12"/>
      <c r="I27" s="12"/>
      <c r="J27" s="12"/>
      <c r="K27" s="25"/>
    </row>
    <row r="28" spans="2:12" x14ac:dyDescent="0.2">
      <c r="B28" s="26"/>
      <c r="C28" s="12"/>
      <c r="D28" s="12"/>
      <c r="E28" s="12"/>
      <c r="F28" s="12"/>
      <c r="G28" s="12"/>
      <c r="H28" s="12"/>
      <c r="I28" s="12"/>
      <c r="J28" s="12"/>
      <c r="K28" s="25"/>
    </row>
    <row r="29" spans="2:12" x14ac:dyDescent="0.2">
      <c r="B29" s="101" t="s">
        <v>72</v>
      </c>
      <c r="C29" s="102"/>
      <c r="D29" s="102"/>
      <c r="E29" s="102"/>
      <c r="F29" s="102"/>
      <c r="G29" s="102"/>
      <c r="H29" s="103"/>
      <c r="I29" s="12"/>
      <c r="J29" s="12"/>
      <c r="K29" s="25"/>
    </row>
    <row r="30" spans="2:12" x14ac:dyDescent="0.2">
      <c r="B30" s="97" t="s">
        <v>73</v>
      </c>
      <c r="C30" s="98"/>
      <c r="D30" s="98"/>
      <c r="E30" s="98"/>
      <c r="F30" s="98"/>
      <c r="G30" s="98"/>
      <c r="H30" s="104"/>
      <c r="I30" s="12"/>
      <c r="J30" s="12"/>
      <c r="K30" s="25"/>
    </row>
    <row r="31" spans="2:12" x14ac:dyDescent="0.2">
      <c r="B31" s="97" t="s">
        <v>74</v>
      </c>
      <c r="C31" s="98"/>
      <c r="D31" s="98"/>
      <c r="E31" s="98"/>
      <c r="F31" s="98"/>
      <c r="G31" s="98"/>
      <c r="H31" s="104"/>
      <c r="I31" s="12"/>
      <c r="J31" s="12"/>
      <c r="K31" s="25"/>
    </row>
    <row r="32" spans="2:12" x14ac:dyDescent="0.2">
      <c r="B32" s="97" t="s">
        <v>75</v>
      </c>
      <c r="C32" s="98"/>
      <c r="D32" s="98"/>
      <c r="E32" s="98"/>
      <c r="F32" s="98"/>
      <c r="G32" s="98"/>
      <c r="H32" s="104"/>
      <c r="I32" s="12"/>
      <c r="J32" s="12"/>
      <c r="K32" s="25"/>
    </row>
    <row r="33" spans="2:11" x14ac:dyDescent="0.2">
      <c r="B33" s="97" t="s">
        <v>76</v>
      </c>
      <c r="C33" s="98"/>
      <c r="D33" s="98"/>
      <c r="E33" s="98"/>
      <c r="F33" s="98"/>
      <c r="G33" s="98"/>
      <c r="H33" s="104"/>
      <c r="I33" s="12"/>
      <c r="J33" s="12"/>
      <c r="K33" s="25"/>
    </row>
    <row r="34" spans="2:11" x14ac:dyDescent="0.2">
      <c r="B34" s="97" t="s">
        <v>77</v>
      </c>
      <c r="C34" s="98"/>
      <c r="D34" s="98"/>
      <c r="E34" s="98"/>
      <c r="F34" s="98"/>
      <c r="G34" s="98"/>
      <c r="H34" s="104"/>
      <c r="I34" s="12"/>
      <c r="J34" s="12"/>
      <c r="K34" s="25"/>
    </row>
    <row r="35" spans="2:11" x14ac:dyDescent="0.2">
      <c r="B35" s="99" t="s">
        <v>78</v>
      </c>
      <c r="C35" s="100"/>
      <c r="D35" s="100"/>
      <c r="E35" s="100"/>
      <c r="F35" s="100"/>
      <c r="G35" s="100"/>
      <c r="H35" s="105"/>
      <c r="I35" s="14"/>
      <c r="J35" s="14"/>
      <c r="K35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A13" zoomScale="60" workbookViewId="0">
      <selection activeCell="B70" sqref="B70"/>
    </sheetView>
  </sheetViews>
  <sheetFormatPr baseColWidth="10" defaultRowHeight="16" x14ac:dyDescent="0.2"/>
  <cols>
    <col min="2" max="2" width="51.5" customWidth="1"/>
    <col min="3" max="3" width="16" customWidth="1"/>
    <col min="4" max="4" width="10.83203125" customWidth="1"/>
    <col min="5" max="5" width="15.5" bestFit="1" customWidth="1"/>
    <col min="6" max="6" width="14.83203125" customWidth="1"/>
    <col min="7" max="7" width="15.33203125" customWidth="1"/>
    <col min="8" max="11" width="14" bestFit="1" customWidth="1"/>
    <col min="12" max="12" width="10.6640625" customWidth="1"/>
    <col min="14" max="14" width="15.5" bestFit="1" customWidth="1"/>
  </cols>
  <sheetData>
    <row r="1" spans="1:26" ht="31" x14ac:dyDescent="0.35">
      <c r="A1" s="82"/>
      <c r="B1" s="1" t="s">
        <v>303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6" ht="19" x14ac:dyDescent="0.25">
      <c r="A2" s="82"/>
    </row>
    <row r="3" spans="1:26" ht="21" x14ac:dyDescent="0.25">
      <c r="A3" s="82"/>
      <c r="B3" s="245" t="s">
        <v>311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6" ht="19" x14ac:dyDescent="0.25">
      <c r="A4" s="8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6" ht="19" x14ac:dyDescent="0.25">
      <c r="A5" s="82"/>
      <c r="B5" s="222" t="s">
        <v>307</v>
      </c>
      <c r="C5" s="107"/>
      <c r="D5" s="107"/>
      <c r="E5" s="107"/>
      <c r="F5" s="107"/>
      <c r="G5" s="107"/>
      <c r="H5" s="107"/>
      <c r="I5" s="29"/>
      <c r="J5" s="29"/>
      <c r="K5" s="29"/>
      <c r="L5" s="29"/>
    </row>
    <row r="6" spans="1:26" ht="19" x14ac:dyDescent="0.25">
      <c r="A6" s="82"/>
      <c r="B6" s="107" t="s">
        <v>308</v>
      </c>
      <c r="C6" s="107"/>
      <c r="D6" s="107"/>
      <c r="E6" s="107"/>
      <c r="F6" s="107"/>
      <c r="G6" s="107"/>
      <c r="H6" s="107"/>
      <c r="I6" s="29"/>
      <c r="J6" s="29"/>
      <c r="K6" s="29"/>
      <c r="L6" s="29"/>
    </row>
    <row r="7" spans="1:26" ht="19" x14ac:dyDescent="0.25">
      <c r="A7" s="82"/>
      <c r="B7" s="107" t="s">
        <v>309</v>
      </c>
      <c r="C7" s="107"/>
      <c r="D7" s="107"/>
      <c r="E7" s="107"/>
      <c r="F7" s="107"/>
      <c r="G7" s="107"/>
      <c r="H7" s="107"/>
      <c r="I7" s="29"/>
      <c r="J7" s="29"/>
      <c r="K7" s="29"/>
      <c r="L7" s="29"/>
    </row>
    <row r="8" spans="1:26" ht="19" x14ac:dyDescent="0.25">
      <c r="A8" s="82"/>
      <c r="B8" s="107" t="s">
        <v>304</v>
      </c>
      <c r="C8" s="107"/>
      <c r="D8" s="107"/>
      <c r="E8" s="107"/>
      <c r="F8" s="107"/>
      <c r="G8" s="107"/>
      <c r="H8" s="107"/>
      <c r="I8" s="29"/>
      <c r="J8" s="29"/>
      <c r="K8" s="29"/>
      <c r="L8" s="29"/>
    </row>
    <row r="9" spans="1:26" ht="19" x14ac:dyDescent="0.25">
      <c r="A9" s="82"/>
      <c r="B9" s="107" t="s">
        <v>310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26" ht="19" x14ac:dyDescent="0.25">
      <c r="A10" s="82"/>
      <c r="B10" s="107" t="s">
        <v>305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26" ht="19" x14ac:dyDescent="0.25">
      <c r="A11" s="82"/>
      <c r="B11" s="107" t="s">
        <v>306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26" ht="19" x14ac:dyDescent="0.25">
      <c r="A12" s="82"/>
      <c r="B12" s="107" t="s">
        <v>312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26" ht="19" x14ac:dyDescent="0.25">
      <c r="A13" s="82"/>
      <c r="B13" s="29"/>
      <c r="C13" s="29"/>
      <c r="D13" s="29"/>
      <c r="E13" s="29"/>
      <c r="F13" s="29"/>
      <c r="G13" s="29"/>
      <c r="H13" s="29"/>
      <c r="I13" s="29"/>
      <c r="J13" s="29"/>
      <c r="K13" s="114"/>
      <c r="L13" s="29"/>
    </row>
    <row r="14" spans="1:26" ht="19" x14ac:dyDescent="0.25">
      <c r="A14" s="82"/>
      <c r="B14" s="146" t="s">
        <v>206</v>
      </c>
      <c r="C14" s="224">
        <v>43952</v>
      </c>
      <c r="D14" s="29"/>
      <c r="E14" s="29"/>
      <c r="F14" s="29"/>
      <c r="G14" s="29"/>
      <c r="H14" s="29"/>
      <c r="I14" s="29"/>
      <c r="J14" s="29"/>
      <c r="K14" s="114"/>
      <c r="L14" s="29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9" x14ac:dyDescent="0.25">
      <c r="A15" s="82"/>
      <c r="B15" s="223" t="s">
        <v>207</v>
      </c>
      <c r="C15" s="224">
        <v>25032</v>
      </c>
      <c r="D15" s="29"/>
      <c r="E15" s="29"/>
      <c r="F15" s="29"/>
      <c r="G15" s="29"/>
      <c r="H15" s="29"/>
      <c r="I15" s="29"/>
      <c r="J15" s="29"/>
      <c r="K15" s="114"/>
      <c r="L15" s="29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22" customHeight="1" x14ac:dyDescent="0.25">
      <c r="A16" s="82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29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9" customHeight="1" x14ac:dyDescent="0.25">
      <c r="A17" s="82"/>
      <c r="B17" s="230"/>
      <c r="C17" s="231">
        <v>1</v>
      </c>
      <c r="D17" s="231">
        <v>2</v>
      </c>
      <c r="E17" s="231">
        <v>3</v>
      </c>
      <c r="F17" s="231">
        <v>4</v>
      </c>
      <c r="G17" s="231">
        <v>5</v>
      </c>
      <c r="H17" s="231">
        <v>6</v>
      </c>
      <c r="I17" s="231">
        <v>7</v>
      </c>
      <c r="J17" s="231">
        <v>8</v>
      </c>
      <c r="K17" s="252">
        <v>9</v>
      </c>
      <c r="L17" s="110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9" x14ac:dyDescent="0.25">
      <c r="A18" s="82"/>
      <c r="B18" s="232" t="s">
        <v>125</v>
      </c>
      <c r="C18" s="250">
        <v>2013</v>
      </c>
      <c r="D18" s="250">
        <v>2014</v>
      </c>
      <c r="E18" s="250">
        <v>2015</v>
      </c>
      <c r="F18" s="250">
        <v>2016</v>
      </c>
      <c r="G18" s="250">
        <v>2017</v>
      </c>
      <c r="H18" s="250">
        <v>2018</v>
      </c>
      <c r="I18" s="250">
        <v>2019</v>
      </c>
      <c r="J18" s="250">
        <v>2020</v>
      </c>
      <c r="K18" s="251">
        <v>2021</v>
      </c>
      <c r="L18" s="233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9" x14ac:dyDescent="0.25">
      <c r="A19" s="82"/>
      <c r="B19" s="246" t="s">
        <v>126</v>
      </c>
      <c r="C19" s="233">
        <v>2</v>
      </c>
      <c r="D19" s="233">
        <v>6</v>
      </c>
      <c r="E19" s="233">
        <v>14</v>
      </c>
      <c r="F19" s="233">
        <v>26</v>
      </c>
      <c r="G19" s="233">
        <f>2*(G17)^2-2*(G17)+2</f>
        <v>42</v>
      </c>
      <c r="H19" s="233">
        <f t="shared" ref="H19:K19" si="0">2*(H17)^2-2*(H17)+2</f>
        <v>62</v>
      </c>
      <c r="I19" s="233">
        <f t="shared" si="0"/>
        <v>86</v>
      </c>
      <c r="J19" s="233">
        <f t="shared" si="0"/>
        <v>114</v>
      </c>
      <c r="K19" s="234">
        <f t="shared" si="0"/>
        <v>146</v>
      </c>
      <c r="L19" s="233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9" x14ac:dyDescent="0.25">
      <c r="A20" s="82"/>
      <c r="B20" s="247" t="s">
        <v>127</v>
      </c>
      <c r="C20" s="233">
        <v>2</v>
      </c>
      <c r="D20" s="233">
        <v>6</v>
      </c>
      <c r="E20" s="233">
        <v>14</v>
      </c>
      <c r="F20" s="233">
        <v>26</v>
      </c>
      <c r="G20" s="233">
        <f>((G19-F19)*0.5)+F20</f>
        <v>34</v>
      </c>
      <c r="H20" s="233">
        <f t="shared" ref="H20:K20" si="1">((H19-G19)*0.5)+G20</f>
        <v>44</v>
      </c>
      <c r="I20" s="233">
        <f t="shared" si="1"/>
        <v>56</v>
      </c>
      <c r="J20" s="233">
        <f t="shared" si="1"/>
        <v>70</v>
      </c>
      <c r="K20" s="234">
        <f t="shared" si="1"/>
        <v>86</v>
      </c>
      <c r="L20" s="233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9" x14ac:dyDescent="0.25">
      <c r="A21" s="82"/>
      <c r="B21" s="247" t="s">
        <v>128</v>
      </c>
      <c r="C21" s="233">
        <f>C19-C20</f>
        <v>0</v>
      </c>
      <c r="D21" s="233">
        <f t="shared" ref="D21:K21" si="2">D19-D20</f>
        <v>0</v>
      </c>
      <c r="E21" s="233">
        <f t="shared" si="2"/>
        <v>0</v>
      </c>
      <c r="F21" s="233">
        <f t="shared" si="2"/>
        <v>0</v>
      </c>
      <c r="G21" s="233">
        <f>G19-G20</f>
        <v>8</v>
      </c>
      <c r="H21" s="233">
        <f t="shared" si="2"/>
        <v>18</v>
      </c>
      <c r="I21" s="233">
        <f t="shared" si="2"/>
        <v>30</v>
      </c>
      <c r="J21" s="233">
        <f t="shared" si="2"/>
        <v>44</v>
      </c>
      <c r="K21" s="234">
        <f t="shared" si="2"/>
        <v>60</v>
      </c>
      <c r="L21" s="233"/>
      <c r="M21" s="82"/>
      <c r="N21" s="83"/>
      <c r="O21" s="83"/>
      <c r="P21" s="83"/>
      <c r="Q21" s="83"/>
      <c r="R21" s="83"/>
      <c r="S21" s="83"/>
      <c r="T21" s="83"/>
      <c r="U21" s="83"/>
      <c r="V21" s="82"/>
      <c r="W21" s="82"/>
      <c r="X21" s="82"/>
      <c r="Y21" s="82"/>
      <c r="Z21" s="82"/>
    </row>
    <row r="22" spans="1:26" ht="19" x14ac:dyDescent="0.25">
      <c r="A22" s="82"/>
      <c r="B22" s="247"/>
      <c r="C22" s="233"/>
      <c r="D22" s="233"/>
      <c r="E22" s="233"/>
      <c r="F22" s="233"/>
      <c r="G22" s="233"/>
      <c r="H22" s="233"/>
      <c r="I22" s="233"/>
      <c r="J22" s="233"/>
      <c r="K22" s="234"/>
      <c r="L22" s="233"/>
      <c r="M22" s="82"/>
      <c r="N22" s="83"/>
      <c r="O22" s="83"/>
      <c r="P22" s="83"/>
      <c r="Q22" s="83"/>
      <c r="R22" s="83"/>
      <c r="S22" s="83"/>
      <c r="T22" s="83"/>
      <c r="U22" s="83"/>
      <c r="V22" s="82"/>
      <c r="W22" s="82"/>
      <c r="X22" s="82"/>
      <c r="Y22" s="82"/>
      <c r="Z22" s="82"/>
    </row>
    <row r="23" spans="1:26" ht="19" x14ac:dyDescent="0.25">
      <c r="A23" s="82"/>
      <c r="B23" s="248" t="s">
        <v>204</v>
      </c>
      <c r="C23" s="169"/>
      <c r="D23" s="169"/>
      <c r="E23" s="169"/>
      <c r="F23" s="169">
        <f>C14*F19</f>
        <v>1142752</v>
      </c>
      <c r="G23" s="169">
        <f>C14*G19</f>
        <v>1845984</v>
      </c>
      <c r="H23" s="169">
        <f>C14*H19</f>
        <v>2725024</v>
      </c>
      <c r="I23" s="169">
        <f>C14*I19</f>
        <v>3779872</v>
      </c>
      <c r="J23" s="169">
        <f>C14*J19</f>
        <v>5010528</v>
      </c>
      <c r="K23" s="253">
        <f>C14*K19</f>
        <v>6416992</v>
      </c>
      <c r="L23" s="233"/>
      <c r="M23" s="83"/>
      <c r="N23" s="83"/>
      <c r="O23" s="83"/>
      <c r="P23" s="83"/>
      <c r="Q23" s="83"/>
      <c r="R23" s="83"/>
      <c r="S23" s="83"/>
      <c r="T23" s="83"/>
      <c r="U23" s="82"/>
      <c r="V23" s="82"/>
      <c r="W23" s="82"/>
      <c r="X23" s="82"/>
      <c r="Y23" s="82"/>
      <c r="Z23" s="82"/>
    </row>
    <row r="24" spans="1:26" ht="19" x14ac:dyDescent="0.25">
      <c r="A24" s="82"/>
      <c r="B24" s="248" t="s">
        <v>205</v>
      </c>
      <c r="C24" s="169"/>
      <c r="D24" s="169"/>
      <c r="E24" s="169"/>
      <c r="F24" s="169">
        <f>C15*F20</f>
        <v>650832</v>
      </c>
      <c r="G24" s="169">
        <f>C15*G20</f>
        <v>851088</v>
      </c>
      <c r="H24" s="169">
        <f>C15*H20</f>
        <v>1101408</v>
      </c>
      <c r="I24" s="169">
        <f>C15*I20</f>
        <v>1401792</v>
      </c>
      <c r="J24" s="169">
        <f>C15*J20</f>
        <v>1752240</v>
      </c>
      <c r="K24" s="253">
        <f>C15*K20</f>
        <v>2152752</v>
      </c>
      <c r="L24" s="233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9" x14ac:dyDescent="0.25">
      <c r="A25" s="82"/>
      <c r="B25" s="249" t="s">
        <v>208</v>
      </c>
      <c r="C25" s="235"/>
      <c r="D25" s="235"/>
      <c r="E25" s="235"/>
      <c r="F25" s="236">
        <f>F23-F24</f>
        <v>491920</v>
      </c>
      <c r="G25" s="236">
        <f>G23-G24</f>
        <v>994896</v>
      </c>
      <c r="H25" s="236">
        <f t="shared" ref="H25:K25" si="3">H23-H24</f>
        <v>1623616</v>
      </c>
      <c r="I25" s="236">
        <f t="shared" si="3"/>
        <v>2378080</v>
      </c>
      <c r="J25" s="236">
        <f t="shared" si="3"/>
        <v>3258288</v>
      </c>
      <c r="K25" s="254">
        <f t="shared" si="3"/>
        <v>4264240</v>
      </c>
      <c r="L25" s="233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9" x14ac:dyDescent="0.25">
      <c r="A26" s="82"/>
      <c r="B26" s="225"/>
      <c r="C26" s="168"/>
      <c r="D26" s="168"/>
      <c r="E26" s="168"/>
      <c r="F26" s="169"/>
      <c r="G26" s="169"/>
      <c r="H26" s="169"/>
      <c r="I26" s="169"/>
      <c r="J26" s="169"/>
      <c r="K26" s="169"/>
      <c r="L26" s="114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9" x14ac:dyDescent="0.25">
      <c r="A27" s="82"/>
      <c r="B27" s="225" t="s">
        <v>298</v>
      </c>
      <c r="C27" s="243">
        <v>7.6999999999999999E-2</v>
      </c>
      <c r="D27" s="168"/>
      <c r="E27" s="244">
        <v>6.5000000000000002E-2</v>
      </c>
      <c r="F27" s="244">
        <v>8.5000000000000006E-2</v>
      </c>
      <c r="G27" s="169"/>
      <c r="H27" s="169"/>
      <c r="I27" s="169"/>
      <c r="J27" s="169"/>
      <c r="K27" s="169"/>
      <c r="L27" s="114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9" x14ac:dyDescent="0.25">
      <c r="A28" s="82"/>
      <c r="B28" s="225"/>
      <c r="C28" s="168"/>
      <c r="D28" s="168"/>
      <c r="E28" s="168" t="s">
        <v>313</v>
      </c>
      <c r="F28" s="168"/>
      <c r="G28" s="169"/>
      <c r="H28" s="169"/>
      <c r="I28" s="169"/>
      <c r="J28" s="169"/>
      <c r="K28" s="169"/>
      <c r="L28" s="169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9" x14ac:dyDescent="0.25">
      <c r="A29" s="82"/>
      <c r="B29" s="225" t="s">
        <v>209</v>
      </c>
      <c r="C29" s="168"/>
      <c r="D29" s="168"/>
      <c r="E29" s="168" t="s">
        <v>314</v>
      </c>
      <c r="F29" s="168"/>
      <c r="G29" s="169"/>
      <c r="H29" s="169"/>
      <c r="I29" s="169"/>
      <c r="J29" s="169"/>
      <c r="K29" s="169"/>
      <c r="L29" s="169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9" x14ac:dyDescent="0.25">
      <c r="A30" s="82"/>
      <c r="B30" s="225" t="s">
        <v>299</v>
      </c>
      <c r="C30" s="168">
        <f>NPV(E27,H23:K23)+G23</f>
        <v>16873288.327644434</v>
      </c>
      <c r="D30" s="168"/>
      <c r="E30" s="168"/>
      <c r="F30" s="169"/>
      <c r="G30" s="169"/>
      <c r="H30" s="169"/>
      <c r="I30" s="169"/>
      <c r="J30" s="169"/>
      <c r="K30" s="169"/>
      <c r="L30" s="114"/>
      <c r="M30" s="82"/>
      <c r="N30" s="226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9" x14ac:dyDescent="0.25">
      <c r="A31" s="82"/>
      <c r="B31" s="225" t="s">
        <v>300</v>
      </c>
      <c r="C31" s="168">
        <f>NPV(,H23:K23)+G23</f>
        <v>19778400</v>
      </c>
      <c r="D31" s="168"/>
      <c r="E31" s="168"/>
      <c r="F31" s="169"/>
      <c r="G31" s="169"/>
      <c r="H31" s="169"/>
      <c r="I31" s="169"/>
      <c r="J31" s="169"/>
      <c r="K31" s="169"/>
      <c r="L31" s="114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9" x14ac:dyDescent="0.25">
      <c r="A32" s="82"/>
      <c r="B32" s="225" t="s">
        <v>301</v>
      </c>
      <c r="C32" s="168">
        <f>NPV(E27,H24:K24)+G24</f>
        <v>6245150.9759967774</v>
      </c>
      <c r="D32" s="168"/>
      <c r="E32" s="168"/>
      <c r="F32" s="169"/>
      <c r="G32" s="169"/>
      <c r="H32" s="169"/>
      <c r="I32" s="169"/>
      <c r="J32" s="169"/>
      <c r="K32" s="169"/>
      <c r="L32" s="114"/>
    </row>
    <row r="33" spans="1:20" ht="19" x14ac:dyDescent="0.25">
      <c r="A33" s="82"/>
      <c r="B33" s="225" t="s">
        <v>302</v>
      </c>
      <c r="C33" s="168">
        <f>NPV(,H24:K24)+G24</f>
        <v>7259280</v>
      </c>
      <c r="D33" s="168"/>
      <c r="E33" s="168"/>
      <c r="F33" s="169"/>
      <c r="G33" s="169"/>
      <c r="H33" s="169"/>
      <c r="I33" s="169"/>
      <c r="J33" s="169"/>
      <c r="K33" s="169"/>
      <c r="L33" s="114"/>
      <c r="M33" s="82"/>
      <c r="N33" s="82"/>
      <c r="O33" s="82"/>
      <c r="P33" s="82"/>
      <c r="Q33" s="82"/>
      <c r="R33" s="82"/>
      <c r="S33" s="82"/>
      <c r="T33" s="82"/>
    </row>
    <row r="34" spans="1:20" ht="19" x14ac:dyDescent="0.25">
      <c r="A34" s="82"/>
      <c r="B34" s="225"/>
      <c r="C34" s="29"/>
      <c r="D34" s="168"/>
      <c r="E34" s="168"/>
      <c r="F34" s="169"/>
      <c r="G34" s="169"/>
      <c r="H34" s="169"/>
      <c r="I34" s="169"/>
      <c r="J34" s="169"/>
      <c r="K34" s="169"/>
      <c r="L34" s="114"/>
      <c r="M34" s="82"/>
      <c r="N34" s="82"/>
      <c r="O34" s="82"/>
      <c r="P34" s="82"/>
      <c r="Q34" s="82"/>
      <c r="R34" s="82"/>
      <c r="S34" s="82"/>
      <c r="T34" s="82"/>
    </row>
    <row r="35" spans="1:20" ht="19" x14ac:dyDescent="0.25">
      <c r="A35" s="82"/>
      <c r="B35" s="29" t="s">
        <v>315</v>
      </c>
      <c r="C35" s="29"/>
      <c r="D35" s="168"/>
      <c r="E35" s="168">
        <f>C30-C32</f>
        <v>10628137.351647656</v>
      </c>
      <c r="F35" s="169"/>
      <c r="G35" s="169"/>
      <c r="H35" s="169"/>
      <c r="I35" s="169"/>
      <c r="J35" s="169"/>
      <c r="K35" s="169"/>
      <c r="L35" s="114"/>
      <c r="M35" s="82"/>
      <c r="N35" s="82"/>
      <c r="O35" s="82"/>
      <c r="P35" s="82"/>
      <c r="Q35" s="82"/>
      <c r="R35" s="82"/>
      <c r="S35" s="82"/>
      <c r="T35" s="82"/>
    </row>
    <row r="36" spans="1:20" ht="19" x14ac:dyDescent="0.25">
      <c r="A36" s="82"/>
      <c r="B36" s="29" t="s">
        <v>316</v>
      </c>
      <c r="C36" s="29"/>
      <c r="D36" s="168"/>
      <c r="E36" s="168">
        <f>C31-C33</f>
        <v>12519120</v>
      </c>
      <c r="F36" s="169"/>
      <c r="G36" s="169"/>
      <c r="H36" s="169"/>
      <c r="I36" s="169"/>
      <c r="J36" s="169"/>
      <c r="K36" s="169"/>
      <c r="L36" s="114"/>
      <c r="M36" s="82"/>
      <c r="N36" s="82"/>
      <c r="O36" s="82"/>
      <c r="P36" s="82"/>
      <c r="Q36" s="82"/>
      <c r="R36" s="82"/>
      <c r="S36" s="82"/>
      <c r="T36" s="82"/>
    </row>
    <row r="37" spans="1:20" ht="19" x14ac:dyDescent="0.25">
      <c r="A37" s="82"/>
      <c r="B37" s="225"/>
      <c r="C37" s="29"/>
      <c r="D37" s="168"/>
      <c r="E37" s="168"/>
      <c r="F37" s="169"/>
      <c r="G37" s="169"/>
      <c r="H37" s="169"/>
      <c r="I37" s="169"/>
      <c r="J37" s="169"/>
      <c r="K37" s="169"/>
      <c r="L37" s="114"/>
      <c r="M37" s="82"/>
      <c r="N37" s="82"/>
      <c r="O37" s="82"/>
      <c r="P37" s="82"/>
      <c r="Q37" s="82"/>
      <c r="R37" s="82"/>
      <c r="S37" s="82"/>
      <c r="T37" s="82"/>
    </row>
    <row r="38" spans="1:20" ht="19" x14ac:dyDescent="0.25">
      <c r="A38" s="82"/>
      <c r="B38" s="227" t="s">
        <v>317</v>
      </c>
      <c r="C38" s="227"/>
      <c r="D38" s="228"/>
      <c r="E38" s="228"/>
      <c r="F38" s="229"/>
      <c r="G38" s="229"/>
      <c r="H38" s="229"/>
      <c r="I38" s="229"/>
      <c r="J38" s="229"/>
      <c r="K38" s="229"/>
      <c r="L38" s="237"/>
      <c r="M38" s="82"/>
      <c r="N38" s="82"/>
      <c r="O38" s="82"/>
      <c r="P38" s="82"/>
      <c r="Q38" s="82"/>
      <c r="R38" s="82"/>
      <c r="S38" s="82"/>
      <c r="T38" s="82"/>
    </row>
    <row r="39" spans="1:20" ht="19" x14ac:dyDescent="0.25">
      <c r="A39" s="82"/>
      <c r="B39" s="29"/>
      <c r="C39" s="170"/>
      <c r="D39" s="168"/>
      <c r="E39" s="168"/>
      <c r="F39" s="169"/>
      <c r="G39" s="169"/>
      <c r="H39" s="169"/>
      <c r="I39" s="169"/>
      <c r="J39" s="169"/>
      <c r="K39" s="169"/>
      <c r="L39" s="114"/>
      <c r="M39" s="82"/>
      <c r="N39" s="82"/>
      <c r="O39" s="82"/>
      <c r="P39" s="82"/>
      <c r="Q39" s="82"/>
      <c r="R39" s="82"/>
      <c r="S39" s="82"/>
      <c r="T39" s="82"/>
    </row>
    <row r="40" spans="1:20" ht="19" x14ac:dyDescent="0.25">
      <c r="A40" s="82"/>
      <c r="D40" s="31"/>
      <c r="G40" s="31"/>
      <c r="H40" s="31"/>
      <c r="I40" s="31"/>
      <c r="J40" s="31"/>
      <c r="K40" s="31"/>
      <c r="L40" s="114"/>
      <c r="M40" s="82"/>
      <c r="N40" s="82"/>
      <c r="O40" s="82"/>
      <c r="P40" s="82"/>
      <c r="Q40" s="82"/>
      <c r="R40" s="82"/>
      <c r="S40" s="82"/>
      <c r="T40" s="82"/>
    </row>
    <row r="41" spans="1:20" ht="19" x14ac:dyDescent="0.25">
      <c r="A41" s="82"/>
      <c r="B41" s="219"/>
      <c r="C41" s="220"/>
      <c r="L41" s="114"/>
      <c r="M41" s="82"/>
      <c r="N41" s="82"/>
      <c r="O41" s="82"/>
      <c r="P41" s="82"/>
      <c r="Q41" s="82"/>
      <c r="R41" s="82"/>
      <c r="S41" s="82"/>
      <c r="T41" s="82"/>
    </row>
    <row r="42" spans="1:20" ht="19" x14ac:dyDescent="0.25">
      <c r="A42" s="82"/>
      <c r="B42" s="219"/>
      <c r="C42" s="220"/>
      <c r="L42" s="114"/>
      <c r="M42" s="82"/>
      <c r="N42" s="82"/>
      <c r="O42" s="82"/>
      <c r="P42" s="82"/>
      <c r="Q42" s="82"/>
      <c r="R42" s="82"/>
      <c r="S42" s="82"/>
      <c r="T42" s="82"/>
    </row>
    <row r="43" spans="1:20" ht="19" x14ac:dyDescent="0.25">
      <c r="A43" s="82"/>
      <c r="B43" s="219"/>
      <c r="C43" s="220"/>
      <c r="D43" s="31"/>
      <c r="E43" s="31"/>
      <c r="F43" s="31"/>
      <c r="G43" s="31"/>
      <c r="H43" s="31"/>
      <c r="I43" s="31"/>
      <c r="J43" s="31"/>
      <c r="K43" s="31"/>
      <c r="L43" s="114"/>
      <c r="M43" s="82"/>
      <c r="N43" s="82"/>
      <c r="O43" s="82"/>
      <c r="P43" s="82"/>
      <c r="Q43" s="82"/>
      <c r="R43" s="82"/>
      <c r="S43" s="82"/>
      <c r="T43" s="82"/>
    </row>
    <row r="44" spans="1:20" ht="19" x14ac:dyDescent="0.25">
      <c r="A44" s="82"/>
      <c r="B44" s="219"/>
      <c r="C44" s="220"/>
      <c r="D44" s="220"/>
      <c r="E44" s="220"/>
      <c r="F44" s="221"/>
      <c r="G44" s="221"/>
      <c r="H44" s="221"/>
      <c r="I44" s="221"/>
      <c r="J44" s="221"/>
      <c r="K44" s="221"/>
      <c r="L44" s="114"/>
      <c r="M44" s="82"/>
      <c r="N44" s="82"/>
      <c r="O44" s="82"/>
      <c r="P44" s="82"/>
      <c r="Q44" s="82"/>
      <c r="R44" s="82"/>
      <c r="S44" s="82"/>
      <c r="T44" s="82"/>
    </row>
    <row r="45" spans="1:20" ht="19" x14ac:dyDescent="0.25">
      <c r="A45" s="82"/>
      <c r="B45" s="219"/>
      <c r="C45" s="220"/>
      <c r="D45" s="220"/>
      <c r="E45" s="220"/>
      <c r="F45" s="221"/>
      <c r="G45" s="221"/>
      <c r="H45" s="221"/>
      <c r="I45" s="221"/>
      <c r="J45" s="221"/>
      <c r="K45" s="221"/>
      <c r="L45" s="114"/>
      <c r="M45" s="82"/>
      <c r="N45" s="82"/>
      <c r="O45" s="82"/>
      <c r="P45" s="82"/>
      <c r="Q45" s="82"/>
      <c r="R45" s="82"/>
      <c r="S45" s="82"/>
      <c r="T45" s="82"/>
    </row>
    <row r="46" spans="1:20" ht="19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114"/>
      <c r="M46" s="118"/>
      <c r="N46" s="118"/>
      <c r="O46" s="118"/>
      <c r="P46" s="118"/>
      <c r="Q46" s="82"/>
      <c r="R46" s="82"/>
      <c r="S46" s="82"/>
      <c r="T46" s="82"/>
    </row>
    <row r="47" spans="1:20" ht="24" x14ac:dyDescent="0.3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241"/>
      <c r="M47" s="119"/>
      <c r="N47" s="119"/>
      <c r="O47" s="118"/>
      <c r="P47" s="117"/>
      <c r="Q47" s="82"/>
      <c r="R47" s="82"/>
      <c r="S47" s="82"/>
      <c r="T47" s="82"/>
    </row>
    <row r="48" spans="1:20" ht="19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241"/>
      <c r="M48" s="31"/>
      <c r="N48" s="31"/>
      <c r="O48" s="31"/>
      <c r="P48" s="117"/>
      <c r="Q48" s="82"/>
      <c r="R48" s="82"/>
      <c r="S48" s="82"/>
      <c r="T48" s="82"/>
    </row>
    <row r="49" spans="1:20" ht="19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14"/>
      <c r="M49" s="31"/>
      <c r="N49" s="31"/>
      <c r="O49" s="31"/>
      <c r="P49" s="117"/>
      <c r="Q49" s="82"/>
      <c r="R49" s="82"/>
      <c r="S49" s="82"/>
      <c r="T49" s="82"/>
    </row>
    <row r="50" spans="1:20" ht="19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114"/>
      <c r="M50" s="120"/>
      <c r="N50" s="120"/>
      <c r="O50" s="120"/>
      <c r="P50" s="117"/>
      <c r="Q50" s="82"/>
      <c r="R50" s="82"/>
      <c r="S50" s="82"/>
      <c r="T50" s="82"/>
    </row>
    <row r="51" spans="1:20" ht="19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114"/>
      <c r="M51" s="117"/>
      <c r="N51" s="117"/>
      <c r="O51" s="117"/>
      <c r="P51" s="117"/>
      <c r="Q51" s="82"/>
      <c r="R51" s="82"/>
      <c r="S51" s="82"/>
      <c r="T51" s="82"/>
    </row>
    <row r="52" spans="1:20" ht="24" x14ac:dyDescent="0.3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14"/>
      <c r="M52" s="121"/>
      <c r="N52" s="121"/>
      <c r="O52" s="121"/>
      <c r="P52" s="117"/>
      <c r="Q52" s="82"/>
      <c r="R52" s="82"/>
      <c r="S52" s="82"/>
      <c r="T52" s="82"/>
    </row>
    <row r="53" spans="1:20" ht="24" x14ac:dyDescent="0.3">
      <c r="A53" s="82"/>
      <c r="B53" s="114" t="s">
        <v>319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21"/>
      <c r="N53" s="121"/>
      <c r="O53" s="121"/>
      <c r="P53" s="117"/>
      <c r="Q53" s="82"/>
      <c r="R53" s="82"/>
      <c r="S53" s="82"/>
      <c r="T53" s="82"/>
    </row>
    <row r="54" spans="1:20" ht="24" x14ac:dyDescent="0.3">
      <c r="A54" s="82"/>
      <c r="B54" s="114" t="s">
        <v>320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21"/>
      <c r="N54" s="121"/>
      <c r="O54" s="121"/>
      <c r="P54" s="117"/>
      <c r="Q54" s="82"/>
      <c r="R54" s="82"/>
      <c r="S54" s="82"/>
      <c r="T54" s="82"/>
    </row>
    <row r="55" spans="1:20" ht="24" x14ac:dyDescent="0.3">
      <c r="A55" s="82"/>
      <c r="B55" s="114" t="s">
        <v>321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21"/>
      <c r="N55" s="121"/>
      <c r="O55" s="121"/>
      <c r="P55" s="117"/>
      <c r="Q55" s="82"/>
      <c r="R55" s="82"/>
      <c r="S55" s="82"/>
      <c r="T55" s="82"/>
    </row>
    <row r="56" spans="1:20" ht="24" x14ac:dyDescent="0.3">
      <c r="A56" s="82"/>
      <c r="B56" s="115" t="s">
        <v>126</v>
      </c>
      <c r="C56" s="114"/>
      <c r="D56" s="114"/>
      <c r="E56" s="114"/>
      <c r="F56" s="114"/>
      <c r="G56" s="114"/>
      <c r="H56" s="114"/>
      <c r="I56" s="114"/>
      <c r="J56" s="114"/>
      <c r="K56" s="114"/>
      <c r="L56" s="242"/>
      <c r="M56" s="31"/>
      <c r="N56" s="121"/>
      <c r="O56" s="121"/>
      <c r="P56" s="120"/>
      <c r="Q56" s="82"/>
      <c r="R56" s="82"/>
      <c r="S56" s="82"/>
      <c r="T56" s="82"/>
    </row>
    <row r="57" spans="1:20" ht="24" x14ac:dyDescent="0.3">
      <c r="A57" s="82"/>
      <c r="B57" s="114" t="s">
        <v>130</v>
      </c>
      <c r="C57" s="238"/>
      <c r="D57" s="239"/>
      <c r="E57" s="114"/>
      <c r="F57" s="114"/>
      <c r="G57" s="114"/>
      <c r="H57" s="114"/>
      <c r="I57" s="114"/>
      <c r="J57" s="114"/>
      <c r="K57" s="114"/>
      <c r="L57" s="242"/>
      <c r="M57" s="31"/>
      <c r="N57" s="121"/>
      <c r="O57" s="121"/>
      <c r="P57" s="117"/>
      <c r="Q57" s="82"/>
      <c r="R57" s="82"/>
      <c r="S57" s="82"/>
      <c r="T57" s="82"/>
    </row>
    <row r="58" spans="1:20" ht="24" x14ac:dyDescent="0.3">
      <c r="A58" s="82"/>
      <c r="B58" s="116" t="s">
        <v>104</v>
      </c>
      <c r="C58" s="240"/>
      <c r="D58" s="116"/>
      <c r="E58" s="114"/>
      <c r="F58" s="114"/>
      <c r="G58" s="114"/>
      <c r="H58" s="114"/>
      <c r="I58" s="114"/>
      <c r="J58" s="114"/>
      <c r="K58" s="114"/>
      <c r="L58" s="242"/>
      <c r="M58" s="84"/>
      <c r="N58" s="84"/>
      <c r="O58" s="84"/>
      <c r="P58" s="82"/>
      <c r="Q58" s="82"/>
      <c r="R58" s="82"/>
      <c r="S58" s="82"/>
      <c r="T58" s="82"/>
    </row>
    <row r="59" spans="1:20" ht="19" x14ac:dyDescent="0.25">
      <c r="A59" s="82"/>
      <c r="B59" s="115" t="s">
        <v>127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82"/>
      <c r="N59" s="82"/>
      <c r="O59" s="82"/>
      <c r="P59" s="82"/>
      <c r="Q59" s="82"/>
      <c r="R59" s="82"/>
      <c r="S59" s="82"/>
      <c r="T59" s="82"/>
    </row>
    <row r="60" spans="1:20" ht="22" x14ac:dyDescent="0.25">
      <c r="A60" s="82"/>
      <c r="B60" s="114" t="s">
        <v>129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82"/>
      <c r="N60" s="82"/>
      <c r="O60" s="82"/>
      <c r="P60" s="82"/>
      <c r="Q60" s="82"/>
      <c r="R60" s="82"/>
      <c r="S60" s="82"/>
      <c r="T60" s="82"/>
    </row>
    <row r="61" spans="1:20" ht="19" x14ac:dyDescent="0.25">
      <c r="A61" s="82"/>
      <c r="B61" s="114" t="s">
        <v>105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82"/>
      <c r="N61" s="82"/>
      <c r="O61" s="82"/>
      <c r="P61" s="82"/>
      <c r="Q61" s="82"/>
      <c r="R61" s="82"/>
      <c r="S61" s="82"/>
      <c r="T61" s="82"/>
    </row>
    <row r="62" spans="1:20" ht="19" x14ac:dyDescent="0.25">
      <c r="A62" s="82"/>
      <c r="B62" s="115" t="s">
        <v>102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82"/>
      <c r="N62" s="82"/>
      <c r="O62" s="82"/>
      <c r="P62" s="82"/>
      <c r="Q62" s="82"/>
      <c r="R62" s="82"/>
      <c r="S62" s="82"/>
      <c r="T62" s="82"/>
    </row>
    <row r="63" spans="1:20" ht="19" x14ac:dyDescent="0.25">
      <c r="A63" s="82"/>
      <c r="B63" s="114" t="s">
        <v>318</v>
      </c>
      <c r="C63" s="114"/>
      <c r="D63" s="114"/>
      <c r="E63" s="114"/>
      <c r="F63" s="114"/>
      <c r="G63" s="29"/>
      <c r="H63" s="114"/>
      <c r="I63" s="114"/>
      <c r="J63" s="114"/>
      <c r="K63" s="114"/>
      <c r="L63" s="114"/>
      <c r="M63" s="82"/>
      <c r="N63" s="82"/>
      <c r="O63" s="82"/>
      <c r="P63" s="82"/>
      <c r="Q63" s="82"/>
      <c r="R63" s="82"/>
      <c r="S63" s="82"/>
      <c r="T63" s="82"/>
    </row>
    <row r="64" spans="1:20" ht="19" x14ac:dyDescent="0.25">
      <c r="B64" s="116" t="s">
        <v>103</v>
      </c>
      <c r="C64" s="29"/>
      <c r="D64" s="29"/>
      <c r="E64" s="29"/>
      <c r="F64" s="29"/>
      <c r="G64" s="29"/>
      <c r="H64" s="114"/>
      <c r="I64" s="114"/>
      <c r="J64" s="114"/>
      <c r="K64" s="114"/>
      <c r="L64" s="114"/>
      <c r="M64" s="82"/>
      <c r="N64" s="82"/>
      <c r="O64" s="82"/>
      <c r="P64" s="82"/>
      <c r="Q64" s="82"/>
      <c r="R64" s="82"/>
      <c r="S64" s="82"/>
      <c r="T64" s="82"/>
    </row>
    <row r="65" spans="1:20" ht="19" x14ac:dyDescent="0.25">
      <c r="B65" s="29"/>
      <c r="C65" s="29"/>
      <c r="D65" s="29"/>
      <c r="E65" s="29"/>
      <c r="F65" s="29"/>
      <c r="G65" s="29"/>
      <c r="H65" s="116"/>
      <c r="I65" s="116"/>
      <c r="J65" s="116"/>
      <c r="K65" s="116"/>
      <c r="L65" s="116"/>
      <c r="M65" s="83"/>
      <c r="N65" s="83"/>
      <c r="O65" s="82"/>
      <c r="P65" s="82"/>
      <c r="Q65" s="82"/>
      <c r="R65" s="82"/>
      <c r="S65" s="82"/>
      <c r="T65" s="82"/>
    </row>
    <row r="66" spans="1:20" ht="19" x14ac:dyDescent="0.25">
      <c r="A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9" x14ac:dyDescent="0.25">
      <c r="A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</row>
    <row r="68" spans="1:20" ht="19" x14ac:dyDescent="0.25">
      <c r="A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</row>
    <row r="69" spans="1:20" ht="19" x14ac:dyDescent="0.25">
      <c r="A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0" spans="1:20" ht="19" x14ac:dyDescent="0.25">
      <c r="A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</row>
  </sheetData>
  <phoneticPr fontId="21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Bespart tid etter tiltakene</vt:lpstr>
      <vt:lpstr>Kostnadsberegning FØR tiltakene</vt:lpstr>
      <vt:lpstr>Kostnadsberegning ETTER tiltak</vt:lpstr>
      <vt:lpstr>Utregning av besparte kostander</vt:lpstr>
      <vt:lpstr>Effekten av tiltakene</vt:lpstr>
      <vt:lpstr>Nåverdi breregning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2017-05-29T16:38:40Z</dcterms:created>
  <dcterms:modified xsi:type="dcterms:W3CDTF">2017-06-02T03:09:09Z</dcterms:modified>
</cp:coreProperties>
</file>