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0910"/>
  <workbookPr autoCompressPictures="0"/>
  <bookViews>
    <workbookView xWindow="-260" yWindow="0" windowWidth="33460" windowHeight="20520" tabRatio="837" activeTab="6"/>
  </bookViews>
  <sheets>
    <sheet name="Varekjøp (mai)" sheetId="3" r:id="rId1"/>
    <sheet name="Beregning %-satser for mai&amp;j" sheetId="2" r:id="rId2"/>
    <sheet name="Mengde råvarer i hver rett" sheetId="4" r:id="rId3"/>
    <sheet name="Prisliste og råvarekost + Svinn" sheetId="5" r:id="rId4"/>
    <sheet name="Svinneksempel" sheetId="6" r:id="rId5"/>
    <sheet name="Andre kinarestauranter" sheetId="27" r:id="rId6"/>
    <sheet name="Ny meny" sheetId="30" r:id="rId7"/>
    <sheet name="Beregning av resultateffekt" sheetId="32" r:id="rId8"/>
    <sheet name="Resultateffekt" sheetId="31" r:id="rId9"/>
    <sheet name="Regresjonsforsøk" sheetId="22" r:id="rId10"/>
    <sheet name="FeilLønnskost og Tidsbruk" sheetId="1" r:id="rId11"/>
    <sheet name="Feil2" sheetId="29" r:id="rId12"/>
    <sheet name="Sheet1" sheetId="33" r:id="rId13"/>
  </sheets>
  <externalReferences>
    <externalReference r:id="rId14"/>
  </externalReferences>
  <definedNames>
    <definedName name="Agurk">'Prisliste og råvarekost + Svinn'!$C$44</definedName>
    <definedName name="Amerikansk">'Prisliste og råvarekost + Svinn'!$C$42</definedName>
    <definedName name="Ananas">'Prisliste og råvarekost + Svinn'!$C$33</definedName>
    <definedName name="And">'Prisliste og råvarekost + Svinn'!$C$9</definedName>
    <definedName name="Babymais">'Prisliste og råvarekost + Svinn'!$C$31</definedName>
    <definedName name="Bakepotet">'Prisliste og råvarekost + Svinn'!$C$36</definedName>
    <definedName name="Bambus">'Prisliste og råvarekost + Svinn'!$C$38</definedName>
    <definedName name="Biff">'Prisliste og råvarekost + Svinn'!$C$5</definedName>
    <definedName name="Brokkoli">'Prisliste og råvarekost + Svinn'!$C$35</definedName>
    <definedName name="Champignon">'Prisliste og råvarekost + Svinn'!$C$34</definedName>
    <definedName name="Div">'Prisliste og råvarekost + Svinn'!$G$14</definedName>
    <definedName name="Grønn">'Prisliste og råvarekost + Svinn'!$C$30</definedName>
    <definedName name="Gulrot">'Prisliste og råvarekost + Svinn'!$C$39</definedName>
    <definedName name="Indrefilet">'Prisliste og råvarekost + Svinn'!$C$7</definedName>
    <definedName name="Isbergsalat">'Prisliste og råvarekost + Svinn'!$C$37</definedName>
    <definedName name="Kamskjell">'Prisliste og råvarekost + Svinn'!$C$11</definedName>
    <definedName name="kvantumsrabatt">'Beregning av resultateffekt'!$P$57</definedName>
    <definedName name="Kylling">'Prisliste og råvarekost + Svinn'!$C$10</definedName>
    <definedName name="Laks">'Prisliste og råvarekost + Svinn'!$C$6</definedName>
    <definedName name="Lam">'Prisliste og råvarekost + Svinn'!$C$14</definedName>
    <definedName name="Løk">'Prisliste og råvarekost + Svinn'!$C$40</definedName>
    <definedName name="Nudler">'Prisliste og råvarekost + Svinn'!$C$24</definedName>
    <definedName name="Pommes">'Prisliste og råvarekost + Svinn'!$C$25</definedName>
    <definedName name="Purreløk">'Prisliste og råvarekost + Svinn'!$C$41</definedName>
    <definedName name="Rab">'Beregning av resultateffekt'!$G$2</definedName>
    <definedName name="Rabatt">#REF!</definedName>
    <definedName name="Redsvinn">Svinneksempel!$H$6</definedName>
    <definedName name="Reker">'Prisliste og råvarekost + Svinn'!$C$16</definedName>
    <definedName name="Ris">'Prisliste og råvarekost + Svinn'!$C$23</definedName>
    <definedName name="Rød">'Prisliste og råvarekost + Svinn'!$C$29</definedName>
    <definedName name="Scampi">'Prisliste og råvarekost + Svinn'!$C$8</definedName>
    <definedName name="Steinbit">'Prisliste og råvarekost + Svinn'!$C$12</definedName>
    <definedName name="Svinenakke">'Prisliste og råvarekost + Svinn'!$C$13</definedName>
    <definedName name="Vannkastanje">'Prisliste og råvarekost + Svinn'!$C$32</definedName>
    <definedName name="Wok">'Prisliste og råvarekost + Svinn'!$G$16</definedName>
    <definedName name="øktråvarekost">'Beregning av resultateffekt'!$O$57</definedName>
    <definedName name="øktråvarekostekssvinn">'Beregning av resultateffekt'!$O$57</definedName>
  </definedName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F91" i="1" l="1"/>
  <c r="J89" i="1"/>
  <c r="I83" i="29"/>
  <c r="G75" i="29"/>
  <c r="D79" i="2"/>
  <c r="S57" i="32"/>
  <c r="S9" i="32"/>
  <c r="S10" i="32"/>
  <c r="S11" i="32"/>
  <c r="S12" i="32"/>
  <c r="S13" i="32"/>
  <c r="S14" i="32"/>
  <c r="S15" i="32"/>
  <c r="S16" i="32"/>
  <c r="S17" i="32"/>
  <c r="S18" i="32"/>
  <c r="S19" i="32"/>
  <c r="S20" i="32"/>
  <c r="S21" i="32"/>
  <c r="S22" i="32"/>
  <c r="S23" i="32"/>
  <c r="S24" i="32"/>
  <c r="S25" i="32"/>
  <c r="S26" i="32"/>
  <c r="S27" i="32"/>
  <c r="S28" i="32"/>
  <c r="S29" i="32"/>
  <c r="S30" i="32"/>
  <c r="S31" i="32"/>
  <c r="S32" i="32"/>
  <c r="S33" i="32"/>
  <c r="S34" i="32"/>
  <c r="S35" i="32"/>
  <c r="S36" i="32"/>
  <c r="S37" i="32"/>
  <c r="S38" i="32"/>
  <c r="S39" i="32"/>
  <c r="S40" i="32"/>
  <c r="S41" i="32"/>
  <c r="S42" i="32"/>
  <c r="S43" i="32"/>
  <c r="S44" i="32"/>
  <c r="S45" i="32"/>
  <c r="S46" i="32"/>
  <c r="S47" i="32"/>
  <c r="S48" i="32"/>
  <c r="S49" i="32"/>
  <c r="S50" i="32"/>
  <c r="S51" i="32"/>
  <c r="S52" i="32"/>
  <c r="S53" i="32"/>
  <c r="S54" i="32"/>
  <c r="S55" i="32"/>
  <c r="S8" i="32"/>
  <c r="R9" i="32"/>
  <c r="R10" i="32"/>
  <c r="R11" i="32"/>
  <c r="R12" i="32"/>
  <c r="R13" i="32"/>
  <c r="R14" i="32"/>
  <c r="R15" i="32"/>
  <c r="R16" i="32"/>
  <c r="R17" i="32"/>
  <c r="R18" i="32"/>
  <c r="R19" i="32"/>
  <c r="R20" i="32"/>
  <c r="R21" i="32"/>
  <c r="R22" i="32"/>
  <c r="R23" i="32"/>
  <c r="R24" i="32"/>
  <c r="R25" i="32"/>
  <c r="R26" i="32"/>
  <c r="R27" i="32"/>
  <c r="R28" i="32"/>
  <c r="R29" i="32"/>
  <c r="R30" i="32"/>
  <c r="R31" i="32"/>
  <c r="R32" i="32"/>
  <c r="R33" i="32"/>
  <c r="R34" i="32"/>
  <c r="R35" i="32"/>
  <c r="R36" i="32"/>
  <c r="R37" i="32"/>
  <c r="R38" i="32"/>
  <c r="R39" i="32"/>
  <c r="R40" i="32"/>
  <c r="R41" i="32"/>
  <c r="R42" i="32"/>
  <c r="R43" i="32"/>
  <c r="R44" i="32"/>
  <c r="R45" i="32"/>
  <c r="R46" i="32"/>
  <c r="R47" i="32"/>
  <c r="R48" i="32"/>
  <c r="R49" i="32"/>
  <c r="R50" i="32"/>
  <c r="R51" i="32"/>
  <c r="R52" i="32"/>
  <c r="R53" i="32"/>
  <c r="R54" i="32"/>
  <c r="R55" i="32"/>
  <c r="R8" i="32"/>
  <c r="H8" i="32"/>
  <c r="O8" i="32"/>
  <c r="H9" i="32"/>
  <c r="O9" i="32"/>
  <c r="H10" i="32"/>
  <c r="O10" i="32"/>
  <c r="H14" i="32"/>
  <c r="O14" i="32"/>
  <c r="H15" i="32"/>
  <c r="O15" i="32"/>
  <c r="H16" i="32"/>
  <c r="O16" i="32"/>
  <c r="H17" i="32"/>
  <c r="O17" i="32"/>
  <c r="H18" i="32"/>
  <c r="O18" i="32"/>
  <c r="H19" i="32"/>
  <c r="O19" i="32"/>
  <c r="H20" i="32"/>
  <c r="O20" i="32"/>
  <c r="H21" i="32"/>
  <c r="O21" i="32"/>
  <c r="H22" i="32"/>
  <c r="O22" i="32"/>
  <c r="H23" i="32"/>
  <c r="O23" i="32"/>
  <c r="H24" i="32"/>
  <c r="O24" i="32"/>
  <c r="H25" i="32"/>
  <c r="O25" i="32"/>
  <c r="H26" i="32"/>
  <c r="O26" i="32"/>
  <c r="H27" i="32"/>
  <c r="O27" i="32"/>
  <c r="H28" i="32"/>
  <c r="O28" i="32"/>
  <c r="H29" i="32"/>
  <c r="O29" i="32"/>
  <c r="H30" i="32"/>
  <c r="O30" i="32"/>
  <c r="H31" i="32"/>
  <c r="O31" i="32"/>
  <c r="H32" i="32"/>
  <c r="O32" i="32"/>
  <c r="H49" i="32"/>
  <c r="H33" i="32"/>
  <c r="O33" i="32"/>
  <c r="H34" i="32"/>
  <c r="O34" i="32"/>
  <c r="H35" i="32"/>
  <c r="O35" i="32"/>
  <c r="H39" i="32"/>
  <c r="O39" i="32"/>
  <c r="H40" i="32"/>
  <c r="O40" i="32"/>
  <c r="H41" i="32"/>
  <c r="O41" i="32"/>
  <c r="H42" i="32"/>
  <c r="O42" i="32"/>
  <c r="H46" i="32"/>
  <c r="O46" i="32"/>
  <c r="H47" i="32"/>
  <c r="O47" i="32"/>
  <c r="O49" i="32"/>
  <c r="H50" i="32"/>
  <c r="O50" i="32"/>
  <c r="O57" i="32"/>
  <c r="F10" i="31"/>
  <c r="O75" i="5"/>
  <c r="T8" i="32"/>
  <c r="T9" i="32"/>
  <c r="T10" i="32"/>
  <c r="T14" i="32"/>
  <c r="T15" i="32"/>
  <c r="T16" i="32"/>
  <c r="T17" i="32"/>
  <c r="T18" i="32"/>
  <c r="T19" i="32"/>
  <c r="T20" i="32"/>
  <c r="T21" i="32"/>
  <c r="T22" i="32"/>
  <c r="T23" i="32"/>
  <c r="T24" i="32"/>
  <c r="T25" i="32"/>
  <c r="T26" i="32"/>
  <c r="T27" i="32"/>
  <c r="T28" i="32"/>
  <c r="T29" i="32"/>
  <c r="T30" i="32"/>
  <c r="T31" i="32"/>
  <c r="T32" i="32"/>
  <c r="T33" i="32"/>
  <c r="T34" i="32"/>
  <c r="T35" i="32"/>
  <c r="T39" i="32"/>
  <c r="T40" i="32"/>
  <c r="T41" i="32"/>
  <c r="T42" i="32"/>
  <c r="T46" i="32"/>
  <c r="T47" i="32"/>
  <c r="T49" i="32"/>
  <c r="T50" i="32"/>
  <c r="T57" i="32"/>
  <c r="V57" i="32"/>
  <c r="T59" i="32"/>
  <c r="T11" i="32"/>
  <c r="T12" i="32"/>
  <c r="T13" i="32"/>
  <c r="T48" i="32"/>
  <c r="T55" i="32"/>
  <c r="G2" i="32"/>
  <c r="G14" i="5"/>
  <c r="K29" i="5"/>
  <c r="P24" i="32"/>
  <c r="F24" i="32"/>
  <c r="I24" i="32"/>
  <c r="F8" i="32"/>
  <c r="I8" i="32"/>
  <c r="F9" i="32"/>
  <c r="I9" i="32"/>
  <c r="F10" i="32"/>
  <c r="I10" i="32"/>
  <c r="E11" i="32"/>
  <c r="F11" i="32"/>
  <c r="I11" i="32"/>
  <c r="O11" i="32"/>
  <c r="O12" i="32"/>
  <c r="O13" i="32"/>
  <c r="F14" i="32"/>
  <c r="I14" i="32"/>
  <c r="F15" i="32"/>
  <c r="I15" i="32"/>
  <c r="F16" i="32"/>
  <c r="I16" i="32"/>
  <c r="F17" i="32"/>
  <c r="I17" i="32"/>
  <c r="F18" i="32"/>
  <c r="I18" i="32"/>
  <c r="F19" i="32"/>
  <c r="I19" i="32"/>
  <c r="F20" i="32"/>
  <c r="I20" i="32"/>
  <c r="F21" i="32"/>
  <c r="I21" i="32"/>
  <c r="F22" i="32"/>
  <c r="I22" i="32"/>
  <c r="F23" i="32"/>
  <c r="I23" i="32"/>
  <c r="F25" i="32"/>
  <c r="I25" i="32"/>
  <c r="F26" i="32"/>
  <c r="I26" i="32"/>
  <c r="F27" i="32"/>
  <c r="I27" i="32"/>
  <c r="F28" i="32"/>
  <c r="I28" i="32"/>
  <c r="F29" i="32"/>
  <c r="I29" i="32"/>
  <c r="F30" i="32"/>
  <c r="I30" i="32"/>
  <c r="F31" i="32"/>
  <c r="I31" i="32"/>
  <c r="F32" i="32"/>
  <c r="I32" i="32"/>
  <c r="F33" i="32"/>
  <c r="I33" i="32"/>
  <c r="F34" i="32"/>
  <c r="I34" i="32"/>
  <c r="F35" i="32"/>
  <c r="I35" i="32"/>
  <c r="E36" i="32"/>
  <c r="F36" i="32"/>
  <c r="I36" i="32"/>
  <c r="F39" i="32"/>
  <c r="I39" i="32"/>
  <c r="F40" i="32"/>
  <c r="I40" i="32"/>
  <c r="F41" i="32"/>
  <c r="I41" i="32"/>
  <c r="F42" i="32"/>
  <c r="I42" i="32"/>
  <c r="E43" i="32"/>
  <c r="F43" i="32"/>
  <c r="I43" i="32"/>
  <c r="F46" i="32"/>
  <c r="I46" i="32"/>
  <c r="F47" i="32"/>
  <c r="I47" i="32"/>
  <c r="F48" i="32"/>
  <c r="I48" i="32"/>
  <c r="O48" i="32"/>
  <c r="F49" i="32"/>
  <c r="I49" i="32"/>
  <c r="F50" i="32"/>
  <c r="I50" i="32"/>
  <c r="E51" i="32"/>
  <c r="F51" i="32"/>
  <c r="I51" i="32"/>
  <c r="F55" i="32"/>
  <c r="I55" i="32"/>
  <c r="O55" i="32"/>
  <c r="F7" i="31"/>
  <c r="J8" i="32"/>
  <c r="K8" i="32"/>
  <c r="J9" i="32"/>
  <c r="K9" i="32"/>
  <c r="J10" i="32"/>
  <c r="K10" i="32"/>
  <c r="J14" i="32"/>
  <c r="K14" i="32"/>
  <c r="J15" i="32"/>
  <c r="K15" i="32"/>
  <c r="J16" i="32"/>
  <c r="K16" i="32"/>
  <c r="J17" i="32"/>
  <c r="K17" i="32"/>
  <c r="J18" i="32"/>
  <c r="K18" i="32"/>
  <c r="J19" i="32"/>
  <c r="K19" i="32"/>
  <c r="J20" i="32"/>
  <c r="K20" i="32"/>
  <c r="J21" i="32"/>
  <c r="K21" i="32"/>
  <c r="J22" i="32"/>
  <c r="K22" i="32"/>
  <c r="J23" i="32"/>
  <c r="K23" i="32"/>
  <c r="J24" i="32"/>
  <c r="K24" i="32"/>
  <c r="J25" i="32"/>
  <c r="K25" i="32"/>
  <c r="J26" i="32"/>
  <c r="K26" i="32"/>
  <c r="J27" i="32"/>
  <c r="K27" i="32"/>
  <c r="J28" i="32"/>
  <c r="K28" i="32"/>
  <c r="J29" i="32"/>
  <c r="K29" i="32"/>
  <c r="J30" i="32"/>
  <c r="K30" i="32"/>
  <c r="J31" i="32"/>
  <c r="K31" i="32"/>
  <c r="J32" i="32"/>
  <c r="K32" i="32"/>
  <c r="J33" i="32"/>
  <c r="K33" i="32"/>
  <c r="J34" i="32"/>
  <c r="K34" i="32"/>
  <c r="J35" i="32"/>
  <c r="K35" i="32"/>
  <c r="J39" i="32"/>
  <c r="K39" i="32"/>
  <c r="J40" i="32"/>
  <c r="K40" i="32"/>
  <c r="J41" i="32"/>
  <c r="K41" i="32"/>
  <c r="J42" i="32"/>
  <c r="K42" i="32"/>
  <c r="J46" i="32"/>
  <c r="K46" i="32"/>
  <c r="J47" i="32"/>
  <c r="K47" i="32"/>
  <c r="J48" i="32"/>
  <c r="K48" i="32"/>
  <c r="J49" i="32"/>
  <c r="K49" i="32"/>
  <c r="J50" i="32"/>
  <c r="K50" i="32"/>
  <c r="J55" i="32"/>
  <c r="K55" i="32"/>
  <c r="K57" i="32"/>
  <c r="L8" i="32"/>
  <c r="L9" i="32"/>
  <c r="L10" i="32"/>
  <c r="L14" i="32"/>
  <c r="L15" i="32"/>
  <c r="L16" i="32"/>
  <c r="L17" i="32"/>
  <c r="L18" i="32"/>
  <c r="L19" i="32"/>
  <c r="L20" i="32"/>
  <c r="L21" i="32"/>
  <c r="L22" i="32"/>
  <c r="L23" i="32"/>
  <c r="L24" i="32"/>
  <c r="L25" i="32"/>
  <c r="L26" i="32"/>
  <c r="L27" i="32"/>
  <c r="L28" i="32"/>
  <c r="L29" i="32"/>
  <c r="L30" i="32"/>
  <c r="L31" i="32"/>
  <c r="L32" i="32"/>
  <c r="L33" i="32"/>
  <c r="L34" i="32"/>
  <c r="L35" i="32"/>
  <c r="L39" i="32"/>
  <c r="L40" i="32"/>
  <c r="L41" i="32"/>
  <c r="L42" i="32"/>
  <c r="L46" i="32"/>
  <c r="L47" i="32"/>
  <c r="L48" i="32"/>
  <c r="L49" i="32"/>
  <c r="L50" i="32"/>
  <c r="L55" i="32"/>
  <c r="L57" i="32"/>
  <c r="M59" i="32"/>
  <c r="F6" i="31"/>
  <c r="K5" i="5"/>
  <c r="P8" i="32"/>
  <c r="K11" i="5"/>
  <c r="P9" i="32"/>
  <c r="K6" i="5"/>
  <c r="P10" i="32"/>
  <c r="K34" i="5"/>
  <c r="K35" i="5"/>
  <c r="P14" i="32"/>
  <c r="K22" i="5"/>
  <c r="P15" i="32"/>
  <c r="K28" i="5"/>
  <c r="P16" i="32"/>
  <c r="K26" i="5"/>
  <c r="P17" i="32"/>
  <c r="K51" i="5"/>
  <c r="P18" i="32"/>
  <c r="K24" i="5"/>
  <c r="P19" i="32"/>
  <c r="K40" i="5"/>
  <c r="P20" i="32"/>
  <c r="P21" i="32"/>
  <c r="K46" i="5"/>
  <c r="P22" i="32"/>
  <c r="K31" i="5"/>
  <c r="P23" i="32"/>
  <c r="K50" i="5"/>
  <c r="P25" i="32"/>
  <c r="K45" i="5"/>
  <c r="P26" i="32"/>
  <c r="K17" i="5"/>
  <c r="P27" i="32"/>
  <c r="K25" i="5"/>
  <c r="P28" i="32"/>
  <c r="K53" i="5"/>
  <c r="P29" i="32"/>
  <c r="K39" i="5"/>
  <c r="P30" i="32"/>
  <c r="K54" i="5"/>
  <c r="P31" i="32"/>
  <c r="K57" i="5"/>
  <c r="P34" i="32"/>
  <c r="K58" i="5"/>
  <c r="P35" i="32"/>
  <c r="P57" i="32"/>
  <c r="F9" i="31"/>
  <c r="B25" i="3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70" i="2"/>
  <c r="I73" i="2"/>
  <c r="J56" i="2"/>
  <c r="D131" i="2"/>
  <c r="L57" i="5"/>
  <c r="J28" i="2"/>
  <c r="D103" i="2"/>
  <c r="L29" i="5"/>
  <c r="J4" i="2"/>
  <c r="L5" i="5"/>
  <c r="J5" i="2"/>
  <c r="D80" i="2"/>
  <c r="L6" i="5"/>
  <c r="K7" i="5"/>
  <c r="J6" i="2"/>
  <c r="D81" i="2"/>
  <c r="L7" i="5"/>
  <c r="K8" i="5"/>
  <c r="J7" i="2"/>
  <c r="D82" i="2"/>
  <c r="L8" i="5"/>
  <c r="K9" i="5"/>
  <c r="J8" i="2"/>
  <c r="D83" i="2"/>
  <c r="L9" i="5"/>
  <c r="K10" i="5"/>
  <c r="J9" i="2"/>
  <c r="D84" i="2"/>
  <c r="L10" i="5"/>
  <c r="J10" i="2"/>
  <c r="D85" i="2"/>
  <c r="L11" i="5"/>
  <c r="K13" i="5"/>
  <c r="J12" i="2"/>
  <c r="D87" i="2"/>
  <c r="L13" i="5"/>
  <c r="K14" i="5"/>
  <c r="J13" i="2"/>
  <c r="D88" i="2"/>
  <c r="L14" i="5"/>
  <c r="K15" i="5"/>
  <c r="J14" i="2"/>
  <c r="D89" i="2"/>
  <c r="L15" i="5"/>
  <c r="K16" i="5"/>
  <c r="J15" i="2"/>
  <c r="D90" i="2"/>
  <c r="L16" i="5"/>
  <c r="J16" i="2"/>
  <c r="D91" i="2"/>
  <c r="L17" i="5"/>
  <c r="K18" i="5"/>
  <c r="J17" i="2"/>
  <c r="D92" i="2"/>
  <c r="L18" i="5"/>
  <c r="K19" i="5"/>
  <c r="J18" i="2"/>
  <c r="D93" i="2"/>
  <c r="L19" i="5"/>
  <c r="K20" i="5"/>
  <c r="J19" i="2"/>
  <c r="D94" i="2"/>
  <c r="L20" i="5"/>
  <c r="K21" i="5"/>
  <c r="J20" i="2"/>
  <c r="D95" i="2"/>
  <c r="L21" i="5"/>
  <c r="J21" i="2"/>
  <c r="D96" i="2"/>
  <c r="L22" i="5"/>
  <c r="K23" i="5"/>
  <c r="J22" i="2"/>
  <c r="D97" i="2"/>
  <c r="L23" i="5"/>
  <c r="J23" i="2"/>
  <c r="D98" i="2"/>
  <c r="L24" i="5"/>
  <c r="J24" i="2"/>
  <c r="D99" i="2"/>
  <c r="L25" i="5"/>
  <c r="J25" i="2"/>
  <c r="D100" i="2"/>
  <c r="L26" i="5"/>
  <c r="K27" i="5"/>
  <c r="J26" i="2"/>
  <c r="D101" i="2"/>
  <c r="L27" i="5"/>
  <c r="J27" i="2"/>
  <c r="D102" i="2"/>
  <c r="L28" i="5"/>
  <c r="K30" i="5"/>
  <c r="J29" i="2"/>
  <c r="D104" i="2"/>
  <c r="L30" i="5"/>
  <c r="J30" i="2"/>
  <c r="D105" i="2"/>
  <c r="L31" i="5"/>
  <c r="K32" i="5"/>
  <c r="J31" i="2"/>
  <c r="D106" i="2"/>
  <c r="L32" i="5"/>
  <c r="K33" i="5"/>
  <c r="J32" i="2"/>
  <c r="D107" i="2"/>
  <c r="L33" i="5"/>
  <c r="J33" i="2"/>
  <c r="D108" i="2"/>
  <c r="L34" i="5"/>
  <c r="J34" i="2"/>
  <c r="D109" i="2"/>
  <c r="L35" i="5"/>
  <c r="K36" i="5"/>
  <c r="J35" i="2"/>
  <c r="D110" i="2"/>
  <c r="L36" i="5"/>
  <c r="K37" i="5"/>
  <c r="J36" i="2"/>
  <c r="D111" i="2"/>
  <c r="L37" i="5"/>
  <c r="K38" i="5"/>
  <c r="J37" i="2"/>
  <c r="D112" i="2"/>
  <c r="L38" i="5"/>
  <c r="J38" i="2"/>
  <c r="D113" i="2"/>
  <c r="L39" i="5"/>
  <c r="J39" i="2"/>
  <c r="D114" i="2"/>
  <c r="L40" i="5"/>
  <c r="K41" i="5"/>
  <c r="J40" i="2"/>
  <c r="D115" i="2"/>
  <c r="L41" i="5"/>
  <c r="K42" i="5"/>
  <c r="J41" i="2"/>
  <c r="D116" i="2"/>
  <c r="L42" i="5"/>
  <c r="K43" i="5"/>
  <c r="J42" i="2"/>
  <c r="D117" i="2"/>
  <c r="L43" i="5"/>
  <c r="K44" i="5"/>
  <c r="J43" i="2"/>
  <c r="D118" i="2"/>
  <c r="L44" i="5"/>
  <c r="J44" i="2"/>
  <c r="D119" i="2"/>
  <c r="L45" i="5"/>
  <c r="J45" i="2"/>
  <c r="D120" i="2"/>
  <c r="L46" i="5"/>
  <c r="K47" i="5"/>
  <c r="J46" i="2"/>
  <c r="D121" i="2"/>
  <c r="L47" i="5"/>
  <c r="K48" i="5"/>
  <c r="J47" i="2"/>
  <c r="D122" i="2"/>
  <c r="L48" i="5"/>
  <c r="K67" i="5"/>
  <c r="K49" i="5"/>
  <c r="J48" i="2"/>
  <c r="D123" i="2"/>
  <c r="L49" i="5"/>
  <c r="J49" i="2"/>
  <c r="D124" i="2"/>
  <c r="L50" i="5"/>
  <c r="J50" i="2"/>
  <c r="D125" i="2"/>
  <c r="L51" i="5"/>
  <c r="K52" i="5"/>
  <c r="J51" i="2"/>
  <c r="D126" i="2"/>
  <c r="L52" i="5"/>
  <c r="J52" i="2"/>
  <c r="D127" i="2"/>
  <c r="L53" i="5"/>
  <c r="J53" i="2"/>
  <c r="D128" i="2"/>
  <c r="L54" i="5"/>
  <c r="K55" i="5"/>
  <c r="J54" i="2"/>
  <c r="D129" i="2"/>
  <c r="L55" i="5"/>
  <c r="K56" i="5"/>
  <c r="J55" i="2"/>
  <c r="D130" i="2"/>
  <c r="L56" i="5"/>
  <c r="J57" i="2"/>
  <c r="D132" i="2"/>
  <c r="L58" i="5"/>
  <c r="K59" i="5"/>
  <c r="J58" i="2"/>
  <c r="D133" i="2"/>
  <c r="L59" i="5"/>
  <c r="K61" i="5"/>
  <c r="J60" i="2"/>
  <c r="D135" i="2"/>
  <c r="L61" i="5"/>
  <c r="K62" i="5"/>
  <c r="J61" i="2"/>
  <c r="D136" i="2"/>
  <c r="L62" i="5"/>
  <c r="K63" i="5"/>
  <c r="J62" i="2"/>
  <c r="D137" i="2"/>
  <c r="L63" i="5"/>
  <c r="K64" i="5"/>
  <c r="J63" i="2"/>
  <c r="D138" i="2"/>
  <c r="L64" i="5"/>
  <c r="K66" i="5"/>
  <c r="J65" i="2"/>
  <c r="D140" i="2"/>
  <c r="L66" i="5"/>
  <c r="J66" i="2"/>
  <c r="D141" i="2"/>
  <c r="L67" i="5"/>
  <c r="K68" i="5"/>
  <c r="J67" i="2"/>
  <c r="D142" i="2"/>
  <c r="L68" i="5"/>
  <c r="K69" i="5"/>
  <c r="J68" i="2"/>
  <c r="D143" i="2"/>
  <c r="L69" i="5"/>
  <c r="K70" i="5"/>
  <c r="J69" i="2"/>
  <c r="D144" i="2"/>
  <c r="L70" i="5"/>
  <c r="J71" i="2"/>
  <c r="D146" i="2"/>
  <c r="L72" i="5"/>
  <c r="L75" i="5"/>
  <c r="L77" i="5"/>
  <c r="K77" i="5"/>
  <c r="F8" i="31"/>
  <c r="F12" i="31"/>
  <c r="F13" i="31"/>
  <c r="F14" i="31"/>
  <c r="J36" i="32"/>
  <c r="J43" i="32"/>
  <c r="J44" i="32"/>
  <c r="J45" i="32"/>
  <c r="J51" i="32"/>
  <c r="J57" i="32"/>
  <c r="F59" i="32"/>
  <c r="E59" i="32"/>
  <c r="F6" i="1"/>
  <c r="C9" i="1"/>
  <c r="C10" i="1"/>
  <c r="C11" i="1"/>
  <c r="C12" i="1"/>
  <c r="C13" i="1"/>
  <c r="C14" i="1"/>
  <c r="C15" i="1"/>
  <c r="AH6" i="30"/>
  <c r="AI6" i="30"/>
  <c r="AD6" i="30"/>
  <c r="AJ6" i="30"/>
  <c r="AH7" i="30"/>
  <c r="AI7" i="30"/>
  <c r="AD7" i="30"/>
  <c r="AJ7" i="30"/>
  <c r="AH8" i="30"/>
  <c r="AI8" i="30"/>
  <c r="AD8" i="30"/>
  <c r="AJ8" i="30"/>
  <c r="AH12" i="30"/>
  <c r="AI12" i="30"/>
  <c r="AD12" i="30"/>
  <c r="AJ12" i="30"/>
  <c r="AH13" i="30"/>
  <c r="AI13" i="30"/>
  <c r="AD13" i="30"/>
  <c r="AJ13" i="30"/>
  <c r="AH14" i="30"/>
  <c r="AI14" i="30"/>
  <c r="AD14" i="30"/>
  <c r="AJ14" i="30"/>
  <c r="AH15" i="30"/>
  <c r="AI15" i="30"/>
  <c r="AD15" i="30"/>
  <c r="AJ15" i="30"/>
  <c r="AH16" i="30"/>
  <c r="AI16" i="30"/>
  <c r="AD16" i="30"/>
  <c r="AJ16" i="30"/>
  <c r="AH17" i="30"/>
  <c r="AI17" i="30"/>
  <c r="AD17" i="30"/>
  <c r="AJ17" i="30"/>
  <c r="AH18" i="30"/>
  <c r="AI18" i="30"/>
  <c r="AD18" i="30"/>
  <c r="AJ18" i="30"/>
  <c r="AH19" i="30"/>
  <c r="AI19" i="30"/>
  <c r="AD19" i="30"/>
  <c r="AJ19" i="30"/>
  <c r="AH20" i="30"/>
  <c r="AI20" i="30"/>
  <c r="AD20" i="30"/>
  <c r="AJ20" i="30"/>
  <c r="AH21" i="30"/>
  <c r="AI21" i="30"/>
  <c r="AD21" i="30"/>
  <c r="AJ21" i="30"/>
  <c r="AH22" i="30"/>
  <c r="AI22" i="30"/>
  <c r="AD22" i="30"/>
  <c r="AJ22" i="30"/>
  <c r="AH23" i="30"/>
  <c r="AI23" i="30"/>
  <c r="AD23" i="30"/>
  <c r="AJ23" i="30"/>
  <c r="AH24" i="30"/>
  <c r="AI24" i="30"/>
  <c r="AD24" i="30"/>
  <c r="AJ24" i="30"/>
  <c r="AH25" i="30"/>
  <c r="AI25" i="30"/>
  <c r="AD25" i="30"/>
  <c r="AJ25" i="30"/>
  <c r="AH26" i="30"/>
  <c r="AI26" i="30"/>
  <c r="AD26" i="30"/>
  <c r="AJ26" i="30"/>
  <c r="AH27" i="30"/>
  <c r="AI27" i="30"/>
  <c r="P63" i="30"/>
  <c r="Q33" i="30"/>
  <c r="N63" i="30"/>
  <c r="R33" i="30"/>
  <c r="AC27" i="30"/>
  <c r="AD27" i="30"/>
  <c r="AJ27" i="30"/>
  <c r="AH28" i="30"/>
  <c r="AF28" i="30"/>
  <c r="AI28" i="30"/>
  <c r="AD28" i="30"/>
  <c r="AJ28" i="30"/>
  <c r="AH29" i="30"/>
  <c r="AI29" i="30"/>
  <c r="AD29" i="30"/>
  <c r="AJ29" i="30"/>
  <c r="AH30" i="30"/>
  <c r="AI30" i="30"/>
  <c r="AD30" i="30"/>
  <c r="AJ30" i="30"/>
  <c r="AH31" i="30"/>
  <c r="AI31" i="30"/>
  <c r="AD31" i="30"/>
  <c r="AJ31" i="30"/>
  <c r="AH32" i="30"/>
  <c r="AI32" i="30"/>
  <c r="AD32" i="30"/>
  <c r="AJ32" i="30"/>
  <c r="AH33" i="30"/>
  <c r="AI33" i="30"/>
  <c r="AD33" i="30"/>
  <c r="AJ33" i="30"/>
  <c r="AH37" i="30"/>
  <c r="AI37" i="30"/>
  <c r="AD37" i="30"/>
  <c r="AJ37" i="30"/>
  <c r="AH38" i="30"/>
  <c r="AI38" i="30"/>
  <c r="AD38" i="30"/>
  <c r="AJ38" i="30"/>
  <c r="AH39" i="30"/>
  <c r="AI39" i="30"/>
  <c r="AD39" i="30"/>
  <c r="AJ39" i="30"/>
  <c r="AH40" i="30"/>
  <c r="AI40" i="30"/>
  <c r="AD40" i="30"/>
  <c r="AJ40" i="30"/>
  <c r="AH44" i="30"/>
  <c r="AI44" i="30"/>
  <c r="AD44" i="30"/>
  <c r="AJ44" i="30"/>
  <c r="AH45" i="30"/>
  <c r="AI45" i="30"/>
  <c r="AD45" i="30"/>
  <c r="AJ45" i="30"/>
  <c r="AH46" i="30"/>
  <c r="AI46" i="30"/>
  <c r="AD46" i="30"/>
  <c r="AJ46" i="30"/>
  <c r="AH47" i="30"/>
  <c r="AI47" i="30"/>
  <c r="AD47" i="30"/>
  <c r="AJ47" i="30"/>
  <c r="AH48" i="30"/>
  <c r="AI48" i="30"/>
  <c r="AD48" i="30"/>
  <c r="AJ48" i="30"/>
  <c r="AD53" i="30"/>
  <c r="AM53" i="30"/>
  <c r="AN53" i="30"/>
  <c r="AH53" i="30"/>
  <c r="AI53" i="30"/>
  <c r="AJ53" i="30"/>
  <c r="AK6" i="30"/>
  <c r="AK7" i="30"/>
  <c r="AK8" i="30"/>
  <c r="AK12" i="30"/>
  <c r="AK13" i="30"/>
  <c r="AK14" i="30"/>
  <c r="AK15" i="30"/>
  <c r="AK16" i="30"/>
  <c r="AK17" i="30"/>
  <c r="AK18" i="30"/>
  <c r="AK19" i="30"/>
  <c r="AK20" i="30"/>
  <c r="AK21" i="30"/>
  <c r="AK22" i="30"/>
  <c r="AK23" i="30"/>
  <c r="AK24" i="30"/>
  <c r="AK25" i="30"/>
  <c r="AK26" i="30"/>
  <c r="AK27" i="30"/>
  <c r="AK28" i="30"/>
  <c r="AK29" i="30"/>
  <c r="AK30" i="30"/>
  <c r="AK31" i="30"/>
  <c r="AK32" i="30"/>
  <c r="AK33" i="30"/>
  <c r="AK37" i="30"/>
  <c r="AK38" i="30"/>
  <c r="AK39" i="30"/>
  <c r="AK40" i="30"/>
  <c r="AK44" i="30"/>
  <c r="AK45" i="30"/>
  <c r="AK46" i="30"/>
  <c r="AK47" i="30"/>
  <c r="AK48" i="30"/>
  <c r="AO53" i="30"/>
  <c r="AK53" i="30"/>
  <c r="AM7" i="30"/>
  <c r="AO7" i="30"/>
  <c r="AM8" i="30"/>
  <c r="AO8" i="30"/>
  <c r="AM12" i="30"/>
  <c r="AO12" i="30"/>
  <c r="AM13" i="30"/>
  <c r="AO13" i="30"/>
  <c r="AM14" i="30"/>
  <c r="AO14" i="30"/>
  <c r="AM15" i="30"/>
  <c r="AO15" i="30"/>
  <c r="AM16" i="30"/>
  <c r="AO16" i="30"/>
  <c r="AM17" i="30"/>
  <c r="AO17" i="30"/>
  <c r="AM18" i="30"/>
  <c r="AO18" i="30"/>
  <c r="AM19" i="30"/>
  <c r="AO19" i="30"/>
  <c r="AM20" i="30"/>
  <c r="AO20" i="30"/>
  <c r="AM21" i="30"/>
  <c r="AO21" i="30"/>
  <c r="AM22" i="30"/>
  <c r="AO22" i="30"/>
  <c r="AM23" i="30"/>
  <c r="AO23" i="30"/>
  <c r="AM24" i="30"/>
  <c r="AO24" i="30"/>
  <c r="AM25" i="30"/>
  <c r="AO25" i="30"/>
  <c r="AM26" i="30"/>
  <c r="AO26" i="30"/>
  <c r="AM27" i="30"/>
  <c r="AO27" i="30"/>
  <c r="AM28" i="30"/>
  <c r="AO28" i="30"/>
  <c r="AM29" i="30"/>
  <c r="AO29" i="30"/>
  <c r="AM30" i="30"/>
  <c r="AO30" i="30"/>
  <c r="AM31" i="30"/>
  <c r="AO31" i="30"/>
  <c r="AM32" i="30"/>
  <c r="AO32" i="30"/>
  <c r="AM33" i="30"/>
  <c r="AO33" i="30"/>
  <c r="AO34" i="30"/>
  <c r="AO35" i="30"/>
  <c r="AO36" i="30"/>
  <c r="AM37" i="30"/>
  <c r="AO37" i="30"/>
  <c r="AM38" i="30"/>
  <c r="AO38" i="30"/>
  <c r="AM39" i="30"/>
  <c r="AO39" i="30"/>
  <c r="AM40" i="30"/>
  <c r="AO40" i="30"/>
  <c r="AO41" i="30"/>
  <c r="AO42" i="30"/>
  <c r="AO43" i="30"/>
  <c r="AM44" i="30"/>
  <c r="AO44" i="30"/>
  <c r="AM45" i="30"/>
  <c r="AO45" i="30"/>
  <c r="AM46" i="30"/>
  <c r="AO46" i="30"/>
  <c r="AM47" i="30"/>
  <c r="AO47" i="30"/>
  <c r="AM48" i="30"/>
  <c r="AO48" i="30"/>
  <c r="AO49" i="30"/>
  <c r="AO50" i="30"/>
  <c r="AO51" i="30"/>
  <c r="AO52" i="30"/>
  <c r="AM6" i="30"/>
  <c r="AO6" i="30"/>
  <c r="AN7" i="30"/>
  <c r="AN8" i="30"/>
  <c r="AN12" i="30"/>
  <c r="AN13" i="30"/>
  <c r="AN14" i="30"/>
  <c r="AN15" i="30"/>
  <c r="AN16" i="30"/>
  <c r="AN17" i="30"/>
  <c r="AN18" i="30"/>
  <c r="AN19" i="30"/>
  <c r="AN20" i="30"/>
  <c r="AN21" i="30"/>
  <c r="AN22" i="30"/>
  <c r="AN23" i="30"/>
  <c r="AN24" i="30"/>
  <c r="AN25" i="30"/>
  <c r="AN26" i="30"/>
  <c r="AN27" i="30"/>
  <c r="AN28" i="30"/>
  <c r="AN29" i="30"/>
  <c r="AN30" i="30"/>
  <c r="AN31" i="30"/>
  <c r="AN32" i="30"/>
  <c r="AN33" i="30"/>
  <c r="AN34" i="30"/>
  <c r="AN35" i="30"/>
  <c r="AN36" i="30"/>
  <c r="AN37" i="30"/>
  <c r="AN38" i="30"/>
  <c r="AN39" i="30"/>
  <c r="AN40" i="30"/>
  <c r="AN41" i="30"/>
  <c r="AN42" i="30"/>
  <c r="AN43" i="30"/>
  <c r="AN44" i="30"/>
  <c r="AN45" i="30"/>
  <c r="AN46" i="30"/>
  <c r="AN47" i="30"/>
  <c r="AN48" i="30"/>
  <c r="AN49" i="30"/>
  <c r="AN50" i="30"/>
  <c r="AN51" i="30"/>
  <c r="AN52" i="30"/>
  <c r="AN6" i="30"/>
  <c r="D77" i="29"/>
  <c r="F36" i="27"/>
  <c r="F35" i="27"/>
  <c r="F34" i="27"/>
  <c r="F33" i="27"/>
  <c r="F32" i="27"/>
  <c r="F31" i="27"/>
  <c r="F27" i="27"/>
  <c r="F26" i="27"/>
  <c r="F25" i="27"/>
  <c r="F24" i="27"/>
  <c r="F18" i="27"/>
  <c r="F17" i="27"/>
  <c r="F16" i="27"/>
  <c r="F15" i="27"/>
  <c r="AC49" i="30"/>
  <c r="AD49" i="30"/>
  <c r="AC41" i="30"/>
  <c r="AD41" i="30"/>
  <c r="AC9" i="30"/>
  <c r="AD9" i="30"/>
  <c r="AC34" i="30"/>
  <c r="AD34" i="30"/>
  <c r="AD57" i="30"/>
  <c r="AC57" i="30"/>
  <c r="N12" i="30"/>
  <c r="E7" i="30"/>
  <c r="E8" i="30"/>
  <c r="E9" i="30"/>
  <c r="E10" i="30"/>
  <c r="E11" i="30"/>
  <c r="E12" i="30"/>
  <c r="E6" i="30"/>
  <c r="G16" i="30"/>
  <c r="H16" i="30"/>
  <c r="G7" i="30"/>
  <c r="H7" i="30"/>
  <c r="G8" i="30"/>
  <c r="H8" i="30"/>
  <c r="G9" i="30"/>
  <c r="H9" i="30"/>
  <c r="G10" i="30"/>
  <c r="H10" i="30"/>
  <c r="G11" i="30"/>
  <c r="H11" i="30"/>
  <c r="G12" i="30"/>
  <c r="H12" i="30"/>
  <c r="G6" i="30"/>
  <c r="H6" i="30"/>
  <c r="D145" i="2"/>
  <c r="D139" i="2"/>
  <c r="D134" i="2"/>
  <c r="D86" i="2"/>
  <c r="D149" i="2"/>
  <c r="R78" i="30"/>
  <c r="R70" i="30"/>
  <c r="Q60" i="30"/>
  <c r="R60" i="30"/>
  <c r="P12" i="30"/>
  <c r="Q5" i="30"/>
  <c r="R5" i="30"/>
  <c r="Q6" i="30"/>
  <c r="R6" i="30"/>
  <c r="Q7" i="30"/>
  <c r="R7" i="30"/>
  <c r="Q8" i="30"/>
  <c r="R8" i="30"/>
  <c r="Q9" i="30"/>
  <c r="R9" i="30"/>
  <c r="Q10" i="30"/>
  <c r="R10" i="30"/>
  <c r="Q11" i="30"/>
  <c r="R11" i="30"/>
  <c r="R12" i="30"/>
  <c r="Q16" i="30"/>
  <c r="R16" i="30"/>
  <c r="Q17" i="30"/>
  <c r="R17" i="30"/>
  <c r="Q18" i="30"/>
  <c r="R18" i="30"/>
  <c r="Q19" i="30"/>
  <c r="R19" i="30"/>
  <c r="Q20" i="30"/>
  <c r="R20" i="30"/>
  <c r="Q21" i="30"/>
  <c r="R21" i="30"/>
  <c r="Q22" i="30"/>
  <c r="R22" i="30"/>
  <c r="Q23" i="30"/>
  <c r="R23" i="30"/>
  <c r="Q24" i="30"/>
  <c r="R24" i="30"/>
  <c r="Q25" i="30"/>
  <c r="R25" i="30"/>
  <c r="Q26" i="30"/>
  <c r="R26" i="30"/>
  <c r="Q27" i="30"/>
  <c r="R27" i="30"/>
  <c r="Q28" i="30"/>
  <c r="R28" i="30"/>
  <c r="Q29" i="30"/>
  <c r="R29" i="30"/>
  <c r="Q30" i="30"/>
  <c r="R30" i="30"/>
  <c r="Q31" i="30"/>
  <c r="R31" i="30"/>
  <c r="Q32" i="30"/>
  <c r="R32" i="30"/>
  <c r="Q34" i="30"/>
  <c r="R34" i="30"/>
  <c r="Q35" i="30"/>
  <c r="R35" i="30"/>
  <c r="Q36" i="30"/>
  <c r="R36" i="30"/>
  <c r="Q37" i="30"/>
  <c r="R37" i="30"/>
  <c r="Q38" i="30"/>
  <c r="R38" i="30"/>
  <c r="Q39" i="30"/>
  <c r="R39" i="30"/>
  <c r="Q40" i="30"/>
  <c r="R40" i="30"/>
  <c r="Q41" i="30"/>
  <c r="R41" i="30"/>
  <c r="Q42" i="30"/>
  <c r="R42" i="30"/>
  <c r="Q43" i="30"/>
  <c r="R43" i="30"/>
  <c r="Q44" i="30"/>
  <c r="R44" i="30"/>
  <c r="Q45" i="30"/>
  <c r="R45" i="30"/>
  <c r="Q46" i="30"/>
  <c r="R46" i="30"/>
  <c r="Q47" i="30"/>
  <c r="R47" i="30"/>
  <c r="Q48" i="30"/>
  <c r="R48" i="30"/>
  <c r="Q49" i="30"/>
  <c r="R49" i="30"/>
  <c r="Q50" i="30"/>
  <c r="R50" i="30"/>
  <c r="Q51" i="30"/>
  <c r="R51" i="30"/>
  <c r="Q52" i="30"/>
  <c r="R52" i="30"/>
  <c r="Q53" i="30"/>
  <c r="R53" i="30"/>
  <c r="Q54" i="30"/>
  <c r="R54" i="30"/>
  <c r="Q55" i="30"/>
  <c r="R55" i="30"/>
  <c r="Q56" i="30"/>
  <c r="R56" i="30"/>
  <c r="Q57" i="30"/>
  <c r="R57" i="30"/>
  <c r="Q58" i="30"/>
  <c r="R58" i="30"/>
  <c r="Q59" i="30"/>
  <c r="R59" i="30"/>
  <c r="Q61" i="30"/>
  <c r="R61" i="30"/>
  <c r="Q62" i="30"/>
  <c r="R62" i="30"/>
  <c r="R63" i="30"/>
  <c r="Q63" i="30"/>
  <c r="O16" i="30"/>
  <c r="O17" i="30"/>
  <c r="O18" i="30"/>
  <c r="O19" i="30"/>
  <c r="O20" i="30"/>
  <c r="O21" i="30"/>
  <c r="O22" i="30"/>
  <c r="O23" i="30"/>
  <c r="O24" i="30"/>
  <c r="O25" i="30"/>
  <c r="O26" i="30"/>
  <c r="O27" i="30"/>
  <c r="O28" i="30"/>
  <c r="O29" i="30"/>
  <c r="O30" i="30"/>
  <c r="O31" i="30"/>
  <c r="O32" i="30"/>
  <c r="O33" i="30"/>
  <c r="O34" i="30"/>
  <c r="O35" i="30"/>
  <c r="O36" i="30"/>
  <c r="O37" i="30"/>
  <c r="O38" i="30"/>
  <c r="O39" i="30"/>
  <c r="O40" i="30"/>
  <c r="O41" i="30"/>
  <c r="O42" i="30"/>
  <c r="O43" i="30"/>
  <c r="O44" i="30"/>
  <c r="O45" i="30"/>
  <c r="O46" i="30"/>
  <c r="O47" i="30"/>
  <c r="O48" i="30"/>
  <c r="O49" i="30"/>
  <c r="O50" i="30"/>
  <c r="O51" i="30"/>
  <c r="O52" i="30"/>
  <c r="O53" i="30"/>
  <c r="O54" i="30"/>
  <c r="O55" i="30"/>
  <c r="O56" i="30"/>
  <c r="O57" i="30"/>
  <c r="O58" i="30"/>
  <c r="O59" i="30"/>
  <c r="O60" i="30"/>
  <c r="O61" i="30"/>
  <c r="O62" i="30"/>
  <c r="O63" i="30"/>
  <c r="H80" i="30"/>
  <c r="G74" i="30"/>
  <c r="H74" i="30"/>
  <c r="G75" i="30"/>
  <c r="H75" i="30"/>
  <c r="G76" i="30"/>
  <c r="H76" i="30"/>
  <c r="G77" i="30"/>
  <c r="H77" i="30"/>
  <c r="G73" i="30"/>
  <c r="H73" i="30"/>
  <c r="G67" i="30"/>
  <c r="H67" i="30"/>
  <c r="G68" i="30"/>
  <c r="H68" i="30"/>
  <c r="G69" i="30"/>
  <c r="H69" i="30"/>
  <c r="G66" i="30"/>
  <c r="H66" i="30"/>
  <c r="G17" i="30"/>
  <c r="H17" i="30"/>
  <c r="G18" i="30"/>
  <c r="H18" i="30"/>
  <c r="G19" i="30"/>
  <c r="H19" i="30"/>
  <c r="G20" i="30"/>
  <c r="H20" i="30"/>
  <c r="G21" i="30"/>
  <c r="H21" i="30"/>
  <c r="G22" i="30"/>
  <c r="H22" i="30"/>
  <c r="G23" i="30"/>
  <c r="H23" i="30"/>
  <c r="G24" i="30"/>
  <c r="H24" i="30"/>
  <c r="G25" i="30"/>
  <c r="H25" i="30"/>
  <c r="G26" i="30"/>
  <c r="H26" i="30"/>
  <c r="G27" i="30"/>
  <c r="H27" i="30"/>
  <c r="G28" i="30"/>
  <c r="H28" i="30"/>
  <c r="G29" i="30"/>
  <c r="H29" i="30"/>
  <c r="G30" i="30"/>
  <c r="H30" i="30"/>
  <c r="G31" i="30"/>
  <c r="H31" i="30"/>
  <c r="G32" i="30"/>
  <c r="H32" i="30"/>
  <c r="G33" i="30"/>
  <c r="H33" i="30"/>
  <c r="G34" i="30"/>
  <c r="H34" i="30"/>
  <c r="G35" i="30"/>
  <c r="H35" i="30"/>
  <c r="G36" i="30"/>
  <c r="H36" i="30"/>
  <c r="G37" i="30"/>
  <c r="H37" i="30"/>
  <c r="G38" i="30"/>
  <c r="H38" i="30"/>
  <c r="G39" i="30"/>
  <c r="H39" i="30"/>
  <c r="G40" i="30"/>
  <c r="H40" i="30"/>
  <c r="G41" i="30"/>
  <c r="H41" i="30"/>
  <c r="G42" i="30"/>
  <c r="H42" i="30"/>
  <c r="G43" i="30"/>
  <c r="H43" i="30"/>
  <c r="G44" i="30"/>
  <c r="H44" i="30"/>
  <c r="G45" i="30"/>
  <c r="H45" i="30"/>
  <c r="G46" i="30"/>
  <c r="H46" i="30"/>
  <c r="G47" i="30"/>
  <c r="H47" i="30"/>
  <c r="G48" i="30"/>
  <c r="H48" i="30"/>
  <c r="G49" i="30"/>
  <c r="H49" i="30"/>
  <c r="G50" i="30"/>
  <c r="H50" i="30"/>
  <c r="G51" i="30"/>
  <c r="H51" i="30"/>
  <c r="G52" i="30"/>
  <c r="H52" i="30"/>
  <c r="G53" i="30"/>
  <c r="H53" i="30"/>
  <c r="G54" i="30"/>
  <c r="H54" i="30"/>
  <c r="G55" i="30"/>
  <c r="H55" i="30"/>
  <c r="G56" i="30"/>
  <c r="H56" i="30"/>
  <c r="G57" i="30"/>
  <c r="H57" i="30"/>
  <c r="G58" i="30"/>
  <c r="H58" i="30"/>
  <c r="G59" i="30"/>
  <c r="H59" i="30"/>
  <c r="G60" i="30"/>
  <c r="H60" i="30"/>
  <c r="G61" i="30"/>
  <c r="H61" i="30"/>
  <c r="G62" i="30"/>
  <c r="H62" i="30"/>
  <c r="E75" i="29"/>
  <c r="J6" i="29"/>
  <c r="J7" i="29"/>
  <c r="J8" i="29"/>
  <c r="J9" i="29"/>
  <c r="J10" i="29"/>
  <c r="J11" i="29"/>
  <c r="J12" i="29"/>
  <c r="J14" i="29"/>
  <c r="J15" i="29"/>
  <c r="J16" i="29"/>
  <c r="J17" i="29"/>
  <c r="J18" i="29"/>
  <c r="J19" i="29"/>
  <c r="J20" i="29"/>
  <c r="J21" i="29"/>
  <c r="J22" i="29"/>
  <c r="J23" i="29"/>
  <c r="J24" i="29"/>
  <c r="J25" i="29"/>
  <c r="J26" i="29"/>
  <c r="J27" i="29"/>
  <c r="J28" i="29"/>
  <c r="J29" i="29"/>
  <c r="J30" i="29"/>
  <c r="J31" i="29"/>
  <c r="J32" i="29"/>
  <c r="J33" i="29"/>
  <c r="J34" i="29"/>
  <c r="J35" i="29"/>
  <c r="J36" i="29"/>
  <c r="J37" i="29"/>
  <c r="J38" i="29"/>
  <c r="J39" i="29"/>
  <c r="J40" i="29"/>
  <c r="J41" i="29"/>
  <c r="J42" i="29"/>
  <c r="J43" i="29"/>
  <c r="J44" i="29"/>
  <c r="J45" i="29"/>
  <c r="J46" i="29"/>
  <c r="J47" i="29"/>
  <c r="J48" i="29"/>
  <c r="J49" i="29"/>
  <c r="J50" i="29"/>
  <c r="J51" i="29"/>
  <c r="J52" i="29"/>
  <c r="J53" i="29"/>
  <c r="J54" i="29"/>
  <c r="J55" i="29"/>
  <c r="J56" i="29"/>
  <c r="J57" i="29"/>
  <c r="J58" i="29"/>
  <c r="J59" i="29"/>
  <c r="J60" i="29"/>
  <c r="J62" i="29"/>
  <c r="J63" i="29"/>
  <c r="J64" i="29"/>
  <c r="J65" i="29"/>
  <c r="J67" i="29"/>
  <c r="J68" i="29"/>
  <c r="J69" i="29"/>
  <c r="J70" i="29"/>
  <c r="J71" i="29"/>
  <c r="J73" i="29"/>
  <c r="J75" i="29"/>
  <c r="H6" i="29"/>
  <c r="I6" i="29"/>
  <c r="H7" i="29"/>
  <c r="I7" i="29"/>
  <c r="H8" i="29"/>
  <c r="I8" i="29"/>
  <c r="H9" i="29"/>
  <c r="I9" i="29"/>
  <c r="H10" i="29"/>
  <c r="I10" i="29"/>
  <c r="H11" i="29"/>
  <c r="I11" i="29"/>
  <c r="H12" i="29"/>
  <c r="I12" i="29"/>
  <c r="H14" i="29"/>
  <c r="I14" i="29"/>
  <c r="H15" i="29"/>
  <c r="I15" i="29"/>
  <c r="H16" i="29"/>
  <c r="I16" i="29"/>
  <c r="H17" i="29"/>
  <c r="I17" i="29"/>
  <c r="H18" i="29"/>
  <c r="I18" i="29"/>
  <c r="H19" i="29"/>
  <c r="I19" i="29"/>
  <c r="H20" i="29"/>
  <c r="I20" i="29"/>
  <c r="H21" i="29"/>
  <c r="I21" i="29"/>
  <c r="H22" i="29"/>
  <c r="I22" i="29"/>
  <c r="H23" i="29"/>
  <c r="I23" i="29"/>
  <c r="H24" i="29"/>
  <c r="I24" i="29"/>
  <c r="H25" i="29"/>
  <c r="I25" i="29"/>
  <c r="H26" i="29"/>
  <c r="I26" i="29"/>
  <c r="H27" i="29"/>
  <c r="I27" i="29"/>
  <c r="H28" i="29"/>
  <c r="I28" i="29"/>
  <c r="H29" i="29"/>
  <c r="I29" i="29"/>
  <c r="H30" i="29"/>
  <c r="I30" i="29"/>
  <c r="H31" i="29"/>
  <c r="I31" i="29"/>
  <c r="H32" i="29"/>
  <c r="I32" i="29"/>
  <c r="H33" i="29"/>
  <c r="I33" i="29"/>
  <c r="H34" i="29"/>
  <c r="I34" i="29"/>
  <c r="H35" i="29"/>
  <c r="I35" i="29"/>
  <c r="H36" i="29"/>
  <c r="I36" i="29"/>
  <c r="H37" i="29"/>
  <c r="I37" i="29"/>
  <c r="H38" i="29"/>
  <c r="I38" i="29"/>
  <c r="H39" i="29"/>
  <c r="I39" i="29"/>
  <c r="H40" i="29"/>
  <c r="I40" i="29"/>
  <c r="H41" i="29"/>
  <c r="I41" i="29"/>
  <c r="H42" i="29"/>
  <c r="I42" i="29"/>
  <c r="H43" i="29"/>
  <c r="I43" i="29"/>
  <c r="H44" i="29"/>
  <c r="I44" i="29"/>
  <c r="H45" i="29"/>
  <c r="I45" i="29"/>
  <c r="H46" i="29"/>
  <c r="I46" i="29"/>
  <c r="H47" i="29"/>
  <c r="I47" i="29"/>
  <c r="H48" i="29"/>
  <c r="I48" i="29"/>
  <c r="H49" i="29"/>
  <c r="I49" i="29"/>
  <c r="H50" i="29"/>
  <c r="I50" i="29"/>
  <c r="H51" i="29"/>
  <c r="I51" i="29"/>
  <c r="H52" i="29"/>
  <c r="I52" i="29"/>
  <c r="H53" i="29"/>
  <c r="I53" i="29"/>
  <c r="H54" i="29"/>
  <c r="I54" i="29"/>
  <c r="H55" i="29"/>
  <c r="I55" i="29"/>
  <c r="H56" i="29"/>
  <c r="I56" i="29"/>
  <c r="H57" i="29"/>
  <c r="I57" i="29"/>
  <c r="H58" i="29"/>
  <c r="I58" i="29"/>
  <c r="H59" i="29"/>
  <c r="I59" i="29"/>
  <c r="H60" i="29"/>
  <c r="I60" i="29"/>
  <c r="H62" i="29"/>
  <c r="I62" i="29"/>
  <c r="H63" i="29"/>
  <c r="I63" i="29"/>
  <c r="H64" i="29"/>
  <c r="I64" i="29"/>
  <c r="H65" i="29"/>
  <c r="I65" i="29"/>
  <c r="H67" i="29"/>
  <c r="I67" i="29"/>
  <c r="H68" i="29"/>
  <c r="I68" i="29"/>
  <c r="H69" i="29"/>
  <c r="I69" i="29"/>
  <c r="H70" i="29"/>
  <c r="I70" i="29"/>
  <c r="H71" i="29"/>
  <c r="I71" i="29"/>
  <c r="H73" i="29"/>
  <c r="I73" i="29"/>
  <c r="I75" i="29"/>
  <c r="C2" i="3"/>
  <c r="C3" i="3"/>
  <c r="C4" i="3"/>
  <c r="C5" i="3"/>
  <c r="C6" i="3"/>
  <c r="C7" i="3"/>
  <c r="C8" i="3"/>
  <c r="C9" i="3"/>
  <c r="D2" i="3"/>
  <c r="D3" i="3"/>
  <c r="D4" i="3"/>
  <c r="D5" i="3"/>
  <c r="D6" i="3"/>
  <c r="D7" i="3"/>
  <c r="D9" i="3"/>
  <c r="B25" i="22"/>
  <c r="I26" i="22"/>
  <c r="H26" i="22"/>
  <c r="J73" i="2"/>
  <c r="AJ90" i="1"/>
  <c r="D13" i="22"/>
  <c r="D12" i="22"/>
  <c r="D11" i="22"/>
  <c r="D10" i="22"/>
  <c r="D9" i="22"/>
  <c r="D8" i="22"/>
  <c r="D7" i="22"/>
  <c r="D6" i="22"/>
  <c r="D5" i="22"/>
  <c r="D4" i="22"/>
  <c r="AE21" i="1"/>
  <c r="AE22" i="1"/>
  <c r="AE23" i="1"/>
  <c r="AE24" i="1"/>
  <c r="AE25" i="1"/>
  <c r="AE26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6" i="1"/>
  <c r="AE77" i="1"/>
  <c r="AE78" i="1"/>
  <c r="AE79" i="1"/>
  <c r="AE81" i="1"/>
  <c r="AE82" i="1"/>
  <c r="AE83" i="1"/>
  <c r="AE84" i="1"/>
  <c r="AE85" i="1"/>
  <c r="AE87" i="1"/>
  <c r="AE20" i="1"/>
  <c r="G21" i="1"/>
  <c r="K21" i="1"/>
  <c r="O21" i="1"/>
  <c r="G22" i="1"/>
  <c r="K22" i="1"/>
  <c r="O22" i="1"/>
  <c r="G23" i="1"/>
  <c r="K23" i="1"/>
  <c r="O23" i="1"/>
  <c r="G24" i="1"/>
  <c r="K24" i="1"/>
  <c r="O24" i="1"/>
  <c r="G25" i="1"/>
  <c r="K25" i="1"/>
  <c r="O25" i="1"/>
  <c r="G26" i="1"/>
  <c r="K26" i="1"/>
  <c r="O26" i="1"/>
  <c r="G28" i="1"/>
  <c r="K28" i="1"/>
  <c r="O28" i="1"/>
  <c r="G29" i="1"/>
  <c r="K29" i="1"/>
  <c r="O29" i="1"/>
  <c r="G30" i="1"/>
  <c r="K30" i="1"/>
  <c r="O30" i="1"/>
  <c r="G31" i="1"/>
  <c r="K31" i="1"/>
  <c r="O31" i="1"/>
  <c r="G32" i="1"/>
  <c r="K32" i="1"/>
  <c r="O32" i="1"/>
  <c r="G33" i="1"/>
  <c r="K33" i="1"/>
  <c r="O33" i="1"/>
  <c r="G34" i="1"/>
  <c r="K34" i="1"/>
  <c r="O34" i="1"/>
  <c r="G35" i="1"/>
  <c r="K35" i="1"/>
  <c r="O35" i="1"/>
  <c r="G36" i="1"/>
  <c r="K36" i="1"/>
  <c r="O36" i="1"/>
  <c r="G37" i="1"/>
  <c r="K37" i="1"/>
  <c r="O37" i="1"/>
  <c r="G38" i="1"/>
  <c r="K38" i="1"/>
  <c r="O38" i="1"/>
  <c r="G39" i="1"/>
  <c r="K39" i="1"/>
  <c r="O39" i="1"/>
  <c r="G40" i="1"/>
  <c r="K40" i="1"/>
  <c r="O40" i="1"/>
  <c r="G41" i="1"/>
  <c r="K41" i="1"/>
  <c r="O41" i="1"/>
  <c r="G42" i="1"/>
  <c r="K42" i="1"/>
  <c r="O42" i="1"/>
  <c r="G43" i="1"/>
  <c r="K43" i="1"/>
  <c r="O43" i="1"/>
  <c r="G44" i="1"/>
  <c r="K44" i="1"/>
  <c r="O44" i="1"/>
  <c r="G45" i="1"/>
  <c r="K45" i="1"/>
  <c r="O45" i="1"/>
  <c r="G46" i="1"/>
  <c r="K46" i="1"/>
  <c r="O46" i="1"/>
  <c r="G47" i="1"/>
  <c r="K47" i="1"/>
  <c r="O47" i="1"/>
  <c r="G48" i="1"/>
  <c r="K48" i="1"/>
  <c r="O48" i="1"/>
  <c r="G49" i="1"/>
  <c r="K49" i="1"/>
  <c r="O49" i="1"/>
  <c r="G50" i="1"/>
  <c r="K50" i="1"/>
  <c r="O50" i="1"/>
  <c r="G51" i="1"/>
  <c r="K51" i="1"/>
  <c r="O51" i="1"/>
  <c r="G52" i="1"/>
  <c r="K52" i="1"/>
  <c r="O52" i="1"/>
  <c r="G53" i="1"/>
  <c r="K53" i="1"/>
  <c r="O53" i="1"/>
  <c r="G54" i="1"/>
  <c r="K54" i="1"/>
  <c r="O54" i="1"/>
  <c r="G55" i="1"/>
  <c r="K55" i="1"/>
  <c r="O55" i="1"/>
  <c r="G56" i="1"/>
  <c r="K56" i="1"/>
  <c r="O56" i="1"/>
  <c r="G57" i="1"/>
  <c r="K57" i="1"/>
  <c r="O57" i="1"/>
  <c r="G58" i="1"/>
  <c r="K58" i="1"/>
  <c r="O58" i="1"/>
  <c r="G59" i="1"/>
  <c r="K59" i="1"/>
  <c r="O59" i="1"/>
  <c r="G60" i="1"/>
  <c r="K60" i="1"/>
  <c r="O60" i="1"/>
  <c r="G61" i="1"/>
  <c r="K61" i="1"/>
  <c r="O61" i="1"/>
  <c r="G62" i="1"/>
  <c r="K62" i="1"/>
  <c r="O62" i="1"/>
  <c r="G63" i="1"/>
  <c r="K63" i="1"/>
  <c r="O63" i="1"/>
  <c r="G64" i="1"/>
  <c r="K64" i="1"/>
  <c r="O64" i="1"/>
  <c r="G65" i="1"/>
  <c r="K65" i="1"/>
  <c r="O65" i="1"/>
  <c r="G66" i="1"/>
  <c r="K66" i="1"/>
  <c r="O66" i="1"/>
  <c r="G67" i="1"/>
  <c r="K67" i="1"/>
  <c r="O67" i="1"/>
  <c r="G68" i="1"/>
  <c r="K68" i="1"/>
  <c r="O68" i="1"/>
  <c r="G69" i="1"/>
  <c r="K69" i="1"/>
  <c r="O69" i="1"/>
  <c r="K70" i="1"/>
  <c r="G70" i="1"/>
  <c r="O70" i="1"/>
  <c r="G71" i="1"/>
  <c r="K71" i="1"/>
  <c r="O71" i="1"/>
  <c r="G72" i="1"/>
  <c r="K72" i="1"/>
  <c r="O72" i="1"/>
  <c r="G73" i="1"/>
  <c r="K73" i="1"/>
  <c r="O73" i="1"/>
  <c r="G74" i="1"/>
  <c r="K74" i="1"/>
  <c r="O74" i="1"/>
  <c r="G76" i="1"/>
  <c r="K76" i="1"/>
  <c r="O76" i="1"/>
  <c r="G77" i="1"/>
  <c r="K77" i="1"/>
  <c r="O77" i="1"/>
  <c r="G78" i="1"/>
  <c r="K78" i="1"/>
  <c r="O78" i="1"/>
  <c r="G79" i="1"/>
  <c r="K79" i="1"/>
  <c r="O79" i="1"/>
  <c r="G81" i="1"/>
  <c r="K81" i="1"/>
  <c r="O81" i="1"/>
  <c r="G82" i="1"/>
  <c r="K82" i="1"/>
  <c r="O82" i="1"/>
  <c r="G83" i="1"/>
  <c r="K83" i="1"/>
  <c r="O83" i="1"/>
  <c r="G84" i="1"/>
  <c r="K84" i="1"/>
  <c r="O84" i="1"/>
  <c r="G85" i="1"/>
  <c r="K85" i="1"/>
  <c r="O85" i="1"/>
  <c r="G87" i="1"/>
  <c r="K87" i="1"/>
  <c r="O87" i="1"/>
  <c r="G20" i="1"/>
  <c r="K20" i="1"/>
  <c r="O20" i="1"/>
  <c r="M21" i="1"/>
  <c r="M22" i="1"/>
  <c r="M23" i="1"/>
  <c r="M24" i="1"/>
  <c r="M25" i="1"/>
  <c r="M26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6" i="1"/>
  <c r="M77" i="1"/>
  <c r="M78" i="1"/>
  <c r="M79" i="1"/>
  <c r="M81" i="1"/>
  <c r="M82" i="1"/>
  <c r="M83" i="1"/>
  <c r="M84" i="1"/>
  <c r="M85" i="1"/>
  <c r="M87" i="1"/>
  <c r="M20" i="1"/>
  <c r="P21" i="1"/>
  <c r="P22" i="1"/>
  <c r="P23" i="1"/>
  <c r="P24" i="1"/>
  <c r="P25" i="1"/>
  <c r="P26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6" i="1"/>
  <c r="P77" i="1"/>
  <c r="P78" i="1"/>
  <c r="P79" i="1"/>
  <c r="P81" i="1"/>
  <c r="P82" i="1"/>
  <c r="P83" i="1"/>
  <c r="P84" i="1"/>
  <c r="P85" i="1"/>
  <c r="P87" i="1"/>
  <c r="P20" i="1"/>
  <c r="N21" i="1"/>
  <c r="N22" i="1"/>
  <c r="N23" i="1"/>
  <c r="N24" i="1"/>
  <c r="N25" i="1"/>
  <c r="N26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6" i="1"/>
  <c r="N77" i="1"/>
  <c r="N78" i="1"/>
  <c r="N79" i="1"/>
  <c r="N81" i="1"/>
  <c r="N82" i="1"/>
  <c r="N83" i="1"/>
  <c r="N84" i="1"/>
  <c r="N85" i="1"/>
  <c r="N87" i="1"/>
  <c r="N20" i="1"/>
  <c r="L87" i="1"/>
  <c r="L85" i="1"/>
  <c r="L84" i="1"/>
  <c r="L83" i="1"/>
  <c r="L82" i="1"/>
  <c r="L81" i="1"/>
  <c r="L79" i="1"/>
  <c r="L78" i="1"/>
  <c r="L77" i="1"/>
  <c r="L76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6" i="1"/>
  <c r="L25" i="1"/>
  <c r="L24" i="1"/>
  <c r="L23" i="1"/>
  <c r="L22" i="1"/>
  <c r="L21" i="1"/>
  <c r="L20" i="1"/>
  <c r="F4" i="6"/>
  <c r="H4" i="6"/>
  <c r="H5" i="6"/>
  <c r="H6" i="6"/>
  <c r="H8" i="6"/>
  <c r="F8" i="6"/>
  <c r="AR72" i="4"/>
  <c r="AS72" i="4"/>
  <c r="AT72" i="4"/>
  <c r="G72" i="4"/>
  <c r="H72" i="4"/>
  <c r="I72" i="4"/>
  <c r="J72" i="4"/>
  <c r="K72" i="4"/>
  <c r="L72" i="4"/>
  <c r="M72" i="4"/>
  <c r="N72" i="4"/>
  <c r="O72" i="4"/>
  <c r="P72" i="4"/>
  <c r="Q72" i="4"/>
  <c r="R72" i="4"/>
  <c r="S72" i="4"/>
  <c r="T72" i="4"/>
  <c r="U72" i="4"/>
  <c r="V72" i="4"/>
  <c r="W72" i="4"/>
  <c r="X72" i="4"/>
  <c r="Y72" i="4"/>
  <c r="Z72" i="4"/>
  <c r="AA72" i="4"/>
  <c r="AB72" i="4"/>
  <c r="AC72" i="4"/>
  <c r="AD72" i="4"/>
  <c r="AE72" i="4"/>
  <c r="AF72" i="4"/>
  <c r="AH72" i="4"/>
  <c r="AI72" i="4"/>
  <c r="AJ72" i="4"/>
  <c r="AK72" i="4"/>
  <c r="AL72" i="4"/>
  <c r="AM72" i="4"/>
  <c r="AN72" i="4"/>
  <c r="AO72" i="4"/>
  <c r="AP72" i="4"/>
  <c r="AQ72" i="4"/>
  <c r="F72" i="4"/>
  <c r="E72" i="4"/>
  <c r="D72" i="4"/>
  <c r="C72" i="4"/>
  <c r="E68" i="2"/>
  <c r="D68" i="2"/>
  <c r="B68" i="2"/>
  <c r="N77" i="2"/>
  <c r="N68" i="2"/>
  <c r="N11" i="2"/>
  <c r="N61" i="2"/>
  <c r="B8" i="3"/>
  <c r="B9" i="3"/>
  <c r="F8" i="1"/>
  <c r="F9" i="1"/>
  <c r="F12" i="1"/>
  <c r="F11" i="1"/>
</calcChain>
</file>

<file path=xl/comments1.xml><?xml version="1.0" encoding="utf-8"?>
<comments xmlns="http://schemas.openxmlformats.org/spreadsheetml/2006/main">
  <authors>
    <author>Anders</author>
  </authors>
  <commentList>
    <comment ref="B1" authorId="0">
      <text>
        <r>
          <rPr>
            <b/>
            <sz val="9"/>
            <color indexed="81"/>
            <rFont val="Calibri"/>
            <family val="2"/>
          </rPr>
          <t xml:space="preserve">Scroll ned for salg i mai og juni
</t>
        </r>
      </text>
    </comment>
  </commentList>
</comments>
</file>

<file path=xl/comments2.xml><?xml version="1.0" encoding="utf-8"?>
<comments xmlns="http://schemas.openxmlformats.org/spreadsheetml/2006/main">
  <authors>
    <author>Minh</author>
  </authors>
  <commentList>
    <comment ref="A1" authorId="0">
      <text>
        <r>
          <rPr>
            <sz val="14"/>
            <color indexed="81"/>
            <rFont val="Tahoma"/>
            <family val="2"/>
          </rPr>
          <t xml:space="preserve">Da vi var på besøk hos XX veide vi hvor mye råvarer som var i hver rett. Disse har vi brukt i videre beregninger, selv om det kan være unøyaktig når kokkene lager maten på øyemål. </t>
        </r>
      </text>
    </comment>
  </commentList>
</comments>
</file>

<file path=xl/comments3.xml><?xml version="1.0" encoding="utf-8"?>
<comments xmlns="http://schemas.openxmlformats.org/spreadsheetml/2006/main">
  <authors>
    <author>Anders</author>
  </authors>
  <commentList>
    <comment ref="H24" authorId="0">
      <text>
        <r>
          <rPr>
            <b/>
            <sz val="9"/>
            <color indexed="81"/>
            <rFont val="Calibri"/>
            <family val="2"/>
          </rPr>
          <t>Anders:</t>
        </r>
        <r>
          <rPr>
            <sz val="9"/>
            <color indexed="81"/>
            <rFont val="Calibri"/>
            <family val="2"/>
          </rPr>
          <t xml:space="preserve">
Denne eller den over er feil.
</t>
        </r>
      </text>
    </comment>
    <comment ref="O57" authorId="0">
      <text>
        <r>
          <rPr>
            <b/>
            <sz val="9"/>
            <color indexed="81"/>
            <rFont val="Calibri"/>
            <family val="2"/>
          </rPr>
          <t xml:space="preserve">Økt Råvarekostnad eks svinn, inkludert kvantumsrabatt
</t>
        </r>
      </text>
    </comment>
    <comment ref="P57" authorId="0">
      <text>
        <r>
          <rPr>
            <b/>
            <sz val="9"/>
            <color indexed="81"/>
            <rFont val="Calibri"/>
            <family val="2"/>
          </rPr>
          <t xml:space="preserve">SUM kvantumsrabbat på alt kjøtt
</t>
        </r>
      </text>
    </comment>
  </commentList>
</comments>
</file>

<file path=xl/sharedStrings.xml><?xml version="1.0" encoding="utf-8"?>
<sst xmlns="http://schemas.openxmlformats.org/spreadsheetml/2006/main" count="1571" uniqueCount="439">
  <si>
    <t>Kjøkken</t>
  </si>
  <si>
    <t>Kokk 1</t>
  </si>
  <si>
    <t xml:space="preserve">Kokk 2 </t>
  </si>
  <si>
    <t>Kokk 3</t>
  </si>
  <si>
    <t>Antall timer hver dag</t>
  </si>
  <si>
    <t>Antall kokker</t>
  </si>
  <si>
    <t>Bruttolønn</t>
  </si>
  <si>
    <t>Gjennomsnittelig bruttolønn per time</t>
  </si>
  <si>
    <t>Feriepenger per time</t>
  </si>
  <si>
    <t>Netto lønnskostnad per time</t>
  </si>
  <si>
    <t>Gjennomsnittelig månedslønn</t>
  </si>
  <si>
    <t>Tilgjengelig  kapasitet i timer</t>
  </si>
  <si>
    <t xml:space="preserve">Tilgjengelig  kapasitet i minutter </t>
  </si>
  <si>
    <t>Utnyttet kapasitet i timer</t>
  </si>
  <si>
    <t>utnyttet kapasitet i minutter</t>
  </si>
  <si>
    <t>Arbeidsgiveravgift per time</t>
  </si>
  <si>
    <t>Arbeideravgift på periepenger per time</t>
  </si>
  <si>
    <t>Budsjettert Lønnskostnad per minutt</t>
  </si>
  <si>
    <t>Virkelig lønnskostnad per minutt</t>
  </si>
  <si>
    <t>Prosentsats på utnyttet kapasiter</t>
  </si>
  <si>
    <t>Fu Yong Pot</t>
  </si>
  <si>
    <t>Husets indrefilet</t>
  </si>
  <si>
    <t>Kinesisk pepperbiff</t>
  </si>
  <si>
    <t>Prisliste kr/kg</t>
  </si>
  <si>
    <t>Biff</t>
  </si>
  <si>
    <t>Rød paprika</t>
  </si>
  <si>
    <t>Grønn paprika</t>
  </si>
  <si>
    <t>Babymais</t>
  </si>
  <si>
    <t>Vannkastanie</t>
  </si>
  <si>
    <t xml:space="preserve">Brokkoli </t>
  </si>
  <si>
    <t>Laks filet</t>
  </si>
  <si>
    <t xml:space="preserve">Indrefilet </t>
  </si>
  <si>
    <t>Scampi</t>
  </si>
  <si>
    <t>Kylling filet</t>
  </si>
  <si>
    <t xml:space="preserve">Bakepotet </t>
  </si>
  <si>
    <t>Ris</t>
  </si>
  <si>
    <t>Olje</t>
  </si>
  <si>
    <t>salt</t>
  </si>
  <si>
    <t>Lys soyasaus</t>
  </si>
  <si>
    <t>Mørk soyasaus</t>
  </si>
  <si>
    <t>hvetemel</t>
  </si>
  <si>
    <t>potetmel</t>
  </si>
  <si>
    <t>hvitløk</t>
  </si>
  <si>
    <t>chili</t>
  </si>
  <si>
    <t>Sum</t>
  </si>
  <si>
    <t>Mat solgt i mai</t>
  </si>
  <si>
    <t>Mai</t>
  </si>
  <si>
    <t>Inntekt</t>
  </si>
  <si>
    <t>Ant. retter solgt</t>
  </si>
  <si>
    <t>In-door</t>
  </si>
  <si>
    <t>Take away</t>
  </si>
  <si>
    <t>Sum mai 2016</t>
  </si>
  <si>
    <t>Bacon</t>
  </si>
  <si>
    <t>And</t>
  </si>
  <si>
    <t>Svinenakke</t>
  </si>
  <si>
    <t>Indrefilet av biff</t>
  </si>
  <si>
    <t>Kyllingfilet</t>
  </si>
  <si>
    <t>Steinbit</t>
  </si>
  <si>
    <t>Laks</t>
  </si>
  <si>
    <t>Hamburger</t>
  </si>
  <si>
    <t>Reker</t>
  </si>
  <si>
    <t>Snegler</t>
  </si>
  <si>
    <t>Eggenudler</t>
  </si>
  <si>
    <t>Pommes Frites</t>
  </si>
  <si>
    <t>Brød</t>
  </si>
  <si>
    <t>Pizzaskinke</t>
  </si>
  <si>
    <t>Wienerpølse</t>
  </si>
  <si>
    <t>Amerikansk blanding</t>
  </si>
  <si>
    <t>Innkjøp av mat</t>
  </si>
  <si>
    <t>Mars og april</t>
  </si>
  <si>
    <t>Mai og Juni 2016</t>
  </si>
  <si>
    <t>Juli og august 2016</t>
  </si>
  <si>
    <t>September og oktober 2016</t>
  </si>
  <si>
    <t>November og desember 2016</t>
  </si>
  <si>
    <t>Sum 2016</t>
  </si>
  <si>
    <t>Brokkoli</t>
  </si>
  <si>
    <t>Gulrot</t>
  </si>
  <si>
    <t>Champignon</t>
  </si>
  <si>
    <t>Løk</t>
  </si>
  <si>
    <t>Purreløk</t>
  </si>
  <si>
    <t>Bake-potet</t>
  </si>
  <si>
    <t>Sitron</t>
  </si>
  <si>
    <t>Bambusskudd</t>
  </si>
  <si>
    <t>Vannkastanje</t>
  </si>
  <si>
    <t>Banan</t>
  </si>
  <si>
    <t>Ananasbiter</t>
  </si>
  <si>
    <t>Isbergsalat</t>
  </si>
  <si>
    <t>And filet</t>
  </si>
  <si>
    <t>Ut ifra undersøkelser som de har gjort tidligere</t>
  </si>
  <si>
    <t>Få til maksimalt praktisk kapasitet</t>
  </si>
  <si>
    <t>Salgsinntekt</t>
  </si>
  <si>
    <t>Innkjøp i % av innt</t>
  </si>
  <si>
    <t>Forrett</t>
  </si>
  <si>
    <t>Hovedrett</t>
  </si>
  <si>
    <t>Barnemeny</t>
  </si>
  <si>
    <t>Hjemmelaget vårrull</t>
  </si>
  <si>
    <t>Crispy scampi</t>
  </si>
  <si>
    <t>Rekecocktail</t>
  </si>
  <si>
    <t>Stekte kamskjell</t>
  </si>
  <si>
    <t>Gratinerte snegler</t>
  </si>
  <si>
    <t>Kyllingsuppe</t>
  </si>
  <si>
    <t>Pekingsuppe</t>
  </si>
  <si>
    <t>Grillet laks</t>
  </si>
  <si>
    <t>Havets delikatesser</t>
  </si>
  <si>
    <t>Ristet tigerscampi</t>
  </si>
  <si>
    <t>Scampi Kong Bao</t>
  </si>
  <si>
    <t>Innbakte kongereker</t>
  </si>
  <si>
    <t>Kantow steinbitfilet</t>
  </si>
  <si>
    <t>Brassert and</t>
  </si>
  <si>
    <t>Innbakt and</t>
  </si>
  <si>
    <t>And a la Schiuan</t>
  </si>
  <si>
    <t>Kylling a la Kong Bao</t>
  </si>
  <si>
    <t>Kylling Chop Suey</t>
  </si>
  <si>
    <t>Kylling i Karri</t>
  </si>
  <si>
    <t>Innbakt kyllingfilet</t>
  </si>
  <si>
    <t>Shuang Pin</t>
  </si>
  <si>
    <t>Mixed grill</t>
  </si>
  <si>
    <t>Tip Pan Ngao</t>
  </si>
  <si>
    <t>Biff a la Sichuan</t>
  </si>
  <si>
    <t>Oksefilet male</t>
  </si>
  <si>
    <t>Biff og kylling</t>
  </si>
  <si>
    <t>Biff a la Kong Bao</t>
  </si>
  <si>
    <t>Biff Chop Suey</t>
  </si>
  <si>
    <t>Biff i hvitløk</t>
  </si>
  <si>
    <t>Biff i Karri</t>
  </si>
  <si>
    <t>Kuluyuk</t>
  </si>
  <si>
    <t>Svinefilet a la Sichuan</t>
  </si>
  <si>
    <t>Pang Pang lammefilet</t>
  </si>
  <si>
    <t>Vegetarisk Chop Suey</t>
  </si>
  <si>
    <t>Kylling a la Sichuan</t>
  </si>
  <si>
    <t>Stekt ris</t>
  </si>
  <si>
    <t>Tre retters meny</t>
  </si>
  <si>
    <t>Fire retters meny</t>
  </si>
  <si>
    <t>Pepperbiff</t>
  </si>
  <si>
    <t>Biffsnadder</t>
  </si>
  <si>
    <t>Cheeseburger</t>
  </si>
  <si>
    <t>Lasagne</t>
  </si>
  <si>
    <t>Pølse og Pommes frites</t>
  </si>
  <si>
    <t>Kylling med Pommes</t>
  </si>
  <si>
    <t>3-pack</t>
  </si>
  <si>
    <t>3-Pack</t>
  </si>
  <si>
    <t>4-Pack</t>
  </si>
  <si>
    <t>Hot-Pack</t>
  </si>
  <si>
    <t>Lunsj</t>
  </si>
  <si>
    <t>Dessert</t>
  </si>
  <si>
    <t>Banansplit</t>
  </si>
  <si>
    <t>Stekt banan</t>
  </si>
  <si>
    <t>Bjørnebær med is</t>
  </si>
  <si>
    <t>Kuleis</t>
  </si>
  <si>
    <t>Eplekake</t>
  </si>
  <si>
    <t>Stekt nudler med biff</t>
  </si>
  <si>
    <t>Stekte nudler med scampi</t>
  </si>
  <si>
    <t>Nr.1</t>
  </si>
  <si>
    <t>Nr.6</t>
  </si>
  <si>
    <t>Nr.4</t>
  </si>
  <si>
    <t>Nr.3</t>
  </si>
  <si>
    <t>Nr.2</t>
  </si>
  <si>
    <t>Nr.5</t>
  </si>
  <si>
    <t>Nr.7</t>
  </si>
  <si>
    <t>Nr.8</t>
  </si>
  <si>
    <t>Nr.9</t>
  </si>
  <si>
    <t>Nr.10</t>
  </si>
  <si>
    <t>Mest populære hovedretter</t>
  </si>
  <si>
    <t>Stekte nudler med biff</t>
  </si>
  <si>
    <t>Nr.11</t>
  </si>
  <si>
    <t>Nr.12</t>
  </si>
  <si>
    <t>Nr.13</t>
  </si>
  <si>
    <t>Nr.14</t>
  </si>
  <si>
    <t>Nr.15</t>
  </si>
  <si>
    <t>Nr.16</t>
  </si>
  <si>
    <t>Nr.17</t>
  </si>
  <si>
    <t>Nr.18</t>
  </si>
  <si>
    <t>Nr.19</t>
  </si>
  <si>
    <t>Nr.20</t>
  </si>
  <si>
    <t>Nr.21</t>
  </si>
  <si>
    <t>Nr.23</t>
  </si>
  <si>
    <t>Nr.24</t>
  </si>
  <si>
    <t>Nr.25</t>
  </si>
  <si>
    <t>Nr.28</t>
  </si>
  <si>
    <t>Nr.29</t>
  </si>
  <si>
    <t>Nr.30</t>
  </si>
  <si>
    <t>Nr.31</t>
  </si>
  <si>
    <t>Nr.32</t>
  </si>
  <si>
    <t>Nr.33</t>
  </si>
  <si>
    <t>And a la Sichuan</t>
  </si>
  <si>
    <t>Kylling med hvitløk</t>
  </si>
  <si>
    <t>Kylling med pommes</t>
  </si>
  <si>
    <t>Biff med bambusskudd</t>
  </si>
  <si>
    <t>Wienerschnitzel</t>
  </si>
  <si>
    <t>4-pack</t>
  </si>
  <si>
    <t>Katow steinbitfilet</t>
  </si>
  <si>
    <t>Biff i karri</t>
  </si>
  <si>
    <t>Ant. Retter</t>
  </si>
  <si>
    <t>Totalsum</t>
  </si>
  <si>
    <t>Mest populære forretter</t>
  </si>
  <si>
    <t>Mest populære barnemenyer</t>
  </si>
  <si>
    <t>Pølse pg Pommes frites</t>
  </si>
  <si>
    <t>Mest populære desserter</t>
  </si>
  <si>
    <t>Nr. 1</t>
  </si>
  <si>
    <t>Nr. 2</t>
  </si>
  <si>
    <t>Nr. 3</t>
  </si>
  <si>
    <t>Nr. 4</t>
  </si>
  <si>
    <t>Nr. 5</t>
  </si>
  <si>
    <t>Total råvarekost</t>
  </si>
  <si>
    <t>Juni</t>
  </si>
  <si>
    <t>Ant. Retter solgt</t>
  </si>
  <si>
    <t>Sum juni 2016</t>
  </si>
  <si>
    <t>Menynr.</t>
  </si>
  <si>
    <t>Råvarer</t>
  </si>
  <si>
    <t>Diversepost</t>
  </si>
  <si>
    <t>Totalsum mai og juni</t>
  </si>
  <si>
    <t>Div</t>
  </si>
  <si>
    <t>Blomkål</t>
  </si>
  <si>
    <t>Vårullplater</t>
  </si>
  <si>
    <t>Lollo-salat</t>
  </si>
  <si>
    <t>Agurk</t>
  </si>
  <si>
    <t>x</t>
  </si>
  <si>
    <t>Rundbiff</t>
  </si>
  <si>
    <t>Kamskjell</t>
  </si>
  <si>
    <t>Lammefillet</t>
  </si>
  <si>
    <t>Hamburger (liten)</t>
  </si>
  <si>
    <t>Hamburger (stor)</t>
  </si>
  <si>
    <t>Kg</t>
  </si>
  <si>
    <t>Sukker</t>
  </si>
  <si>
    <t>Kilopris</t>
  </si>
  <si>
    <t>Bjørnebær</t>
  </si>
  <si>
    <t>Pommes</t>
  </si>
  <si>
    <t>Nudler</t>
  </si>
  <si>
    <t>Wokgrønnsaker</t>
  </si>
  <si>
    <t>pr liter</t>
  </si>
  <si>
    <t>Lam</t>
  </si>
  <si>
    <t>Amerikansk b</t>
  </si>
  <si>
    <t>Hamburger (Stor)</t>
  </si>
  <si>
    <t>Hamburger (Liten)</t>
  </si>
  <si>
    <t>Iskuler</t>
  </si>
  <si>
    <t>Vårrullplate</t>
  </si>
  <si>
    <t>Ananas</t>
  </si>
  <si>
    <t>Asparges</t>
  </si>
  <si>
    <t>Svinn</t>
  </si>
  <si>
    <t>Råvarekost</t>
  </si>
  <si>
    <t>Tidsbruk</t>
  </si>
  <si>
    <t>Lønnskostnad</t>
  </si>
  <si>
    <t>Men vi vet ikke hvor det kommer fra.</t>
  </si>
  <si>
    <t>Restauranten registrerer ikke feilbestillinger, kastet mat, mat spist av personalet, deler av tilberedning skjer på øyemål</t>
  </si>
  <si>
    <t>Salsinntekter mat</t>
  </si>
  <si>
    <t>råvarekost</t>
  </si>
  <si>
    <t>*</t>
  </si>
  <si>
    <t>Uten lønn</t>
  </si>
  <si>
    <t>Med lønn</t>
  </si>
  <si>
    <t>Tidsbruk (min)</t>
  </si>
  <si>
    <t>Total kost</t>
  </si>
  <si>
    <t>DB 1</t>
  </si>
  <si>
    <t>DB 2</t>
  </si>
  <si>
    <t>DG 1</t>
  </si>
  <si>
    <t>DG 2</t>
  </si>
  <si>
    <t>Rettnr</t>
  </si>
  <si>
    <t>Rett</t>
  </si>
  <si>
    <t>Andel av salg</t>
  </si>
  <si>
    <t>DB 2 * Mengde</t>
  </si>
  <si>
    <t>Cheeseburger (barn)</t>
  </si>
  <si>
    <t>Salg mai og juni</t>
  </si>
  <si>
    <t>Salgspris m/mva</t>
  </si>
  <si>
    <t>Salgspris u/mva</t>
  </si>
  <si>
    <t>Rangert</t>
  </si>
  <si>
    <t>Innbyggertall</t>
  </si>
  <si>
    <t>SAMMENDRAG (UTDATA)</t>
  </si>
  <si>
    <t>Regresjonsstatistikk</t>
  </si>
  <si>
    <t>Multippel R</t>
  </si>
  <si>
    <t>R-kvadrat</t>
  </si>
  <si>
    <t>Justert R-kvadrat</t>
  </si>
  <si>
    <t>Standardfeil</t>
  </si>
  <si>
    <t>Observasjoner</t>
  </si>
  <si>
    <t>Variansanalyse</t>
  </si>
  <si>
    <t>Regresjon</t>
  </si>
  <si>
    <t>Residualer</t>
  </si>
  <si>
    <t>Totalt</t>
  </si>
  <si>
    <t>Skjæringspunkt</t>
  </si>
  <si>
    <t>fg</t>
  </si>
  <si>
    <t>SK</t>
  </si>
  <si>
    <t>GK</t>
  </si>
  <si>
    <t>F</t>
  </si>
  <si>
    <t>Signifkans-F</t>
  </si>
  <si>
    <t>Koeffisienter</t>
  </si>
  <si>
    <t>t-Stat</t>
  </si>
  <si>
    <t>P-verdi</t>
  </si>
  <si>
    <t>Nederste 95%</t>
  </si>
  <si>
    <t>Øverste 95%</t>
  </si>
  <si>
    <t>Nedre 95,0%</t>
  </si>
  <si>
    <t>Øverste 95,0%</t>
  </si>
  <si>
    <t>Nittedal</t>
  </si>
  <si>
    <t>ÅDT</t>
  </si>
  <si>
    <t>Antall retter på menyen</t>
  </si>
  <si>
    <t>Sum DB</t>
  </si>
  <si>
    <t>SUM</t>
  </si>
  <si>
    <t>Gammel meny</t>
  </si>
  <si>
    <t>ÅDT = Årsdøgntrafikk gjennom Hagantunnellen</t>
  </si>
  <si>
    <t xml:space="preserve">Siden innbyggertall og ÅDT korrellerer har vi en utelatingskjevhet som gjør at koeffisienten </t>
  </si>
  <si>
    <t>foran innbyggertall er feil.</t>
  </si>
  <si>
    <t>T-test</t>
  </si>
  <si>
    <t>Multikollinearitet?</t>
  </si>
  <si>
    <t>Oversikt TDABC</t>
  </si>
  <si>
    <t>Regresjonen gir høye standardfeil.</t>
  </si>
  <si>
    <t>Konfidensintervall</t>
  </si>
  <si>
    <t>Nedre</t>
  </si>
  <si>
    <t>Øvre</t>
  </si>
  <si>
    <t>(686,39.1429,39)</t>
  </si>
  <si>
    <t>95% sikkerhet</t>
  </si>
  <si>
    <t>ÅDT er ikke signifikant</t>
  </si>
  <si>
    <t>Antall retter</t>
  </si>
  <si>
    <t>Varekostnad</t>
  </si>
  <si>
    <t>Kinarestaurant</t>
  </si>
  <si>
    <t>De 3 siste årene</t>
  </si>
  <si>
    <t>Xin Xing</t>
  </si>
  <si>
    <t>Varekost i % av SI</t>
  </si>
  <si>
    <t>Eksempel</t>
  </si>
  <si>
    <t>Dagens situasjon</t>
  </si>
  <si>
    <t>Ønsket situasjon</t>
  </si>
  <si>
    <t>Mai og juni</t>
  </si>
  <si>
    <t>50% redusert svinn</t>
  </si>
  <si>
    <t>DB</t>
  </si>
  <si>
    <t>Volum</t>
  </si>
  <si>
    <t>Salg = 7500</t>
  </si>
  <si>
    <t>Januar og februar 2016</t>
  </si>
  <si>
    <t>Salgsinntekt mat</t>
  </si>
  <si>
    <t>Gjennomsnittlig 2016</t>
  </si>
  <si>
    <t>Xin Xing har hatt samme antall retter hvert år</t>
  </si>
  <si>
    <t>Beijing House har hatt samme antall retter de to siste årene og kuttet 10 retter på menyen som ikke solgte i 2013.</t>
  </si>
  <si>
    <t>Gamle prosentsatser</t>
  </si>
  <si>
    <t>Nr. 6</t>
  </si>
  <si>
    <t>Nr. 7</t>
  </si>
  <si>
    <t>Forretter</t>
  </si>
  <si>
    <t>Hovedretter</t>
  </si>
  <si>
    <t>Sum forrett</t>
  </si>
  <si>
    <t>Sum hovedrett</t>
  </si>
  <si>
    <t>Sum barnemeny</t>
  </si>
  <si>
    <t>Sum dessert</t>
  </si>
  <si>
    <t>Total bruttofortjeneste</t>
  </si>
  <si>
    <t>Tidsbruk(min)</t>
  </si>
  <si>
    <t>Bruttofotjeneste</t>
  </si>
  <si>
    <t>Total råvarekosnad</t>
  </si>
  <si>
    <t>Populæritet</t>
  </si>
  <si>
    <t>Total DB</t>
  </si>
  <si>
    <t>Antall retter idag</t>
  </si>
  <si>
    <t>Eliminerer</t>
  </si>
  <si>
    <t>sum</t>
  </si>
  <si>
    <t>Ny Meny</t>
  </si>
  <si>
    <t>Salgspris u/ mva</t>
  </si>
  <si>
    <t>Total antall retter solgt i jun og aug 2016</t>
  </si>
  <si>
    <t>Lønnskosntader</t>
  </si>
  <si>
    <t>Bruttofortjeneste</t>
  </si>
  <si>
    <t>total råvarekost</t>
  </si>
  <si>
    <t>Nytt volum</t>
  </si>
  <si>
    <t>Økt kapasitet</t>
  </si>
  <si>
    <t>Gammel volum</t>
  </si>
  <si>
    <t>Bakkekroen</t>
  </si>
  <si>
    <t>Peking House</t>
  </si>
  <si>
    <t>Mr. Choung</t>
  </si>
  <si>
    <t>Beijing House</t>
  </si>
  <si>
    <t>Panda</t>
  </si>
  <si>
    <t>Panda har hatt samme antall retter hvert år</t>
  </si>
  <si>
    <t>Mr. Choung har hatt samme antall retter hvert år</t>
  </si>
  <si>
    <t>Peking House har hatt samme antall retter hvert år</t>
  </si>
  <si>
    <t>Indoor</t>
  </si>
  <si>
    <t>Takeaway er 10% billigere</t>
  </si>
  <si>
    <t>solgt i okt</t>
  </si>
  <si>
    <t>Prosentsatser</t>
  </si>
  <si>
    <t>Vektet på prosentsatser fra oktober</t>
  </si>
  <si>
    <t>Les her</t>
  </si>
  <si>
    <t>Sum varekostnad</t>
  </si>
  <si>
    <t>Svinnet er diff. Mellom varekost i res.regnskap og den vi har kommet fram til.</t>
  </si>
  <si>
    <t>Restauranten har ikke endringer i menyen, så regresjonen vil ikke vise sjekke sammenheng mellom</t>
  </si>
  <si>
    <t>menystørrelse og salg.</t>
  </si>
  <si>
    <t>Beregner for resultateffekt</t>
  </si>
  <si>
    <t>Ny råvarekost</t>
  </si>
  <si>
    <t>Rabatt</t>
  </si>
  <si>
    <t>Endring volum</t>
  </si>
  <si>
    <t>SI Indoor</t>
  </si>
  <si>
    <t>SI takeaway</t>
  </si>
  <si>
    <t>Økt/red SI</t>
  </si>
  <si>
    <t>Endring tot SI</t>
  </si>
  <si>
    <t>Økt salgsinntekt</t>
  </si>
  <si>
    <t>Økt varekostnad</t>
  </si>
  <si>
    <t>Redusert svinn</t>
  </si>
  <si>
    <t>Økt svinn</t>
  </si>
  <si>
    <t>Dagens skattesats</t>
  </si>
  <si>
    <t>takeawaypris</t>
  </si>
  <si>
    <t>h26+h15+h20+h23</t>
  </si>
  <si>
    <t>Kvantumsrabatt 2%</t>
  </si>
  <si>
    <t>Utskrift av begivenhetene:</t>
  </si>
  <si>
    <t>0,67: Ordre 1 ankommer og betjenes umiddelbart</t>
  </si>
  <si>
    <t>6,93: Kokken ferdigbetjener ordre 1</t>
  </si>
  <si>
    <t>7,89: Ordre 2 ankommer og betjenes umiddelbart</t>
  </si>
  <si>
    <t>13,37: Kokken ferdigbetjener ordre 2</t>
  </si>
  <si>
    <t>13,65: Ordre 3 ankommer og betjenes umiddelbart</t>
  </si>
  <si>
    <t>19,58: Ordre 4 ankommer</t>
  </si>
  <si>
    <t>21,10: Kokken ferdigbetjener ordre 3 og starter på betjening av ordre 4</t>
  </si>
  <si>
    <t xml:space="preserve">24,56: Ordre 5 ankommer </t>
  </si>
  <si>
    <t>30,36: Kokken ferdigbetjener ordre 4 og starter på betjening av ordre 5</t>
  </si>
  <si>
    <t>35,99: Kokken ferdigbetjener ordre 5</t>
  </si>
  <si>
    <t>36,05: Ordre 6 ankommer og betjenes umiddelbart</t>
  </si>
  <si>
    <t>38.09: Ordre 7 ankommer</t>
  </si>
  <si>
    <t>40.26: Kokken ferdigbetjener ordre 6 og starter på betjening av ordre 7</t>
  </si>
  <si>
    <t>46,11: Ordre 8 ankommer</t>
  </si>
  <si>
    <t>49,32: Ordre 9 ankommer</t>
  </si>
  <si>
    <t>50,95: Kokken ferdigbetjener ordre 7 og starter på betjening av ordre 8</t>
  </si>
  <si>
    <t>57,14: Ordre 10 ankommer</t>
  </si>
  <si>
    <t>60,13: Ordre 11 ankommer</t>
  </si>
  <si>
    <t>60,69: Kokken ferdigbetjener ordre 8 og starter på betjening av ordre 9</t>
  </si>
  <si>
    <t>62,74: Ordre 12 ankommer</t>
  </si>
  <si>
    <t>65,78: Ordre 13 ankommer</t>
  </si>
  <si>
    <t>69,21: Kokken ferdigbetjener ordre 9 og starter på betjening av ordre 10</t>
  </si>
  <si>
    <t>70,60: Ordre 14 ankommer</t>
  </si>
  <si>
    <t>72,89: Ordre 15 ankommer</t>
  </si>
  <si>
    <t>82,66: Kokken ferdigbetjener ordre 10 og starter på betjening av ordre 11</t>
  </si>
  <si>
    <t>93,88: Kokken ferdigbetjener ordre 11 og starter på betjening av ordre 12</t>
  </si>
  <si>
    <t>112,53: Kokken ferdigbetjener ordre 12 og starter på betjening av ordre 13</t>
  </si>
  <si>
    <t>128,27: Kokken ferdigbetjener ordre 13 og starter på betjening av ordre 14</t>
  </si>
  <si>
    <t>140,91: Kokken ferdigbetjener ordre 14 og starter på betjening av ordre 15</t>
  </si>
  <si>
    <t>157,08: Kokken ferdigbetjener ordre 15</t>
  </si>
  <si>
    <t>Kvantumsrabatt kjøtt</t>
  </si>
  <si>
    <t>Lønnskostnad og tidsbruk</t>
  </si>
  <si>
    <t>Antall retter solgt ved ny meny</t>
  </si>
  <si>
    <t>Eliminerer=0</t>
  </si>
  <si>
    <t>Nye prosentsatser</t>
  </si>
  <si>
    <t>med overføring</t>
  </si>
  <si>
    <t>Varekost/SI</t>
  </si>
  <si>
    <t>Total varekost</t>
  </si>
  <si>
    <t>Varekost inkludert 5% svinn</t>
  </si>
  <si>
    <t>Total SI Takeaway</t>
  </si>
  <si>
    <t>Total SI Indoor</t>
  </si>
  <si>
    <t>Total ny SI</t>
  </si>
  <si>
    <t>Tidsbruk var synsing fra kokkene og kunne egentlig ikke brukes til noe</t>
  </si>
  <si>
    <t>=Økt resultat etter skatt</t>
  </si>
  <si>
    <t>= Økt resultat før skatt</t>
  </si>
  <si>
    <t>Økt skatt (25%)</t>
  </si>
  <si>
    <t xml:space="preserve">   Økt skatt (25%)</t>
  </si>
  <si>
    <t>= Økt resultat etter skatt</t>
  </si>
  <si>
    <t>Gjennomsnittlig tidsbruk</t>
  </si>
  <si>
    <t>Gjennomsnittlig matlagingstid på kjøkkenet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</si>
</sst>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0.000"/>
    <numFmt numFmtId="165" formatCode="0.0"/>
    <numFmt numFmtId="166" formatCode="0.0\ %"/>
    <numFmt numFmtId="167" formatCode="_-* #,##0_-;\-* #,##0_-;_-* &quot;-&quot;??_-;_-@_-"/>
    <numFmt numFmtId="170" formatCode="_-&quot;kr&quot;\ * #,##0_-;\-&quot;kr&quot;\ * #,##0_-;_-&quot;kr&quot;\ * &quot;-&quot;??_-;_-@_-"/>
  </numFmts>
  <fonts count="2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3.2"/>
      <color rgb="FF000000"/>
      <name val="Calibri"/>
      <family val="2"/>
    </font>
    <font>
      <sz val="13.2"/>
      <color theme="1"/>
      <name val="Arial"/>
      <family val="2"/>
    </font>
    <font>
      <sz val="14.4"/>
      <color rgb="FF000000"/>
      <name val="Calibri"/>
      <family val="2"/>
    </font>
    <font>
      <sz val="14.4"/>
      <color theme="1"/>
      <name val="Arial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4.4"/>
      <color rgb="FF000000"/>
      <name val="Calibri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3.2"/>
      <color rgb="FF000000"/>
      <name val="Calibri"/>
      <family val="2"/>
    </font>
    <font>
      <sz val="14.4"/>
      <color rgb="FF000000"/>
      <name val="Calibri"/>
      <family val="2"/>
    </font>
    <font>
      <sz val="13"/>
      <color theme="1"/>
      <name val="Arial"/>
      <family val="2"/>
    </font>
    <font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indexed="81"/>
      <name val="Tahoma"/>
      <family val="2"/>
    </font>
    <font>
      <sz val="12"/>
      <color theme="0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12"/>
      <color rgb="FF000000"/>
      <name val="Times New Roman"/>
    </font>
    <font>
      <sz val="2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28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70">
    <xf numFmtId="0" fontId="0" fillId="0" borderId="0" xfId="0"/>
    <xf numFmtId="1" fontId="0" fillId="0" borderId="0" xfId="0" applyNumberFormat="1"/>
    <xf numFmtId="9" fontId="0" fillId="0" borderId="0" xfId="0" applyNumberForma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9" fontId="9" fillId="0" borderId="0" xfId="0" applyNumberFormat="1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16" fontId="9" fillId="0" borderId="0" xfId="0" applyNumberFormat="1" applyFont="1"/>
    <xf numFmtId="0" fontId="9" fillId="0" borderId="0" xfId="1" applyNumberFormat="1" applyFont="1"/>
    <xf numFmtId="0" fontId="10" fillId="0" borderId="0" xfId="1" applyNumberFormat="1" applyFont="1"/>
    <xf numFmtId="2" fontId="0" fillId="0" borderId="0" xfId="0" applyNumberFormat="1"/>
    <xf numFmtId="43" fontId="0" fillId="0" borderId="0" xfId="1" applyFont="1"/>
    <xf numFmtId="0" fontId="15" fillId="0" borderId="0" xfId="0" applyFont="1"/>
    <xf numFmtId="10" fontId="0" fillId="0" borderId="0" xfId="0" applyNumberFormat="1"/>
    <xf numFmtId="0" fontId="16" fillId="0" borderId="0" xfId="0" applyFont="1"/>
    <xf numFmtId="0" fontId="0" fillId="0" borderId="0" xfId="0" applyFont="1"/>
    <xf numFmtId="0" fontId="17" fillId="0" borderId="0" xfId="0" applyFont="1"/>
    <xf numFmtId="164" fontId="0" fillId="0" borderId="0" xfId="0" applyNumberFormat="1"/>
    <xf numFmtId="0" fontId="7" fillId="0" borderId="1" xfId="0" applyFont="1" applyBorder="1"/>
    <xf numFmtId="0" fontId="0" fillId="0" borderId="2" xfId="0" applyBorder="1"/>
    <xf numFmtId="1" fontId="0" fillId="0" borderId="3" xfId="0" applyNumberFormat="1" applyBorder="1"/>
    <xf numFmtId="0" fontId="7" fillId="0" borderId="4" xfId="0" applyFont="1" applyBorder="1"/>
    <xf numFmtId="0" fontId="0" fillId="0" borderId="0" xfId="0" applyBorder="1"/>
    <xf numFmtId="1" fontId="0" fillId="0" borderId="5" xfId="0" applyNumberFormat="1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1" fontId="0" fillId="0" borderId="8" xfId="0" applyNumberFormat="1" applyBorder="1"/>
    <xf numFmtId="165" fontId="0" fillId="0" borderId="0" xfId="0" applyNumberFormat="1"/>
    <xf numFmtId="0" fontId="18" fillId="0" borderId="0" xfId="0" applyFont="1"/>
    <xf numFmtId="43" fontId="0" fillId="0" borderId="0" xfId="0" applyNumberFormat="1"/>
    <xf numFmtId="166" fontId="0" fillId="0" borderId="0" xfId="6" applyNumberFormat="1" applyFont="1"/>
    <xf numFmtId="0" fontId="0" fillId="0" borderId="9" xfId="0" applyBorder="1"/>
    <xf numFmtId="0" fontId="19" fillId="0" borderId="0" xfId="0" applyFont="1"/>
    <xf numFmtId="0" fontId="0" fillId="0" borderId="10" xfId="0" applyFill="1" applyBorder="1"/>
    <xf numFmtId="0" fontId="0" fillId="0" borderId="10" xfId="0" applyBorder="1"/>
    <xf numFmtId="43" fontId="19" fillId="0" borderId="0" xfId="0" applyNumberFormat="1" applyFont="1"/>
    <xf numFmtId="165" fontId="14" fillId="0" borderId="0" xfId="0" applyNumberFormat="1" applyFont="1"/>
    <xf numFmtId="43" fontId="0" fillId="0" borderId="10" xfId="0" applyNumberFormat="1" applyBorder="1"/>
    <xf numFmtId="0" fontId="0" fillId="0" borderId="11" xfId="0" applyBorder="1"/>
    <xf numFmtId="43" fontId="0" fillId="0" borderId="11" xfId="0" applyNumberFormat="1" applyBorder="1"/>
    <xf numFmtId="165" fontId="0" fillId="0" borderId="0" xfId="0" applyNumberFormat="1" applyBorder="1"/>
    <xf numFmtId="43" fontId="0" fillId="0" borderId="0" xfId="0" applyNumberFormat="1" applyBorder="1"/>
    <xf numFmtId="43" fontId="19" fillId="0" borderId="0" xfId="0" applyNumberFormat="1" applyFont="1" applyBorder="1"/>
    <xf numFmtId="9" fontId="0" fillId="0" borderId="0" xfId="0" applyNumberFormat="1" applyBorder="1"/>
    <xf numFmtId="10" fontId="0" fillId="0" borderId="0" xfId="6" applyNumberFormat="1" applyFont="1"/>
    <xf numFmtId="0" fontId="7" fillId="0" borderId="0" xfId="0" applyFont="1" applyBorder="1"/>
    <xf numFmtId="2" fontId="0" fillId="0" borderId="0" xfId="6" applyNumberFormat="1" applyFont="1"/>
    <xf numFmtId="0" fontId="0" fillId="0" borderId="0" xfId="0" applyFill="1" applyBorder="1" applyAlignment="1"/>
    <xf numFmtId="0" fontId="0" fillId="0" borderId="7" xfId="0" applyFill="1" applyBorder="1" applyAlignment="1"/>
    <xf numFmtId="0" fontId="20" fillId="0" borderId="12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Continuous"/>
    </xf>
    <xf numFmtId="167" fontId="0" fillId="0" borderId="0" xfId="1" applyNumberFormat="1" applyFont="1"/>
    <xf numFmtId="167" fontId="0" fillId="0" borderId="0" xfId="0" applyNumberFormat="1"/>
    <xf numFmtId="43" fontId="0" fillId="2" borderId="0" xfId="1" applyFont="1" applyFill="1" applyBorder="1" applyAlignment="1"/>
    <xf numFmtId="0" fontId="0" fillId="2" borderId="0" xfId="0" applyFill="1" applyBorder="1" applyAlignment="1"/>
    <xf numFmtId="0" fontId="0" fillId="2" borderId="7" xfId="0" applyFill="1" applyBorder="1" applyAlignment="1"/>
    <xf numFmtId="43" fontId="0" fillId="2" borderId="0" xfId="1" applyFont="1" applyFill="1"/>
    <xf numFmtId="9" fontId="0" fillId="0" borderId="0" xfId="6" applyFont="1"/>
    <xf numFmtId="2" fontId="0" fillId="0" borderId="0" xfId="0" applyNumberFormat="1" applyBorder="1"/>
    <xf numFmtId="1" fontId="0" fillId="0" borderId="0" xfId="0" applyNumberFormat="1" applyBorder="1"/>
    <xf numFmtId="0" fontId="16" fillId="0" borderId="0" xfId="0" applyFont="1" applyBorder="1"/>
    <xf numFmtId="43" fontId="3" fillId="0" borderId="0" xfId="1" applyFont="1"/>
    <xf numFmtId="43" fontId="3" fillId="0" borderId="0" xfId="0" applyNumberFormat="1" applyFont="1"/>
    <xf numFmtId="43" fontId="0" fillId="0" borderId="0" xfId="0" applyNumberFormat="1" applyFont="1"/>
    <xf numFmtId="0" fontId="0" fillId="0" borderId="13" xfId="0" applyFill="1" applyBorder="1"/>
    <xf numFmtId="1" fontId="0" fillId="0" borderId="13" xfId="0" applyNumberFormat="1" applyBorder="1"/>
    <xf numFmtId="43" fontId="0" fillId="0" borderId="0" xfId="1" applyNumberFormat="1" applyFont="1"/>
    <xf numFmtId="18" fontId="0" fillId="0" borderId="0" xfId="0" applyNumberFormat="1"/>
    <xf numFmtId="0" fontId="14" fillId="0" borderId="0" xfId="0" applyFont="1"/>
    <xf numFmtId="0" fontId="0" fillId="0" borderId="0" xfId="0" applyFill="1" applyBorder="1"/>
    <xf numFmtId="1" fontId="14" fillId="0" borderId="0" xfId="0" applyNumberFormat="1" applyFont="1" applyBorder="1"/>
    <xf numFmtId="10" fontId="0" fillId="0" borderId="0" xfId="6" applyNumberFormat="1" applyFont="1" applyBorder="1"/>
    <xf numFmtId="0" fontId="14" fillId="0" borderId="0" xfId="0" applyFont="1" applyBorder="1"/>
    <xf numFmtId="10" fontId="0" fillId="0" borderId="0" xfId="0" applyNumberFormat="1" applyBorder="1"/>
    <xf numFmtId="43" fontId="14" fillId="0" borderId="0" xfId="0" applyNumberFormat="1" applyFont="1"/>
    <xf numFmtId="0" fontId="0" fillId="3" borderId="0" xfId="0" applyFill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43" fontId="0" fillId="0" borderId="18" xfId="107" applyFont="1" applyBorder="1"/>
    <xf numFmtId="166" fontId="0" fillId="0" borderId="19" xfId="108" applyNumberFormat="1" applyFont="1" applyBorder="1"/>
    <xf numFmtId="0" fontId="0" fillId="0" borderId="20" xfId="0" applyBorder="1"/>
    <xf numFmtId="0" fontId="0" fillId="0" borderId="21" xfId="0" applyBorder="1"/>
    <xf numFmtId="43" fontId="0" fillId="0" borderId="21" xfId="107" applyFont="1" applyBorder="1"/>
    <xf numFmtId="166" fontId="0" fillId="0" borderId="22" xfId="108" applyNumberFormat="1" applyFont="1" applyBorder="1"/>
    <xf numFmtId="0" fontId="0" fillId="0" borderId="23" xfId="0" applyBorder="1"/>
    <xf numFmtId="0" fontId="0" fillId="0" borderId="24" xfId="0" applyBorder="1"/>
    <xf numFmtId="43" fontId="0" fillId="0" borderId="24" xfId="107" applyFont="1" applyBorder="1"/>
    <xf numFmtId="166" fontId="0" fillId="0" borderId="25" xfId="108" applyNumberFormat="1" applyFont="1" applyBorder="1"/>
    <xf numFmtId="0" fontId="0" fillId="3" borderId="0" xfId="0" applyFill="1" applyBorder="1"/>
    <xf numFmtId="43" fontId="0" fillId="3" borderId="0" xfId="107" applyFont="1" applyFill="1" applyBorder="1"/>
    <xf numFmtId="166" fontId="0" fillId="3" borderId="0" xfId="108" applyNumberFormat="1" applyFont="1" applyFill="1" applyBorder="1"/>
    <xf numFmtId="0" fontId="0" fillId="0" borderId="1" xfId="0" applyBorder="1"/>
    <xf numFmtId="0" fontId="0" fillId="0" borderId="3" xfId="0" applyBorder="1"/>
    <xf numFmtId="0" fontId="0" fillId="0" borderId="26" xfId="0" applyBorder="1"/>
    <xf numFmtId="0" fontId="0" fillId="0" borderId="27" xfId="0" applyBorder="1"/>
    <xf numFmtId="43" fontId="0" fillId="0" borderId="27" xfId="107" applyFont="1" applyBorder="1"/>
    <xf numFmtId="166" fontId="0" fillId="0" borderId="28" xfId="0" applyNumberFormat="1" applyBorder="1"/>
    <xf numFmtId="166" fontId="0" fillId="0" borderId="22" xfId="0" applyNumberFormat="1" applyBorder="1"/>
    <xf numFmtId="43" fontId="0" fillId="3" borderId="0" xfId="107" applyFont="1" applyFill="1"/>
    <xf numFmtId="166" fontId="0" fillId="3" borderId="0" xfId="108" applyNumberFormat="1" applyFont="1" applyFill="1"/>
    <xf numFmtId="0" fontId="0" fillId="0" borderId="29" xfId="0" applyBorder="1"/>
    <xf numFmtId="0" fontId="0" fillId="0" borderId="30" xfId="0" applyBorder="1"/>
    <xf numFmtId="0" fontId="0" fillId="0" borderId="31" xfId="0" applyBorder="1"/>
    <xf numFmtId="43" fontId="0" fillId="0" borderId="0" xfId="107" applyFont="1" applyBorder="1"/>
    <xf numFmtId="166" fontId="0" fillId="0" borderId="5" xfId="108" applyNumberFormat="1" applyFont="1" applyBorder="1"/>
    <xf numFmtId="43" fontId="0" fillId="0" borderId="7" xfId="107" applyFont="1" applyBorder="1"/>
    <xf numFmtId="166" fontId="0" fillId="0" borderId="8" xfId="108" applyNumberFormat="1" applyFont="1" applyBorder="1"/>
    <xf numFmtId="0" fontId="0" fillId="2" borderId="0" xfId="0" applyFill="1"/>
    <xf numFmtId="0" fontId="0" fillId="0" borderId="32" xfId="0" applyBorder="1"/>
    <xf numFmtId="0" fontId="0" fillId="0" borderId="33" xfId="0" applyBorder="1"/>
    <xf numFmtId="0" fontId="7" fillId="0" borderId="34" xfId="0" applyFont="1" applyBorder="1"/>
    <xf numFmtId="0" fontId="0" fillId="0" borderId="35" xfId="0" applyBorder="1"/>
    <xf numFmtId="0" fontId="21" fillId="0" borderId="0" xfId="0" applyFont="1" applyBorder="1"/>
    <xf numFmtId="165" fontId="0" fillId="0" borderId="35" xfId="0" applyNumberFormat="1" applyBorder="1"/>
    <xf numFmtId="0" fontId="0" fillId="0" borderId="34" xfId="0" applyBorder="1"/>
    <xf numFmtId="0" fontId="0" fillId="0" borderId="36" xfId="0" applyBorder="1"/>
    <xf numFmtId="165" fontId="0" fillId="0" borderId="37" xfId="0" applyNumberFormat="1" applyBorder="1"/>
    <xf numFmtId="43" fontId="0" fillId="2" borderId="0" xfId="0" applyNumberFormat="1" applyFill="1"/>
    <xf numFmtId="166" fontId="0" fillId="2" borderId="0" xfId="6" applyNumberFormat="1" applyFont="1" applyFill="1"/>
    <xf numFmtId="0" fontId="23" fillId="0" borderId="0" xfId="0" applyFont="1"/>
    <xf numFmtId="0" fontId="0" fillId="0" borderId="5" xfId="0" applyBorder="1"/>
    <xf numFmtId="0" fontId="0" fillId="0" borderId="8" xfId="0" applyBorder="1"/>
    <xf numFmtId="0" fontId="0" fillId="0" borderId="38" xfId="0" quotePrefix="1" applyBorder="1"/>
    <xf numFmtId="0" fontId="0" fillId="0" borderId="38" xfId="0" applyBorder="1"/>
    <xf numFmtId="0" fontId="0" fillId="0" borderId="39" xfId="0" quotePrefix="1" applyBorder="1"/>
    <xf numFmtId="0" fontId="0" fillId="0" borderId="39" xfId="0" applyBorder="1"/>
    <xf numFmtId="0" fontId="0" fillId="0" borderId="0" xfId="0" quotePrefix="1"/>
    <xf numFmtId="165" fontId="0" fillId="2" borderId="0" xfId="0" applyNumberFormat="1" applyFill="1"/>
    <xf numFmtId="0" fontId="26" fillId="0" borderId="40" xfId="0" applyFont="1" applyBorder="1"/>
    <xf numFmtId="0" fontId="26" fillId="0" borderId="41" xfId="0" applyFont="1" applyBorder="1"/>
    <xf numFmtId="0" fontId="26" fillId="0" borderId="13" xfId="0" applyFont="1" applyBorder="1"/>
    <xf numFmtId="0" fontId="0" fillId="0" borderId="0" xfId="0" applyFill="1"/>
    <xf numFmtId="43" fontId="0" fillId="0" borderId="0" xfId="1" applyFont="1" applyFill="1" applyBorder="1"/>
    <xf numFmtId="43" fontId="0" fillId="0" borderId="0" xfId="0" applyNumberFormat="1" applyFill="1" applyBorder="1"/>
    <xf numFmtId="2" fontId="0" fillId="0" borderId="0" xfId="0" applyNumberFormat="1" applyFill="1" applyBorder="1"/>
    <xf numFmtId="0" fontId="0" fillId="0" borderId="42" xfId="0" applyBorder="1"/>
    <xf numFmtId="43" fontId="0" fillId="0" borderId="43" xfId="0" applyNumberFormat="1" applyBorder="1"/>
    <xf numFmtId="0" fontId="0" fillId="2" borderId="42" xfId="0" applyFill="1" applyBorder="1"/>
    <xf numFmtId="166" fontId="0" fillId="2" borderId="43" xfId="6" applyNumberFormat="1" applyFont="1" applyFill="1" applyBorder="1"/>
    <xf numFmtId="43" fontId="0" fillId="0" borderId="30" xfId="1" applyFont="1" applyBorder="1"/>
    <xf numFmtId="43" fontId="3" fillId="0" borderId="31" xfId="1" applyFont="1" applyBorder="1"/>
    <xf numFmtId="0" fontId="8" fillId="2" borderId="0" xfId="0" applyFont="1" applyFill="1"/>
    <xf numFmtId="0" fontId="27" fillId="2" borderId="0" xfId="0" applyFont="1" applyFill="1"/>
    <xf numFmtId="0" fontId="23" fillId="0" borderId="0" xfId="0" applyFont="1" applyFill="1"/>
    <xf numFmtId="9" fontId="23" fillId="0" borderId="0" xfId="0" applyNumberFormat="1" applyFont="1" applyFill="1"/>
    <xf numFmtId="2" fontId="23" fillId="0" borderId="0" xfId="0" applyNumberFormat="1" applyFont="1" applyFill="1"/>
    <xf numFmtId="1" fontId="23" fillId="0" borderId="0" xfId="0" applyNumberFormat="1" applyFont="1" applyFill="1"/>
    <xf numFmtId="43" fontId="23" fillId="0" borderId="0" xfId="1" applyNumberFormat="1" applyFont="1" applyFill="1"/>
    <xf numFmtId="43" fontId="23" fillId="0" borderId="0" xfId="0" applyNumberFormat="1" applyFont="1" applyFill="1"/>
    <xf numFmtId="165" fontId="23" fillId="0" borderId="0" xfId="0" applyNumberFormat="1" applyFont="1" applyFill="1"/>
    <xf numFmtId="10" fontId="23" fillId="0" borderId="0" xfId="0" applyNumberFormat="1" applyFont="1" applyFill="1"/>
    <xf numFmtId="10" fontId="0" fillId="0" borderId="0" xfId="0" applyNumberFormat="1" applyFill="1"/>
    <xf numFmtId="44" fontId="0" fillId="0" borderId="0" xfId="125" applyFont="1" applyBorder="1"/>
    <xf numFmtId="44" fontId="0" fillId="0" borderId="0" xfId="125" applyFont="1"/>
    <xf numFmtId="44" fontId="0" fillId="0" borderId="9" xfId="125" applyFont="1" applyBorder="1"/>
    <xf numFmtId="44" fontId="0" fillId="0" borderId="38" xfId="125" applyFont="1" applyBorder="1"/>
    <xf numFmtId="44" fontId="0" fillId="0" borderId="39" xfId="125" applyFont="1" applyBorder="1"/>
    <xf numFmtId="0" fontId="23" fillId="0" borderId="0" xfId="0" applyFont="1" applyFill="1" applyBorder="1"/>
    <xf numFmtId="170" fontId="23" fillId="0" borderId="0" xfId="125" applyNumberFormat="1" applyFont="1" applyFill="1" applyBorder="1"/>
    <xf numFmtId="43" fontId="23" fillId="0" borderId="0" xfId="1" applyFont="1" applyFill="1" applyBorder="1"/>
    <xf numFmtId="43" fontId="23" fillId="0" borderId="0" xfId="0" applyNumberFormat="1" applyFont="1" applyFill="1" applyBorder="1"/>
    <xf numFmtId="0" fontId="23" fillId="0" borderId="0" xfId="0" quotePrefix="1" applyFont="1" applyFill="1" applyBorder="1"/>
  </cellXfs>
  <cellStyles count="128">
    <cellStyle name="Comma" xfId="1" builtinId="3"/>
    <cellStyle name="Comma 2" xfId="107"/>
    <cellStyle name="Currency" xfId="125" builtinId="4"/>
    <cellStyle name="Followed Hyperlink" xfId="3" builtinId="9" hidden="1"/>
    <cellStyle name="Followed Hyperlink" xfId="5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7" builtinId="9" hidden="1"/>
    <cellStyle name="Hyperlink" xfId="2" builtinId="8" hidden="1"/>
    <cellStyle name="Hyperlink" xfId="4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6" builtinId="8" hidden="1"/>
    <cellStyle name="Normal" xfId="0" builtinId="0"/>
    <cellStyle name="Percent" xfId="6" builtinId="5"/>
    <cellStyle name="Percent 2" xfId="108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externalLink" Target="externalLinks/externalLink1.xml"/><Relationship Id="rId15" Type="http://schemas.openxmlformats.org/officeDocument/2006/relationships/theme" Target="theme/theme1.xml"/><Relationship Id="rId16" Type="http://schemas.openxmlformats.org/officeDocument/2006/relationships/styles" Target="styles.xml"/><Relationship Id="rId17" Type="http://schemas.openxmlformats.org/officeDocument/2006/relationships/sharedStrings" Target="sharedStrings.xml"/><Relationship Id="rId1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Inntekt og kostnad fra mat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678031496062992"/>
          <c:y val="0.143935185185185"/>
          <c:w val="0.844106517935258"/>
          <c:h val="0.6149843248760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[1]Sheet1!$O$28:$O$33</c:f>
              <c:numCache>
                <c:formatCode>General</c:formatCode>
                <c:ptCount val="6"/>
                <c:pt idx="0">
                  <c:v>141075.0</c:v>
                </c:pt>
                <c:pt idx="1">
                  <c:v>160746.0</c:v>
                </c:pt>
                <c:pt idx="2">
                  <c:v>186244.0</c:v>
                </c:pt>
                <c:pt idx="3">
                  <c:v>169399.0</c:v>
                </c:pt>
                <c:pt idx="4">
                  <c:v>147271.0</c:v>
                </c:pt>
                <c:pt idx="5">
                  <c:v>171866.68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9E0-4BBA-8E4E-DA040D8C91E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[1]Sheet1!$P$28:$P$33</c:f>
              <c:numCache>
                <c:formatCode>General</c:formatCode>
                <c:ptCount val="6"/>
                <c:pt idx="0">
                  <c:v>686240.38</c:v>
                </c:pt>
                <c:pt idx="1">
                  <c:v>760233.3</c:v>
                </c:pt>
                <c:pt idx="2">
                  <c:v>893798.85</c:v>
                </c:pt>
                <c:pt idx="3">
                  <c:v>881749.6</c:v>
                </c:pt>
                <c:pt idx="4">
                  <c:v>825543.34</c:v>
                </c:pt>
                <c:pt idx="5">
                  <c:v>797353.25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9E0-4BBA-8E4E-DA040D8C91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2141328584"/>
        <c:axId val="-2096465656"/>
      </c:barChart>
      <c:catAx>
        <c:axId val="-2141328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96465656"/>
        <c:crosses val="autoZero"/>
        <c:auto val="1"/>
        <c:lblAlgn val="ctr"/>
        <c:lblOffset val="100"/>
        <c:noMultiLvlLbl val="0"/>
      </c:catAx>
      <c:valAx>
        <c:axId val="-2096465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1328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27215</xdr:rowOff>
    </xdr:from>
    <xdr:to>
      <xdr:col>5</xdr:col>
      <xdr:colOff>1576161</xdr:colOff>
      <xdr:row>30</xdr:row>
      <xdr:rowOff>129269</xdr:rowOff>
    </xdr:to>
    <xdr:graphicFrame macro="">
      <xdr:nvGraphicFramePr>
        <xdr:cNvPr id="2" name="Diagram 1">
          <a:extLst>
            <a:ext uri="{FF2B5EF4-FFF2-40B4-BE49-F238E27FC236}">
              <a16:creationId xmlns="" xmlns:a16="http://schemas.microsoft.com/office/drawing/2014/main" id="{D0B8D258-A76A-409A-A576-CD40B8F4A1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C/Users/Minh/Downloads/svingesverde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rk1"/>
    </sheetNames>
    <sheetDataSet>
      <sheetData sheetId="0">
        <row r="28">
          <cell r="O28">
            <v>141075</v>
          </cell>
          <cell r="P28">
            <v>686240.38</v>
          </cell>
        </row>
        <row r="29">
          <cell r="O29">
            <v>160746</v>
          </cell>
          <cell r="P29">
            <v>760233.3</v>
          </cell>
        </row>
        <row r="30">
          <cell r="O30">
            <v>186244</v>
          </cell>
          <cell r="P30">
            <v>893798.85000000009</v>
          </cell>
        </row>
        <row r="31">
          <cell r="O31">
            <v>169399</v>
          </cell>
          <cell r="P31">
            <v>881749.6</v>
          </cell>
        </row>
        <row r="32">
          <cell r="O32">
            <v>147271</v>
          </cell>
          <cell r="P32">
            <v>825543.34</v>
          </cell>
        </row>
        <row r="33">
          <cell r="O33">
            <v>171866.68</v>
          </cell>
          <cell r="P33">
            <v>797353.25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workbookViewId="0">
      <selection activeCell="G17" sqref="G17"/>
    </sheetView>
  </sheetViews>
  <sheetFormatPr baseColWidth="10" defaultRowHeight="15" x14ac:dyDescent="0"/>
  <cols>
    <col min="1" max="1" width="26.1640625" bestFit="1" customWidth="1"/>
    <col min="2" max="2" width="22.33203125" bestFit="1" customWidth="1"/>
    <col min="3" max="3" width="18.6640625" bestFit="1" customWidth="1"/>
    <col min="4" max="4" width="16.1640625" bestFit="1" customWidth="1"/>
    <col min="5" max="5" width="12.83203125" bestFit="1" customWidth="1"/>
    <col min="6" max="6" width="27.6640625" bestFit="1" customWidth="1"/>
    <col min="7" max="7" width="26.33203125" bestFit="1" customWidth="1"/>
    <col min="9" max="9" width="13.33203125" bestFit="1" customWidth="1"/>
    <col min="14" max="14" width="30.1640625" bestFit="1" customWidth="1"/>
    <col min="15" max="15" width="16.83203125" bestFit="1" customWidth="1"/>
    <col min="16" max="16" width="14.1640625" bestFit="1" customWidth="1"/>
  </cols>
  <sheetData>
    <row r="1" spans="1:14" ht="18">
      <c r="B1" t="s">
        <v>68</v>
      </c>
      <c r="C1" t="s">
        <v>323</v>
      </c>
      <c r="D1" t="s">
        <v>91</v>
      </c>
      <c r="F1" s="6"/>
      <c r="G1" s="6"/>
      <c r="L1" s="6"/>
      <c r="M1" s="6"/>
      <c r="N1" s="6"/>
    </row>
    <row r="2" spans="1:14" ht="18">
      <c r="A2" t="s">
        <v>322</v>
      </c>
      <c r="B2" s="15">
        <v>141075</v>
      </c>
      <c r="C2" s="15">
        <f>271945.6+414294.78</f>
        <v>686240.38</v>
      </c>
      <c r="D2" s="66">
        <f t="shared" ref="D2:D7" si="0">B2/C2</f>
        <v>0.20557665230950123</v>
      </c>
      <c r="F2" s="6"/>
      <c r="I2" s="15"/>
      <c r="L2" s="6"/>
      <c r="M2" s="6"/>
      <c r="N2" s="6"/>
    </row>
    <row r="3" spans="1:14" ht="19" thickBot="1">
      <c r="A3" t="s">
        <v>69</v>
      </c>
      <c r="B3" s="15">
        <v>160746</v>
      </c>
      <c r="C3" s="15">
        <f>182797.6+199709.7+144692+233034</f>
        <v>760233.3</v>
      </c>
      <c r="D3" s="66">
        <f t="shared" si="0"/>
        <v>0.21144298730402888</v>
      </c>
      <c r="F3" s="20"/>
      <c r="L3" s="6"/>
    </row>
    <row r="4" spans="1:14" ht="18" thickBot="1">
      <c r="A4" s="108" t="s">
        <v>70</v>
      </c>
      <c r="B4" s="147">
        <v>186244</v>
      </c>
      <c r="C4" s="147">
        <f>399303.2+494495.65</f>
        <v>893798.85000000009</v>
      </c>
      <c r="D4" s="148">
        <f t="shared" si="0"/>
        <v>0.20837350596277895</v>
      </c>
      <c r="G4" s="34"/>
      <c r="L4" s="6"/>
      <c r="M4" s="6"/>
      <c r="N4" s="6"/>
    </row>
    <row r="5" spans="1:14" ht="18">
      <c r="A5" t="s">
        <v>71</v>
      </c>
      <c r="B5" s="15">
        <v>169399</v>
      </c>
      <c r="C5" s="15">
        <f>363929.6+517820</f>
        <v>881749.6</v>
      </c>
      <c r="D5" s="66">
        <f t="shared" si="0"/>
        <v>0.19211690030820541</v>
      </c>
      <c r="F5" s="6"/>
      <c r="L5" s="6"/>
      <c r="M5" s="6"/>
      <c r="N5" s="5"/>
    </row>
    <row r="6" spans="1:14" ht="18">
      <c r="A6" t="s">
        <v>72</v>
      </c>
      <c r="B6" s="15">
        <v>147271</v>
      </c>
      <c r="C6" s="15">
        <f>313981.6+511561.74</f>
        <v>825543.34</v>
      </c>
      <c r="D6" s="66">
        <f t="shared" si="0"/>
        <v>0.17839281460377357</v>
      </c>
      <c r="F6" s="6"/>
      <c r="L6" s="6"/>
      <c r="M6" s="6"/>
      <c r="N6" s="6"/>
    </row>
    <row r="7" spans="1:14" ht="18">
      <c r="A7" t="s">
        <v>73</v>
      </c>
      <c r="B7" s="15">
        <v>171866.68</v>
      </c>
      <c r="C7" s="15">
        <f>797353.25</f>
        <v>797353.25</v>
      </c>
      <c r="D7" s="66">
        <f t="shared" si="0"/>
        <v>0.21554647203106025</v>
      </c>
      <c r="F7" s="6"/>
      <c r="L7" s="6"/>
      <c r="M7" s="6"/>
      <c r="N7" s="6"/>
    </row>
    <row r="8" spans="1:14" ht="18">
      <c r="A8" s="16" t="s">
        <v>74</v>
      </c>
      <c r="B8" s="66">
        <f>SUM(B2:B7)</f>
        <v>976601.67999999993</v>
      </c>
      <c r="C8" s="68">
        <f>SUM(C2:C7)</f>
        <v>4844918.7200000007</v>
      </c>
      <c r="F8" s="6"/>
      <c r="L8" s="6"/>
      <c r="M8" s="6"/>
      <c r="N8" s="6"/>
    </row>
    <row r="9" spans="1:14" ht="18">
      <c r="A9" t="s">
        <v>324</v>
      </c>
      <c r="B9" s="15">
        <f>B8/6</f>
        <v>162766.94666666666</v>
      </c>
      <c r="C9" s="34">
        <f>SUM(C2:C7)/6</f>
        <v>807486.45333333348</v>
      </c>
      <c r="D9" s="67">
        <f>(D2+D3+D4+D5+D6+D7)/6</f>
        <v>0.20190822208655804</v>
      </c>
      <c r="F9" s="6"/>
      <c r="L9" s="6"/>
      <c r="M9" s="6"/>
      <c r="N9" s="6"/>
    </row>
    <row r="10" spans="1:14" ht="19">
      <c r="F10" s="6"/>
      <c r="L10" s="6"/>
      <c r="M10" s="6"/>
      <c r="N10" s="5"/>
    </row>
    <row r="11" spans="1:14" ht="18">
      <c r="F11" s="6"/>
      <c r="L11" s="6"/>
      <c r="M11" s="6"/>
      <c r="N11" s="6"/>
    </row>
    <row r="12" spans="1:14" ht="18">
      <c r="F12" s="6"/>
      <c r="L12" s="6"/>
      <c r="M12" s="6"/>
      <c r="N12" s="6"/>
    </row>
    <row r="13" spans="1:14" ht="19">
      <c r="A13" s="5"/>
      <c r="B13" s="12"/>
      <c r="C13" s="5"/>
      <c r="D13" s="6"/>
      <c r="E13" s="6"/>
      <c r="F13" s="6"/>
      <c r="L13" s="6"/>
      <c r="M13" s="6"/>
      <c r="N13" s="6"/>
    </row>
    <row r="14" spans="1:14" ht="19">
      <c r="A14" s="5"/>
      <c r="B14" s="12"/>
      <c r="C14" s="5"/>
      <c r="D14" s="6"/>
      <c r="E14" s="6"/>
      <c r="F14" s="6"/>
      <c r="G14" s="6"/>
      <c r="H14" s="6"/>
      <c r="I14" s="6"/>
      <c r="J14" s="6"/>
      <c r="K14" s="5"/>
      <c r="L14" s="6"/>
      <c r="M14" s="6"/>
      <c r="N14" s="6"/>
    </row>
    <row r="15" spans="1:14" ht="19">
      <c r="A15" s="5"/>
      <c r="B15" s="12"/>
      <c r="C15" s="5"/>
      <c r="D15" s="6"/>
      <c r="E15" s="6"/>
      <c r="F15" s="6"/>
      <c r="G15" s="6"/>
      <c r="H15" s="6"/>
      <c r="I15" s="6"/>
      <c r="J15" s="5"/>
      <c r="K15" s="6"/>
      <c r="L15" s="6"/>
      <c r="M15" s="6"/>
      <c r="N15" s="6"/>
    </row>
    <row r="16" spans="1:14" ht="19">
      <c r="A16" s="5"/>
      <c r="B16" s="12"/>
      <c r="C16" s="5"/>
      <c r="D16" s="6"/>
      <c r="E16" s="6"/>
      <c r="F16" s="6"/>
      <c r="G16" s="6"/>
      <c r="H16" s="6"/>
      <c r="I16" s="6"/>
      <c r="J16" s="5"/>
      <c r="K16" s="6"/>
      <c r="L16" s="6"/>
      <c r="M16" s="6"/>
      <c r="N16" s="5"/>
    </row>
    <row r="17" spans="1:14" ht="19">
      <c r="A17" s="5"/>
      <c r="B17" s="13"/>
      <c r="C17" s="5"/>
      <c r="D17" s="6"/>
      <c r="E17" s="6"/>
      <c r="F17" s="6"/>
      <c r="G17" s="6"/>
      <c r="H17" s="6"/>
      <c r="I17" s="6"/>
      <c r="J17" s="5"/>
      <c r="K17" s="6"/>
      <c r="L17" s="6"/>
      <c r="M17" s="6"/>
      <c r="N17" s="6"/>
    </row>
    <row r="18" spans="1:14" ht="18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19">
      <c r="A19" s="5"/>
      <c r="B19" s="5"/>
      <c r="C19" s="5"/>
      <c r="D19" s="6"/>
      <c r="E19" s="6"/>
      <c r="F19" s="6"/>
      <c r="G19" s="6"/>
      <c r="H19" s="6"/>
      <c r="I19" s="6"/>
      <c r="J19" s="5"/>
      <c r="K19" s="6"/>
      <c r="L19" s="6"/>
      <c r="M19" s="6"/>
      <c r="N19" s="6"/>
    </row>
    <row r="20" spans="1:14" ht="19">
      <c r="A20" s="5"/>
      <c r="B20" s="5"/>
      <c r="C20" s="5"/>
      <c r="D20" s="6"/>
      <c r="E20" s="6"/>
      <c r="F20" s="6"/>
      <c r="G20" s="6"/>
      <c r="H20" s="6"/>
      <c r="I20" s="6"/>
      <c r="J20" s="5"/>
      <c r="K20" s="6"/>
      <c r="L20" s="6"/>
      <c r="M20" s="6"/>
      <c r="N20" s="6"/>
    </row>
    <row r="21" spans="1:14" ht="19">
      <c r="A21" s="5"/>
      <c r="B21" s="5"/>
      <c r="C21" s="5"/>
      <c r="D21" s="6"/>
      <c r="E21" s="6"/>
      <c r="F21" s="6"/>
      <c r="G21" s="6"/>
      <c r="H21" s="6"/>
      <c r="I21" s="6"/>
      <c r="J21" s="5"/>
      <c r="K21" s="8"/>
      <c r="L21" s="6"/>
      <c r="M21" s="6"/>
      <c r="N21" s="6"/>
    </row>
    <row r="22" spans="1:14" ht="19">
      <c r="A22" s="5"/>
      <c r="B22" s="5"/>
      <c r="C22" s="5"/>
      <c r="D22" s="6"/>
      <c r="E22" s="6"/>
      <c r="F22" s="6"/>
      <c r="G22" s="6"/>
      <c r="H22" s="6"/>
      <c r="I22" s="6"/>
      <c r="J22" s="5"/>
      <c r="K22" s="8"/>
      <c r="L22" s="6"/>
      <c r="M22" s="6"/>
      <c r="N22" s="6"/>
    </row>
    <row r="23" spans="1:14" ht="19">
      <c r="A23" s="5"/>
      <c r="B23" s="5"/>
      <c r="C23" s="5"/>
      <c r="D23" s="6"/>
      <c r="E23" s="6"/>
      <c r="F23" s="6"/>
      <c r="G23" s="6"/>
      <c r="H23" s="6"/>
      <c r="I23" s="6"/>
      <c r="J23" s="5"/>
      <c r="K23" s="6"/>
      <c r="L23" s="6"/>
      <c r="M23" s="6"/>
      <c r="N23" s="5"/>
    </row>
    <row r="24" spans="1:14" ht="19">
      <c r="A24" s="5"/>
      <c r="B24" s="5"/>
      <c r="C24" s="5"/>
      <c r="D24" s="6"/>
      <c r="E24" s="6"/>
      <c r="F24" s="6"/>
      <c r="G24" s="6"/>
      <c r="H24" s="6"/>
      <c r="I24" s="6"/>
      <c r="J24" s="5"/>
      <c r="K24" s="8"/>
      <c r="L24" s="6"/>
      <c r="M24" s="6"/>
    </row>
    <row r="25" spans="1:14" ht="19">
      <c r="A25" s="5"/>
      <c r="B25" s="5"/>
      <c r="C25" s="5"/>
      <c r="D25" s="6"/>
      <c r="E25" s="6"/>
      <c r="F25" s="6"/>
      <c r="G25" s="6"/>
      <c r="H25" s="6"/>
      <c r="I25" s="6"/>
      <c r="J25" s="5"/>
      <c r="K25" s="6"/>
      <c r="L25" s="6"/>
      <c r="M25" s="6"/>
    </row>
    <row r="26" spans="1:14" ht="19">
      <c r="A26" s="5"/>
      <c r="B26" s="5"/>
      <c r="C26" s="5"/>
      <c r="D26" s="6"/>
      <c r="E26" s="6"/>
      <c r="F26" s="6"/>
      <c r="G26" s="6"/>
      <c r="H26" s="6"/>
      <c r="I26" s="6"/>
      <c r="J26" s="5"/>
      <c r="K26" s="8"/>
      <c r="L26" s="6"/>
      <c r="M26" s="6"/>
    </row>
    <row r="27" spans="1:14" ht="19">
      <c r="A27" s="5"/>
      <c r="B27" s="5"/>
      <c r="C27" s="5"/>
      <c r="D27" s="6"/>
      <c r="E27" s="6"/>
      <c r="F27" s="6"/>
      <c r="G27" s="6"/>
      <c r="H27" s="6"/>
      <c r="I27" s="6"/>
      <c r="J27" s="5"/>
      <c r="K27" s="6"/>
      <c r="L27" s="6"/>
      <c r="M27" s="6"/>
    </row>
    <row r="28" spans="1:14" ht="18">
      <c r="A28" s="8"/>
      <c r="B28" s="8"/>
      <c r="C28" s="8"/>
      <c r="D28" s="8"/>
      <c r="E28" s="8"/>
      <c r="F28" s="8"/>
      <c r="G28" s="8"/>
      <c r="H28" s="8"/>
      <c r="I28" s="8"/>
      <c r="J28" s="8"/>
      <c r="K28" s="6"/>
      <c r="L28" s="6"/>
      <c r="M28" s="6"/>
    </row>
    <row r="29" spans="1:14" ht="18">
      <c r="A29" s="9"/>
      <c r="B29" s="8"/>
      <c r="C29" s="8"/>
      <c r="D29" s="8"/>
      <c r="E29" s="8"/>
      <c r="F29" s="8"/>
      <c r="G29" s="8"/>
      <c r="H29" s="8"/>
      <c r="I29" s="8"/>
      <c r="J29" s="8"/>
      <c r="K29" s="6"/>
      <c r="L29" s="6"/>
      <c r="M29" s="6"/>
    </row>
    <row r="30" spans="1:14" ht="19">
      <c r="A30" s="5"/>
      <c r="B30" s="5"/>
      <c r="C30" s="6"/>
      <c r="D30" s="6"/>
      <c r="E30" s="6"/>
      <c r="F30" s="6"/>
      <c r="G30" s="6"/>
      <c r="H30" s="6"/>
      <c r="I30" s="6"/>
      <c r="J30" s="5"/>
      <c r="K30" s="6"/>
      <c r="L30" s="6"/>
      <c r="M30" s="6"/>
    </row>
    <row r="31" spans="1:14" ht="19">
      <c r="A31" s="5"/>
      <c r="B31" s="5"/>
      <c r="C31" s="5"/>
      <c r="D31" s="6"/>
      <c r="E31" s="6"/>
      <c r="F31" s="6"/>
      <c r="G31" s="6"/>
      <c r="H31" s="6"/>
      <c r="I31" s="6"/>
      <c r="J31" s="5"/>
      <c r="K31" s="6"/>
      <c r="L31" s="6"/>
      <c r="M31" s="6"/>
    </row>
    <row r="32" spans="1:14" ht="18">
      <c r="A32" s="8"/>
      <c r="B32" s="8"/>
      <c r="C32" s="8"/>
      <c r="D32" s="8"/>
      <c r="E32" s="8"/>
      <c r="F32" s="8"/>
      <c r="G32" s="8"/>
      <c r="H32" s="8"/>
      <c r="I32" s="8"/>
      <c r="J32" s="8"/>
      <c r="K32" s="6"/>
      <c r="L32" s="6"/>
      <c r="M32" s="6"/>
    </row>
    <row r="33" spans="1:14" ht="19">
      <c r="A33" s="5"/>
      <c r="B33" s="20"/>
      <c r="C33" s="5"/>
      <c r="D33" s="6"/>
      <c r="E33" s="6"/>
      <c r="F33" s="6"/>
      <c r="G33" s="6"/>
      <c r="H33" s="6"/>
      <c r="I33" s="6"/>
      <c r="J33" s="5"/>
      <c r="K33" s="6"/>
      <c r="L33" s="6"/>
      <c r="M33" s="6"/>
    </row>
    <row r="34" spans="1:14" ht="18">
      <c r="A34" s="8"/>
      <c r="B34" s="33"/>
      <c r="C34" s="8"/>
      <c r="D34" s="8"/>
      <c r="E34" s="8"/>
      <c r="F34" s="8"/>
      <c r="G34" s="8"/>
      <c r="H34" s="8"/>
      <c r="I34" s="8"/>
      <c r="J34" s="8"/>
      <c r="K34" s="6"/>
      <c r="L34" s="6"/>
      <c r="M34" s="6"/>
    </row>
    <row r="35" spans="1:14" ht="19">
      <c r="A35" s="5"/>
      <c r="B35" s="5"/>
      <c r="C35" s="5"/>
      <c r="D35" s="6"/>
      <c r="E35" s="6"/>
      <c r="F35" s="6"/>
      <c r="G35" s="6"/>
      <c r="H35" s="6"/>
      <c r="I35" s="6"/>
      <c r="J35" s="5"/>
      <c r="K35" s="6"/>
      <c r="L35" s="6"/>
      <c r="M35" s="6"/>
    </row>
    <row r="36" spans="1:14" ht="19">
      <c r="A36" s="5"/>
      <c r="B36" s="5"/>
      <c r="C36" s="5"/>
      <c r="D36" s="6"/>
      <c r="E36" s="6"/>
      <c r="F36" s="6"/>
      <c r="G36" s="6"/>
      <c r="H36" s="6"/>
      <c r="I36" s="6"/>
      <c r="J36" s="5"/>
      <c r="K36" s="6"/>
      <c r="L36" s="6"/>
      <c r="M36" s="6"/>
    </row>
    <row r="37" spans="1:14" ht="19">
      <c r="A37" s="5"/>
      <c r="B37" s="5"/>
      <c r="C37" s="5"/>
      <c r="D37" s="6"/>
      <c r="E37" s="6"/>
      <c r="F37" s="6"/>
      <c r="G37" s="6"/>
      <c r="H37" s="6"/>
      <c r="I37" s="6"/>
      <c r="J37" s="6"/>
      <c r="K37" s="6"/>
      <c r="L37" s="8"/>
      <c r="M37" s="8"/>
      <c r="N37" s="8"/>
    </row>
    <row r="38" spans="1:14" ht="19">
      <c r="A38" s="5"/>
      <c r="B38" s="6"/>
      <c r="C38" s="5"/>
      <c r="D38" s="6"/>
      <c r="E38" s="6"/>
      <c r="F38" s="6"/>
      <c r="G38" s="6"/>
      <c r="H38" s="6"/>
      <c r="I38" s="6"/>
      <c r="J38" s="5"/>
      <c r="K38" s="6"/>
      <c r="L38" s="8"/>
      <c r="M38" s="8"/>
      <c r="N38" s="8"/>
    </row>
    <row r="39" spans="1:14" ht="19">
      <c r="A39" s="5"/>
      <c r="B39" s="6"/>
      <c r="C39" s="5"/>
      <c r="D39" s="6"/>
      <c r="E39" s="6"/>
      <c r="F39" s="6"/>
      <c r="G39" s="6"/>
      <c r="H39" s="6"/>
      <c r="I39" s="6"/>
      <c r="J39" s="5"/>
      <c r="K39" s="6"/>
      <c r="L39" s="8"/>
      <c r="M39" s="8"/>
      <c r="N39" s="8"/>
    </row>
    <row r="40" spans="1:14" ht="19">
      <c r="A40" s="5"/>
      <c r="B40" s="5"/>
      <c r="C40" s="5"/>
      <c r="D40" s="6"/>
      <c r="E40" s="6"/>
      <c r="F40" s="6"/>
      <c r="G40" s="6"/>
      <c r="H40" s="6"/>
      <c r="I40" s="6"/>
      <c r="J40" s="5"/>
      <c r="K40" s="6"/>
      <c r="L40" s="8"/>
      <c r="M40" s="8"/>
      <c r="N40" s="8"/>
    </row>
    <row r="41" spans="1:14" ht="19">
      <c r="A41" s="5"/>
      <c r="B41" s="5"/>
      <c r="C41" s="5"/>
      <c r="D41" s="6"/>
      <c r="E41" s="6"/>
      <c r="F41" s="6"/>
      <c r="G41" s="6"/>
      <c r="H41" s="6"/>
      <c r="I41" s="6"/>
      <c r="J41" s="5"/>
      <c r="K41" s="8"/>
      <c r="L41" s="8"/>
      <c r="M41" s="8"/>
      <c r="N41" s="8"/>
    </row>
    <row r="42" spans="1:14" ht="19">
      <c r="A42" s="5"/>
      <c r="B42" s="5"/>
      <c r="C42" s="5"/>
      <c r="D42" s="6"/>
      <c r="E42" s="6"/>
      <c r="F42" s="6"/>
      <c r="G42" s="6"/>
      <c r="H42" s="6"/>
      <c r="I42" s="6"/>
      <c r="J42" s="6"/>
      <c r="K42" s="5"/>
      <c r="L42" s="8"/>
      <c r="M42" s="8"/>
      <c r="N42" s="8"/>
    </row>
    <row r="43" spans="1:14" ht="17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7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7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9">
      <c r="A46" s="10"/>
      <c r="B46" s="6"/>
      <c r="C46" s="6"/>
      <c r="D46" s="6"/>
      <c r="E46" s="6"/>
      <c r="F46" s="6"/>
      <c r="G46" s="6"/>
      <c r="H46" s="6"/>
      <c r="I46" s="6"/>
      <c r="J46" s="6"/>
      <c r="K46" s="6"/>
      <c r="L46" s="8"/>
      <c r="M46" s="8"/>
      <c r="N46" s="8"/>
    </row>
    <row r="47" spans="1:14" ht="18">
      <c r="A47" s="8"/>
      <c r="B47" s="8"/>
      <c r="C47" s="8"/>
      <c r="D47" s="8"/>
      <c r="E47" s="8"/>
      <c r="F47" s="8"/>
      <c r="G47" s="8"/>
      <c r="H47" s="8"/>
      <c r="I47" s="8"/>
      <c r="J47" s="8"/>
      <c r="K47" s="6"/>
      <c r="L47" s="8"/>
      <c r="M47" s="8"/>
      <c r="N47" s="8"/>
    </row>
    <row r="48" spans="1:14" ht="19">
      <c r="A48" s="5"/>
      <c r="B48" s="5"/>
      <c r="C48" s="5"/>
      <c r="D48" s="6"/>
      <c r="E48" s="7"/>
      <c r="F48" s="6"/>
      <c r="G48" s="6"/>
      <c r="H48" s="6"/>
      <c r="I48" s="6"/>
      <c r="J48" s="5"/>
      <c r="K48" s="6"/>
      <c r="L48" s="8"/>
      <c r="M48" s="8"/>
      <c r="N48" s="8"/>
    </row>
    <row r="49" spans="1:14" ht="19">
      <c r="A49" s="5"/>
      <c r="B49" s="5"/>
      <c r="C49" s="5"/>
      <c r="D49" s="6"/>
      <c r="E49" s="6"/>
      <c r="F49" s="6"/>
      <c r="G49" s="6"/>
      <c r="H49" s="6"/>
      <c r="I49" s="6"/>
      <c r="J49" s="5"/>
      <c r="K49" s="6"/>
      <c r="L49" s="8"/>
      <c r="M49" s="8"/>
      <c r="N49" s="8"/>
    </row>
    <row r="50" spans="1:14" ht="19">
      <c r="A50" s="5"/>
      <c r="B50" s="5"/>
      <c r="C50" s="6"/>
      <c r="D50" s="6"/>
      <c r="E50" s="6"/>
      <c r="F50" s="6"/>
      <c r="G50" s="6"/>
      <c r="H50" s="6"/>
      <c r="I50" s="6"/>
      <c r="J50" s="5"/>
      <c r="K50" s="6"/>
      <c r="L50" s="8"/>
      <c r="M50" s="8"/>
      <c r="N50" s="8"/>
    </row>
    <row r="51" spans="1:14" ht="19">
      <c r="A51" s="5"/>
      <c r="B51" s="5"/>
      <c r="C51" s="5"/>
      <c r="D51" s="6"/>
      <c r="E51" s="6"/>
      <c r="F51" s="6"/>
      <c r="G51" s="6"/>
      <c r="H51" s="6"/>
      <c r="I51" s="6"/>
      <c r="J51" s="5"/>
      <c r="K51" s="6"/>
      <c r="L51" s="8"/>
      <c r="M51" s="8"/>
      <c r="N51" s="8"/>
    </row>
    <row r="52" spans="1:14" ht="19">
      <c r="A52" s="5"/>
      <c r="B52" s="5"/>
      <c r="C52" s="5"/>
      <c r="D52" s="6"/>
      <c r="E52" s="7"/>
      <c r="F52" s="6"/>
      <c r="G52" s="6"/>
      <c r="H52" s="6"/>
      <c r="I52" s="6"/>
      <c r="J52" s="5"/>
      <c r="K52" s="6"/>
      <c r="L52" s="8"/>
      <c r="M52" s="8"/>
      <c r="N52" s="8"/>
    </row>
    <row r="53" spans="1:14" ht="17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9">
      <c r="A54" s="5"/>
      <c r="B54" s="5"/>
      <c r="C54" s="5"/>
      <c r="D54" s="6"/>
      <c r="E54" s="6"/>
      <c r="F54" s="6"/>
      <c r="G54" s="6"/>
      <c r="H54" s="6"/>
      <c r="I54" s="6"/>
      <c r="J54" s="5"/>
      <c r="K54" s="6"/>
      <c r="L54" s="8"/>
      <c r="M54" s="8"/>
      <c r="N54" s="8"/>
    </row>
    <row r="55" spans="1:14" ht="19">
      <c r="A55" s="5"/>
      <c r="B55" s="5"/>
      <c r="C55" s="5"/>
      <c r="D55" s="6"/>
      <c r="E55" s="6"/>
      <c r="F55" s="6"/>
      <c r="G55" s="6"/>
      <c r="H55" s="6"/>
      <c r="I55" s="6"/>
      <c r="J55" s="5"/>
      <c r="K55" s="6"/>
      <c r="L55" s="8"/>
      <c r="M55" s="8"/>
      <c r="N55" s="8"/>
    </row>
    <row r="56" spans="1:14" ht="19">
      <c r="A56" s="5"/>
      <c r="B56" s="5"/>
      <c r="C56" s="5"/>
      <c r="D56" s="6"/>
      <c r="E56" s="6"/>
      <c r="F56" s="6"/>
      <c r="G56" s="6"/>
      <c r="H56" s="6"/>
      <c r="I56" s="6"/>
      <c r="J56" s="5"/>
      <c r="K56" s="6"/>
      <c r="L56" s="8"/>
      <c r="M56" s="8"/>
      <c r="N56" s="8"/>
    </row>
    <row r="57" spans="1:14" ht="19">
      <c r="A57" s="5"/>
      <c r="B57" s="5"/>
      <c r="C57" s="5"/>
      <c r="D57" s="6"/>
      <c r="E57" s="6"/>
      <c r="F57" s="6"/>
      <c r="G57" s="6"/>
      <c r="H57" s="6"/>
      <c r="I57" s="6"/>
      <c r="J57" s="5"/>
      <c r="K57" s="6"/>
      <c r="L57" s="8"/>
      <c r="M57" s="8"/>
      <c r="N57" s="8"/>
    </row>
    <row r="58" spans="1:14" ht="19">
      <c r="A58" s="5"/>
      <c r="B58" s="5"/>
      <c r="C58" s="5"/>
      <c r="D58" s="6"/>
      <c r="E58" s="6"/>
      <c r="F58" s="6"/>
      <c r="G58" s="6"/>
      <c r="H58" s="6"/>
      <c r="I58" s="6"/>
      <c r="J58" s="5"/>
      <c r="K58" s="6"/>
      <c r="L58" s="8"/>
      <c r="M58" s="8"/>
      <c r="N58" s="8"/>
    </row>
    <row r="59" spans="1:14" ht="19">
      <c r="A59" s="5"/>
      <c r="B59" s="5"/>
      <c r="C59" s="5"/>
      <c r="D59" s="6"/>
      <c r="E59" s="6"/>
      <c r="F59" s="6"/>
      <c r="G59" s="6"/>
      <c r="H59" s="6"/>
      <c r="I59" s="6"/>
      <c r="J59" s="5"/>
      <c r="K59" s="6"/>
      <c r="L59" s="8"/>
      <c r="M59" s="8"/>
      <c r="N59" s="8"/>
    </row>
    <row r="60" spans="1:14" ht="19">
      <c r="A60" s="5"/>
      <c r="B60" s="5"/>
      <c r="C60" s="5"/>
      <c r="D60" s="6"/>
      <c r="E60" s="6"/>
      <c r="F60" s="6"/>
      <c r="G60" s="6"/>
      <c r="H60" s="6"/>
      <c r="I60" s="6"/>
      <c r="J60" s="5"/>
      <c r="K60" s="6"/>
      <c r="L60" s="8"/>
      <c r="M60" s="8"/>
      <c r="N60" s="8"/>
    </row>
    <row r="61" spans="1:14" ht="19">
      <c r="A61" s="5"/>
      <c r="B61" s="5"/>
      <c r="C61" s="5"/>
      <c r="D61" s="5"/>
      <c r="E61" s="7"/>
      <c r="F61" s="6"/>
      <c r="G61" s="6"/>
      <c r="H61" s="6"/>
      <c r="I61" s="6"/>
      <c r="J61" s="5"/>
      <c r="K61" s="5"/>
      <c r="L61" s="8"/>
      <c r="M61" s="8"/>
      <c r="N61" s="8"/>
    </row>
    <row r="62" spans="1:14" ht="19">
      <c r="A62" s="5"/>
      <c r="B62" s="5"/>
      <c r="C62" s="5"/>
      <c r="D62" s="5"/>
      <c r="E62" s="7"/>
      <c r="F62" s="6"/>
      <c r="G62" s="6"/>
      <c r="H62" s="6"/>
      <c r="I62" s="6"/>
      <c r="J62" s="5"/>
      <c r="K62" s="5"/>
      <c r="L62" s="8"/>
      <c r="M62" s="8"/>
      <c r="N62" s="8"/>
    </row>
    <row r="63" spans="1:14" ht="19">
      <c r="A63" s="5"/>
      <c r="B63" s="5"/>
      <c r="C63" s="5"/>
      <c r="D63" s="5"/>
      <c r="E63" s="7"/>
      <c r="F63" s="6"/>
      <c r="G63" s="6"/>
      <c r="H63" s="6"/>
      <c r="I63" s="6"/>
      <c r="J63" s="5"/>
      <c r="K63" s="5"/>
      <c r="L63" s="8"/>
      <c r="M63" s="8"/>
      <c r="N63" s="8"/>
    </row>
    <row r="64" spans="1:14" ht="19">
      <c r="A64" s="5"/>
      <c r="B64" s="5"/>
      <c r="C64" s="5"/>
      <c r="D64" s="6"/>
      <c r="E64" s="6"/>
      <c r="F64" s="6"/>
      <c r="G64" s="6"/>
      <c r="H64" s="6"/>
      <c r="I64" s="6"/>
      <c r="J64" s="5"/>
      <c r="K64" s="6"/>
      <c r="L64" s="8"/>
      <c r="M64" s="8"/>
      <c r="N64" s="8"/>
    </row>
    <row r="65" spans="1:14" ht="19">
      <c r="A65" s="5"/>
      <c r="B65" s="5"/>
      <c r="C65" s="6"/>
      <c r="D65" s="6"/>
      <c r="E65" s="7"/>
      <c r="F65" s="6"/>
      <c r="G65" s="6"/>
      <c r="H65" s="6"/>
      <c r="I65" s="6"/>
      <c r="J65" s="5"/>
      <c r="K65" s="5"/>
      <c r="L65" s="8"/>
      <c r="M65" s="8"/>
      <c r="N65" s="8"/>
    </row>
    <row r="66" spans="1:14" ht="19">
      <c r="A66" s="5"/>
      <c r="B66" s="5"/>
      <c r="C66" s="5"/>
      <c r="D66" s="5"/>
      <c r="E66" s="7"/>
      <c r="F66" s="6"/>
      <c r="G66" s="6"/>
      <c r="H66" s="6"/>
      <c r="I66" s="6"/>
      <c r="J66" s="5"/>
      <c r="K66" s="5"/>
      <c r="L66" s="8"/>
      <c r="M66" s="8"/>
      <c r="N66" s="8"/>
    </row>
    <row r="67" spans="1:14" ht="18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8"/>
      <c r="M67" s="8"/>
      <c r="N67" s="8"/>
    </row>
    <row r="68" spans="1:14" ht="18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8"/>
      <c r="M68" s="8"/>
      <c r="N68" s="8"/>
    </row>
    <row r="69" spans="1:14" ht="19">
      <c r="A69" s="5"/>
      <c r="B69" s="6"/>
      <c r="C69" s="6"/>
      <c r="D69" s="6"/>
      <c r="E69" s="6"/>
      <c r="F69" s="6"/>
      <c r="G69" s="6"/>
      <c r="H69" s="6"/>
      <c r="I69" s="6"/>
      <c r="J69" s="6"/>
      <c r="K69" s="6"/>
      <c r="L69" s="8"/>
      <c r="M69" s="8"/>
      <c r="N69" s="8"/>
    </row>
    <row r="70" spans="1:14" ht="19">
      <c r="A70" s="11"/>
      <c r="B70" s="6"/>
      <c r="C70" s="6"/>
      <c r="D70" s="6"/>
      <c r="E70" s="6"/>
      <c r="F70" s="6"/>
      <c r="G70" s="6"/>
      <c r="H70" s="6"/>
      <c r="I70" s="6"/>
      <c r="J70" s="6"/>
      <c r="K70" s="6"/>
      <c r="L70" s="8"/>
      <c r="M70" s="8"/>
      <c r="N70" s="8"/>
    </row>
    <row r="71" spans="1:14" ht="19">
      <c r="A71" s="11"/>
      <c r="B71" s="6"/>
      <c r="C71" s="6"/>
      <c r="D71" s="6"/>
      <c r="E71" s="6"/>
      <c r="F71" s="6"/>
      <c r="G71" s="6"/>
      <c r="H71" s="6"/>
      <c r="I71" s="6"/>
      <c r="J71" s="6"/>
      <c r="K71" s="6"/>
      <c r="L71" s="8"/>
      <c r="M71" s="8"/>
      <c r="N71" s="8"/>
    </row>
    <row r="72" spans="1:14" ht="19">
      <c r="A72" s="5"/>
      <c r="B72" s="6"/>
      <c r="C72" s="6"/>
      <c r="D72" s="6"/>
      <c r="E72" s="6"/>
      <c r="F72" s="6"/>
      <c r="G72" s="6"/>
      <c r="H72" s="6"/>
      <c r="I72" s="6"/>
      <c r="J72" s="6"/>
      <c r="K72" s="8"/>
      <c r="L72" s="8"/>
      <c r="M72" s="8"/>
    </row>
    <row r="73" spans="1:14" ht="18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8"/>
      <c r="M73" s="8"/>
      <c r="N73" s="8"/>
    </row>
    <row r="74" spans="1:14" ht="17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1:14" ht="17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ht="17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1:14" ht="17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</sheetData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opLeftCell="A2" zoomScale="90" zoomScaleNormal="90" zoomScalePageLayoutView="90" workbookViewId="0">
      <selection activeCell="L48" sqref="L48"/>
    </sheetView>
  </sheetViews>
  <sheetFormatPr baseColWidth="10" defaultRowHeight="15" x14ac:dyDescent="0"/>
  <cols>
    <col min="1" max="1" width="20.1640625" bestFit="1" customWidth="1"/>
    <col min="2" max="2" width="12.6640625" bestFit="1" customWidth="1"/>
    <col min="3" max="3" width="11.5" bestFit="1" customWidth="1"/>
    <col min="5" max="5" width="20.1640625" bestFit="1" customWidth="1"/>
    <col min="7" max="7" width="21.83203125" bestFit="1" customWidth="1"/>
    <col min="9" max="9" width="21.83203125" bestFit="1" customWidth="1"/>
    <col min="10" max="10" width="15.1640625" bestFit="1" customWidth="1"/>
    <col min="14" max="14" width="12.6640625" bestFit="1" customWidth="1"/>
    <col min="16" max="16" width="12.5" bestFit="1" customWidth="1"/>
    <col min="17" max="17" width="13.1640625" bestFit="1" customWidth="1"/>
  </cols>
  <sheetData>
    <row r="1" spans="1:12">
      <c r="D1" t="s">
        <v>295</v>
      </c>
    </row>
    <row r="2" spans="1:12">
      <c r="C2" t="s">
        <v>289</v>
      </c>
    </row>
    <row r="3" spans="1:12">
      <c r="B3" t="s">
        <v>90</v>
      </c>
      <c r="C3" t="s">
        <v>264</v>
      </c>
      <c r="D3" t="s">
        <v>290</v>
      </c>
      <c r="E3" t="s">
        <v>291</v>
      </c>
      <c r="G3" t="s">
        <v>265</v>
      </c>
    </row>
    <row r="4" spans="1:12" ht="17" thickBot="1">
      <c r="A4">
        <v>2007</v>
      </c>
      <c r="B4" s="56">
        <v>2116000</v>
      </c>
      <c r="C4">
        <v>19968</v>
      </c>
      <c r="D4">
        <f>18772</f>
        <v>18772</v>
      </c>
      <c r="E4">
        <v>60</v>
      </c>
    </row>
    <row r="5" spans="1:12">
      <c r="A5">
        <v>2008</v>
      </c>
      <c r="B5" s="56">
        <v>3283000</v>
      </c>
      <c r="C5">
        <v>20256</v>
      </c>
      <c r="D5">
        <f>19097</f>
        <v>19097</v>
      </c>
      <c r="E5">
        <v>60</v>
      </c>
      <c r="G5" s="55" t="s">
        <v>266</v>
      </c>
      <c r="H5" s="55"/>
    </row>
    <row r="6" spans="1:12">
      <c r="A6">
        <v>2009</v>
      </c>
      <c r="B6" s="56">
        <v>3124000</v>
      </c>
      <c r="C6">
        <v>20555</v>
      </c>
      <c r="D6">
        <f>18873</f>
        <v>18873</v>
      </c>
      <c r="E6">
        <v>60</v>
      </c>
      <c r="G6" s="52" t="s">
        <v>267</v>
      </c>
      <c r="H6" s="52">
        <v>0.96676018630859328</v>
      </c>
    </row>
    <row r="7" spans="1:12">
      <c r="A7">
        <v>2010</v>
      </c>
      <c r="B7" s="56">
        <v>3115000</v>
      </c>
      <c r="C7">
        <v>20939</v>
      </c>
      <c r="D7">
        <f>18979</f>
        <v>18979</v>
      </c>
      <c r="E7">
        <v>60</v>
      </c>
      <c r="G7" s="52" t="s">
        <v>268</v>
      </c>
      <c r="H7" s="52">
        <v>0.93462525783142592</v>
      </c>
    </row>
    <row r="8" spans="1:12">
      <c r="A8">
        <v>2011</v>
      </c>
      <c r="B8" s="56">
        <v>3606000</v>
      </c>
      <c r="C8">
        <v>21165</v>
      </c>
      <c r="D8">
        <f>19689</f>
        <v>19689</v>
      </c>
      <c r="E8">
        <v>60</v>
      </c>
      <c r="G8" s="52" t="s">
        <v>269</v>
      </c>
      <c r="H8" s="59">
        <v>0.90193788674713871</v>
      </c>
    </row>
    <row r="9" spans="1:12">
      <c r="A9">
        <v>2012</v>
      </c>
      <c r="B9" s="56">
        <v>4007000</v>
      </c>
      <c r="C9">
        <v>21454</v>
      </c>
      <c r="D9">
        <f>19719</f>
        <v>19719</v>
      </c>
      <c r="E9">
        <v>60</v>
      </c>
      <c r="G9" s="52" t="s">
        <v>270</v>
      </c>
      <c r="H9" s="52">
        <v>355104.0087331307</v>
      </c>
    </row>
    <row r="10" spans="1:12" ht="17" thickBot="1">
      <c r="A10">
        <v>2013</v>
      </c>
      <c r="B10" s="56">
        <v>4315000</v>
      </c>
      <c r="C10">
        <v>21971</v>
      </c>
      <c r="D10">
        <f>19627</f>
        <v>19627</v>
      </c>
      <c r="E10">
        <v>60</v>
      </c>
      <c r="G10" s="53" t="s">
        <v>271</v>
      </c>
      <c r="H10" s="53">
        <v>10</v>
      </c>
    </row>
    <row r="11" spans="1:12">
      <c r="A11">
        <v>2014</v>
      </c>
      <c r="B11" s="56">
        <v>4615000</v>
      </c>
      <c r="C11">
        <v>22385</v>
      </c>
      <c r="D11">
        <f>19505</f>
        <v>19505</v>
      </c>
      <c r="E11">
        <v>60</v>
      </c>
    </row>
    <row r="12" spans="1:12" ht="17" thickBot="1">
      <c r="A12">
        <v>2015</v>
      </c>
      <c r="B12" s="56">
        <v>5438000</v>
      </c>
      <c r="C12">
        <v>22706</v>
      </c>
      <c r="D12">
        <f>19241</f>
        <v>19241</v>
      </c>
      <c r="E12">
        <v>60</v>
      </c>
      <c r="G12" t="s">
        <v>272</v>
      </c>
    </row>
    <row r="13" spans="1:12">
      <c r="A13">
        <v>2016</v>
      </c>
      <c r="B13" s="56">
        <v>5814000</v>
      </c>
      <c r="C13">
        <v>22857</v>
      </c>
      <c r="D13">
        <f>19589</f>
        <v>19589</v>
      </c>
      <c r="E13">
        <v>60</v>
      </c>
      <c r="G13" s="54"/>
      <c r="H13" s="54" t="s">
        <v>277</v>
      </c>
      <c r="I13" s="54" t="s">
        <v>278</v>
      </c>
      <c r="J13" s="54" t="s">
        <v>279</v>
      </c>
      <c r="K13" s="54" t="s">
        <v>280</v>
      </c>
      <c r="L13" s="54" t="s">
        <v>281</v>
      </c>
    </row>
    <row r="14" spans="1:12">
      <c r="B14" s="57"/>
      <c r="G14" s="52" t="s">
        <v>273</v>
      </c>
      <c r="H14" s="52">
        <v>3</v>
      </c>
      <c r="I14" s="52">
        <v>10816578957889.965</v>
      </c>
      <c r="J14" s="52">
        <v>3605526319296.6548</v>
      </c>
      <c r="K14" s="52">
        <v>28.592854880296656</v>
      </c>
      <c r="L14" s="52">
        <v>5.9600736775596843E-4</v>
      </c>
    </row>
    <row r="15" spans="1:12" ht="17" thickBot="1">
      <c r="G15" s="52" t="s">
        <v>274</v>
      </c>
      <c r="H15" s="52">
        <v>6</v>
      </c>
      <c r="I15" s="52">
        <v>756593142110.03613</v>
      </c>
      <c r="J15" s="52">
        <v>126098857018.33936</v>
      </c>
      <c r="K15" s="52"/>
      <c r="L15" s="52"/>
    </row>
    <row r="16" spans="1:12" ht="17" thickBot="1">
      <c r="A16" s="54"/>
      <c r="B16" s="54" t="s">
        <v>90</v>
      </c>
      <c r="C16" s="54" t="s">
        <v>264</v>
      </c>
      <c r="D16" s="54" t="s">
        <v>290</v>
      </c>
      <c r="E16" s="54" t="s">
        <v>291</v>
      </c>
      <c r="G16" s="53" t="s">
        <v>275</v>
      </c>
      <c r="H16" s="53">
        <v>9</v>
      </c>
      <c r="I16" s="53">
        <v>11573172100000</v>
      </c>
      <c r="J16" s="53"/>
      <c r="K16" s="53"/>
      <c r="L16" s="53"/>
    </row>
    <row r="17" spans="1:15" ht="17" thickBot="1">
      <c r="A17" s="52" t="s">
        <v>90</v>
      </c>
      <c r="B17" s="52">
        <v>1</v>
      </c>
      <c r="C17" s="52"/>
      <c r="D17" s="52"/>
      <c r="E17" s="52"/>
    </row>
    <row r="18" spans="1:15">
      <c r="A18" s="52" t="s">
        <v>264</v>
      </c>
      <c r="B18" s="52">
        <v>0.96329291359551505</v>
      </c>
      <c r="C18" s="52">
        <v>1</v>
      </c>
      <c r="D18" s="52"/>
      <c r="E18" s="52"/>
      <c r="G18" s="54"/>
      <c r="H18" s="54" t="s">
        <v>282</v>
      </c>
      <c r="I18" s="54" t="s">
        <v>270</v>
      </c>
      <c r="J18" s="54" t="s">
        <v>283</v>
      </c>
      <c r="K18" s="54" t="s">
        <v>284</v>
      </c>
      <c r="L18" s="54" t="s">
        <v>285</v>
      </c>
      <c r="M18" s="54" t="s">
        <v>286</v>
      </c>
      <c r="N18" s="54" t="s">
        <v>287</v>
      </c>
      <c r="O18" s="54" t="s">
        <v>288</v>
      </c>
    </row>
    <row r="19" spans="1:15">
      <c r="A19" s="52" t="s">
        <v>290</v>
      </c>
      <c r="B19" s="52">
        <v>0.63166174521135487</v>
      </c>
      <c r="C19" s="52">
        <v>0.64950671811311611</v>
      </c>
      <c r="D19" s="52">
        <v>1</v>
      </c>
      <c r="E19" s="52"/>
      <c r="G19" s="52" t="s">
        <v>276</v>
      </c>
      <c r="H19" s="52">
        <v>-19353174.029300626</v>
      </c>
      <c r="I19" s="52">
        <v>6707251.8601919468</v>
      </c>
      <c r="J19" s="52">
        <v>-2.8854103636935413</v>
      </c>
      <c r="K19" s="52">
        <v>2.7860065694397453E-2</v>
      </c>
      <c r="L19" s="52">
        <v>-35765228.094618447</v>
      </c>
      <c r="M19" s="52">
        <v>-2941119.9639828075</v>
      </c>
      <c r="N19" s="52">
        <v>-35765228.094618447</v>
      </c>
      <c r="O19" s="52">
        <v>-2941119.9639828056</v>
      </c>
    </row>
    <row r="20" spans="1:15" ht="17" thickBot="1">
      <c r="A20" s="53" t="s">
        <v>291</v>
      </c>
      <c r="B20" s="53" t="e">
        <v>#DIV/0!</v>
      </c>
      <c r="C20" s="53" t="e">
        <v>#DIV/0!</v>
      </c>
      <c r="D20" s="53" t="e">
        <v>#DIV/0!</v>
      </c>
      <c r="E20" s="53">
        <v>1</v>
      </c>
      <c r="G20" s="52" t="s">
        <v>264</v>
      </c>
      <c r="H20" s="58">
        <v>1057.8877918105256</v>
      </c>
      <c r="I20" s="59">
        <v>151.82440964238006</v>
      </c>
      <c r="J20" s="59">
        <v>6.9678373477780235</v>
      </c>
      <c r="K20" s="52">
        <v>4.3419306755169897E-4</v>
      </c>
      <c r="L20" s="52">
        <v>686.38684456349733</v>
      </c>
      <c r="M20" s="52">
        <v>1429.3887390575539</v>
      </c>
      <c r="N20" s="52">
        <v>686.38684456349722</v>
      </c>
      <c r="O20" s="52">
        <v>1429.3887390575542</v>
      </c>
    </row>
    <row r="21" spans="1:15">
      <c r="G21" s="52" t="s">
        <v>290</v>
      </c>
      <c r="H21" s="58">
        <v>32.657832684331801</v>
      </c>
      <c r="I21" s="59">
        <v>432.24888146374553</v>
      </c>
      <c r="J21" s="59">
        <v>7.5553307561469996E-2</v>
      </c>
      <c r="K21" s="52">
        <v>0.94223065604292766</v>
      </c>
      <c r="L21" s="52">
        <v>-1025.0170780134645</v>
      </c>
      <c r="M21" s="52">
        <v>1090.3327433821278</v>
      </c>
      <c r="N21" s="52">
        <v>-1025.0170780134647</v>
      </c>
      <c r="O21" s="52">
        <v>1090.332743382128</v>
      </c>
    </row>
    <row r="22" spans="1:15" ht="17" thickBot="1">
      <c r="G22" s="53" t="s">
        <v>291</v>
      </c>
      <c r="H22" s="60">
        <v>0</v>
      </c>
      <c r="I22" s="60">
        <v>0</v>
      </c>
      <c r="J22" s="60">
        <v>65535</v>
      </c>
      <c r="K22" s="53" t="e">
        <v>#NUM!</v>
      </c>
      <c r="L22" s="53">
        <v>0</v>
      </c>
      <c r="M22" s="53">
        <v>0</v>
      </c>
      <c r="N22" s="53">
        <v>0</v>
      </c>
      <c r="O22" s="53">
        <v>0</v>
      </c>
    </row>
    <row r="25" spans="1:15">
      <c r="A25" t="s">
        <v>298</v>
      </c>
      <c r="B25" s="61">
        <f>_xlfn.T.INV.2T(0.05,6)</f>
        <v>2.4469118511449697</v>
      </c>
      <c r="G25" t="s">
        <v>302</v>
      </c>
      <c r="H25" t="s">
        <v>303</v>
      </c>
      <c r="I25" t="s">
        <v>304</v>
      </c>
      <c r="J25" t="s">
        <v>306</v>
      </c>
    </row>
    <row r="26" spans="1:15">
      <c r="G26" t="s">
        <v>264</v>
      </c>
      <c r="H26" s="34">
        <f>H20-(B25*I20)</f>
        <v>686.38684456349733</v>
      </c>
      <c r="I26" s="34">
        <f>H20+(B25*I20)</f>
        <v>1429.3887390575539</v>
      </c>
      <c r="J26" t="s">
        <v>305</v>
      </c>
    </row>
    <row r="27" spans="1:15">
      <c r="A27" t="s">
        <v>370</v>
      </c>
    </row>
    <row r="28" spans="1:15">
      <c r="A28" t="s">
        <v>371</v>
      </c>
      <c r="G28" t="s">
        <v>307</v>
      </c>
    </row>
    <row r="30" spans="1:15">
      <c r="A30" t="s">
        <v>301</v>
      </c>
    </row>
    <row r="32" spans="1:15">
      <c r="A32" t="s">
        <v>296</v>
      </c>
    </row>
    <row r="33" spans="1:10">
      <c r="A33" t="s">
        <v>297</v>
      </c>
      <c r="I33" s="52"/>
      <c r="J33" s="52"/>
    </row>
    <row r="34" spans="1:10">
      <c r="A34" t="s">
        <v>299</v>
      </c>
      <c r="D34" s="52"/>
      <c r="E34" s="52"/>
      <c r="I34" s="52"/>
      <c r="J34" s="52"/>
    </row>
    <row r="35" spans="1:10">
      <c r="D35" s="52"/>
      <c r="E35" s="52"/>
      <c r="I35" s="52"/>
      <c r="J35" s="52"/>
    </row>
    <row r="36" spans="1:10">
      <c r="B36" s="52"/>
      <c r="C36" s="52"/>
      <c r="D36" s="52"/>
      <c r="I36" s="52"/>
      <c r="J36" s="52"/>
    </row>
    <row r="37" spans="1:10">
      <c r="A37" s="52"/>
      <c r="B37" s="52"/>
      <c r="C37" s="52"/>
      <c r="D37" s="52"/>
      <c r="I37" s="52"/>
      <c r="J37" s="52"/>
    </row>
    <row r="38" spans="1:10">
      <c r="A38" s="52"/>
    </row>
    <row r="39" spans="1:10">
      <c r="A39" s="52"/>
    </row>
    <row r="40" spans="1:10">
      <c r="A40" s="52"/>
    </row>
  </sheetData>
  <sortState ref="J28:J37">
    <sortCondition ref="J28"/>
  </sortState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1"/>
  <sheetViews>
    <sheetView topLeftCell="A30" workbookViewId="0">
      <selection activeCell="E95" sqref="E95"/>
    </sheetView>
  </sheetViews>
  <sheetFormatPr baseColWidth="10" defaultRowHeight="15" x14ac:dyDescent="0"/>
  <cols>
    <col min="1" max="1" width="33" bestFit="1" customWidth="1"/>
    <col min="2" max="2" width="10" bestFit="1" customWidth="1"/>
    <col min="3" max="3" width="7.6640625" bestFit="1" customWidth="1"/>
    <col min="4" max="4" width="16.83203125" bestFit="1" customWidth="1"/>
    <col min="5" max="5" width="41.5" bestFit="1" customWidth="1"/>
    <col min="6" max="6" width="16.6640625" bestFit="1" customWidth="1"/>
    <col min="7" max="7" width="16.33203125" bestFit="1" customWidth="1"/>
    <col min="8" max="8" width="13.83203125" customWidth="1"/>
    <col min="9" max="9" width="12.6640625" bestFit="1" customWidth="1"/>
    <col min="10" max="10" width="14.5" bestFit="1" customWidth="1"/>
    <col min="11" max="11" width="16.1640625" customWidth="1"/>
    <col min="12" max="12" width="10.5" bestFit="1" customWidth="1"/>
    <col min="17" max="17" width="26.1640625" bestFit="1" customWidth="1"/>
    <col min="20" max="20" width="26.1640625" bestFit="1" customWidth="1"/>
    <col min="21" max="21" width="16.1640625" bestFit="1" customWidth="1"/>
    <col min="24" max="24" width="15.1640625" bestFit="1" customWidth="1"/>
    <col min="28" max="28" width="26.1640625" bestFit="1" customWidth="1"/>
    <col min="30" max="30" width="12.83203125" bestFit="1" customWidth="1"/>
    <col min="31" max="31" width="15.1640625" bestFit="1" customWidth="1"/>
    <col min="33" max="33" width="11.6640625" bestFit="1" customWidth="1"/>
    <col min="35" max="35" width="26.1640625" bestFit="1" customWidth="1"/>
    <col min="36" max="36" width="15.1640625" bestFit="1" customWidth="1"/>
    <col min="39" max="39" width="21.6640625" bestFit="1" customWidth="1"/>
    <col min="40" max="41" width="14.1640625" bestFit="1" customWidth="1"/>
  </cols>
  <sheetData>
    <row r="1" spans="1:13">
      <c r="A1" t="s">
        <v>420</v>
      </c>
    </row>
    <row r="3" spans="1:13">
      <c r="A3" t="s">
        <v>0</v>
      </c>
      <c r="B3" t="s">
        <v>6</v>
      </c>
    </row>
    <row r="4" spans="1:13">
      <c r="A4" t="s">
        <v>1</v>
      </c>
      <c r="B4">
        <v>45000</v>
      </c>
      <c r="E4" t="s">
        <v>4</v>
      </c>
      <c r="F4">
        <v>8</v>
      </c>
    </row>
    <row r="5" spans="1:13">
      <c r="A5" t="s">
        <v>2</v>
      </c>
      <c r="B5">
        <v>36000</v>
      </c>
      <c r="E5" t="s">
        <v>5</v>
      </c>
      <c r="F5">
        <v>3</v>
      </c>
    </row>
    <row r="6" spans="1:13">
      <c r="A6" t="s">
        <v>3</v>
      </c>
      <c r="B6">
        <v>33000</v>
      </c>
      <c r="E6" t="s">
        <v>10</v>
      </c>
      <c r="F6" s="1">
        <f>(B4+B5+B6)/3</f>
        <v>38000</v>
      </c>
    </row>
    <row r="8" spans="1:13">
      <c r="E8" t="s">
        <v>11</v>
      </c>
      <c r="F8">
        <f>F5*F4</f>
        <v>24</v>
      </c>
      <c r="M8" t="s">
        <v>89</v>
      </c>
    </row>
    <row r="9" spans="1:13">
      <c r="A9" t="s">
        <v>7</v>
      </c>
      <c r="C9">
        <f>F6/30/8</f>
        <v>158.33333333333334</v>
      </c>
      <c r="E9" t="s">
        <v>12</v>
      </c>
      <c r="F9">
        <f>F8*60</f>
        <v>1440</v>
      </c>
      <c r="H9" t="s">
        <v>19</v>
      </c>
      <c r="K9" s="2">
        <v>0.8</v>
      </c>
      <c r="L9" s="2"/>
    </row>
    <row r="10" spans="1:13">
      <c r="A10" t="s">
        <v>8</v>
      </c>
      <c r="C10">
        <f>C9*0.121</f>
        <v>19.158333333333335</v>
      </c>
      <c r="K10" t="s">
        <v>88</v>
      </c>
    </row>
    <row r="11" spans="1:13">
      <c r="A11" t="s">
        <v>15</v>
      </c>
      <c r="C11">
        <f>C9*0.141</f>
        <v>22.324999999999999</v>
      </c>
      <c r="E11" t="s">
        <v>13</v>
      </c>
      <c r="F11">
        <f>F8*K9</f>
        <v>19.200000000000003</v>
      </c>
    </row>
    <row r="12" spans="1:13">
      <c r="A12" t="s">
        <v>16</v>
      </c>
      <c r="C12">
        <f>C11*0.121</f>
        <v>2.7013249999999998</v>
      </c>
      <c r="E12" t="s">
        <v>14</v>
      </c>
      <c r="F12">
        <f>F9*K9</f>
        <v>1152</v>
      </c>
    </row>
    <row r="13" spans="1:13">
      <c r="A13" t="s">
        <v>9</v>
      </c>
      <c r="C13">
        <f>SUM(C9:C12)</f>
        <v>202.51799166666666</v>
      </c>
    </row>
    <row r="14" spans="1:13">
      <c r="A14" t="s">
        <v>17</v>
      </c>
      <c r="C14">
        <f>C13/60</f>
        <v>3.3752998611111109</v>
      </c>
    </row>
    <row r="15" spans="1:13">
      <c r="A15" t="s">
        <v>18</v>
      </c>
      <c r="C15">
        <f>C14/K9</f>
        <v>4.2191248263888887</v>
      </c>
    </row>
    <row r="17" spans="3:39">
      <c r="S17" t="s">
        <v>300</v>
      </c>
      <c r="AG17" t="s">
        <v>263</v>
      </c>
    </row>
    <row r="18" spans="3:39">
      <c r="J18" t="s">
        <v>246</v>
      </c>
      <c r="M18" t="s">
        <v>247</v>
      </c>
      <c r="O18" t="s">
        <v>248</v>
      </c>
      <c r="AD18" t="s">
        <v>321</v>
      </c>
    </row>
    <row r="19" spans="3:39">
      <c r="D19" t="s">
        <v>255</v>
      </c>
      <c r="E19" t="s">
        <v>256</v>
      </c>
      <c r="F19" t="s">
        <v>261</v>
      </c>
      <c r="G19" t="s">
        <v>262</v>
      </c>
      <c r="H19" t="s">
        <v>257</v>
      </c>
      <c r="I19" t="s">
        <v>239</v>
      </c>
      <c r="J19" t="s">
        <v>249</v>
      </c>
      <c r="K19" t="s">
        <v>241</v>
      </c>
      <c r="L19" t="s">
        <v>250</v>
      </c>
      <c r="M19" t="s">
        <v>251</v>
      </c>
      <c r="N19" t="s">
        <v>253</v>
      </c>
      <c r="O19" t="s">
        <v>252</v>
      </c>
      <c r="P19" t="s">
        <v>254</v>
      </c>
      <c r="S19" t="s">
        <v>255</v>
      </c>
      <c r="T19" t="s">
        <v>256</v>
      </c>
      <c r="U19" t="s">
        <v>252</v>
      </c>
      <c r="V19" t="s">
        <v>254</v>
      </c>
      <c r="W19" t="s">
        <v>240</v>
      </c>
      <c r="X19" t="s">
        <v>257</v>
      </c>
      <c r="Z19" s="26"/>
      <c r="AA19" s="26" t="s">
        <v>255</v>
      </c>
      <c r="AB19" s="26" t="s">
        <v>256</v>
      </c>
      <c r="AC19" s="26" t="s">
        <v>252</v>
      </c>
      <c r="AD19" s="26" t="s">
        <v>320</v>
      </c>
      <c r="AE19" s="26" t="s">
        <v>258</v>
      </c>
      <c r="AF19" s="26"/>
      <c r="AG19" s="26"/>
      <c r="AH19" s="26" t="s">
        <v>255</v>
      </c>
      <c r="AI19" s="26" t="s">
        <v>256</v>
      </c>
      <c r="AJ19" s="26" t="s">
        <v>292</v>
      </c>
    </row>
    <row r="20" spans="3:39" ht="17">
      <c r="C20">
        <v>1</v>
      </c>
      <c r="D20">
        <v>1</v>
      </c>
      <c r="E20" t="s">
        <v>95</v>
      </c>
      <c r="F20">
        <v>54</v>
      </c>
      <c r="G20" s="14">
        <f>F20/1.2</f>
        <v>45</v>
      </c>
      <c r="H20" s="35">
        <v>7.2996183206106874E-2</v>
      </c>
      <c r="I20" s="14">
        <v>9.1110000000000007</v>
      </c>
      <c r="J20">
        <v>5</v>
      </c>
      <c r="K20" s="14">
        <f>$C$15*J20</f>
        <v>21.095624131944444</v>
      </c>
      <c r="L20" s="14">
        <f>I20+K20</f>
        <v>30.206624131944444</v>
      </c>
      <c r="M20" s="14">
        <f>G20-I20</f>
        <v>35.888999999999996</v>
      </c>
      <c r="N20" s="17">
        <f t="shared" ref="N20:N26" si="0">M20/F20</f>
        <v>0.66461111111111104</v>
      </c>
      <c r="O20" s="14">
        <f>G20-I20-K20</f>
        <v>14.793375868055552</v>
      </c>
      <c r="P20" s="17">
        <f t="shared" ref="P20:P26" si="1">O20/F20</f>
        <v>0.27395140496399173</v>
      </c>
      <c r="S20">
        <v>1</v>
      </c>
      <c r="T20" t="s">
        <v>95</v>
      </c>
      <c r="U20" s="14">
        <v>13.387000925925925</v>
      </c>
      <c r="V20" s="49">
        <v>0.2479074245541838</v>
      </c>
      <c r="W20">
        <v>5</v>
      </c>
      <c r="X20" s="49">
        <v>7.2996183206106874E-2</v>
      </c>
      <c r="Z20" s="26" t="s">
        <v>92</v>
      </c>
      <c r="AA20" s="50">
        <v>1</v>
      </c>
      <c r="AB20" s="26" t="s">
        <v>95</v>
      </c>
      <c r="AC20" s="63">
        <v>13.387000925925925</v>
      </c>
      <c r="AD20" s="64">
        <v>547.47137404580155</v>
      </c>
      <c r="AE20" s="63">
        <f>AC20*AD20</f>
        <v>7328.9997912690833</v>
      </c>
      <c r="AF20" s="26"/>
      <c r="AG20" s="65" t="s">
        <v>92</v>
      </c>
      <c r="AH20" s="50">
        <v>1</v>
      </c>
      <c r="AI20" s="26" t="s">
        <v>95</v>
      </c>
      <c r="AJ20" s="63">
        <v>7328.9997912690833</v>
      </c>
    </row>
    <row r="21" spans="3:39" ht="17">
      <c r="C21">
        <v>2</v>
      </c>
      <c r="D21">
        <v>2</v>
      </c>
      <c r="E21" t="s">
        <v>96</v>
      </c>
      <c r="F21">
        <v>79</v>
      </c>
      <c r="G21" s="14">
        <f t="shared" ref="G21:G84" si="2">F21/1.2</f>
        <v>65.833333333333343</v>
      </c>
      <c r="H21" s="35">
        <v>9.0648854961832056E-3</v>
      </c>
      <c r="I21" s="14">
        <v>8.9001000000000001</v>
      </c>
      <c r="J21">
        <v>5</v>
      </c>
      <c r="K21" s="14">
        <f t="shared" ref="K21:K84" si="3">$C$15*J21</f>
        <v>21.095624131944444</v>
      </c>
      <c r="L21" s="14">
        <f t="shared" ref="L21:L84" si="4">I21+K21</f>
        <v>29.995724131944442</v>
      </c>
      <c r="M21" s="14">
        <f t="shared" ref="M21:M84" si="5">G21-I21</f>
        <v>56.933233333333341</v>
      </c>
      <c r="N21" s="17">
        <f t="shared" si="0"/>
        <v>0.72067383966244736</v>
      </c>
      <c r="O21" s="14">
        <f t="shared" ref="O21:O84" si="6">G21-I21-K21</f>
        <v>35.837609201388901</v>
      </c>
      <c r="P21" s="17">
        <f t="shared" si="1"/>
        <v>0.45364062280239115</v>
      </c>
      <c r="S21">
        <v>2</v>
      </c>
      <c r="T21" t="s">
        <v>96</v>
      </c>
      <c r="U21" s="14">
        <v>34.43123425925927</v>
      </c>
      <c r="V21" s="49">
        <v>0.43583840834505405</v>
      </c>
      <c r="W21">
        <v>5</v>
      </c>
      <c r="X21" s="49">
        <v>9.0648854961832056E-3</v>
      </c>
      <c r="Z21" s="26"/>
      <c r="AA21" s="50">
        <v>2</v>
      </c>
      <c r="AB21" s="26" t="s">
        <v>96</v>
      </c>
      <c r="AC21" s="63">
        <v>34.43123425925927</v>
      </c>
      <c r="AD21" s="64">
        <v>67.986641221374043</v>
      </c>
      <c r="AE21" s="63">
        <f t="shared" ref="AE21:AE84" si="7">AC21*AD21</f>
        <v>2340.8639703933422</v>
      </c>
      <c r="AF21" s="26"/>
      <c r="AG21" s="50"/>
      <c r="AH21" s="50">
        <v>7</v>
      </c>
      <c r="AI21" s="26" t="s">
        <v>101</v>
      </c>
      <c r="AJ21" s="63">
        <v>3338.139340145251</v>
      </c>
      <c r="AM21" s="26"/>
    </row>
    <row r="22" spans="3:39" ht="17">
      <c r="C22">
        <v>3</v>
      </c>
      <c r="D22">
        <v>3</v>
      </c>
      <c r="E22" t="s">
        <v>97</v>
      </c>
      <c r="F22">
        <v>79</v>
      </c>
      <c r="G22" s="14">
        <f t="shared" si="2"/>
        <v>65.833333333333343</v>
      </c>
      <c r="H22" s="35">
        <v>4.2938931297709926E-3</v>
      </c>
      <c r="I22" s="14">
        <v>9.6081000000000003</v>
      </c>
      <c r="J22">
        <v>5</v>
      </c>
      <c r="K22" s="14">
        <f t="shared" si="3"/>
        <v>21.095624131944444</v>
      </c>
      <c r="L22" s="14">
        <f t="shared" si="4"/>
        <v>30.703724131944444</v>
      </c>
      <c r="M22" s="14">
        <f t="shared" si="5"/>
        <v>56.225233333333343</v>
      </c>
      <c r="N22" s="17">
        <f t="shared" si="0"/>
        <v>0.71171181434599162</v>
      </c>
      <c r="O22" s="14">
        <f t="shared" si="6"/>
        <v>35.129609201388902</v>
      </c>
      <c r="P22" s="17">
        <f t="shared" si="1"/>
        <v>0.44467859748593547</v>
      </c>
      <c r="S22">
        <v>3</v>
      </c>
      <c r="T22" t="s">
        <v>97</v>
      </c>
      <c r="U22" s="14">
        <v>33.723234259259272</v>
      </c>
      <c r="V22" s="49">
        <v>0.42687638302859837</v>
      </c>
      <c r="W22">
        <v>5</v>
      </c>
      <c r="X22" s="49">
        <v>4.2938931297709926E-3</v>
      </c>
      <c r="Z22" s="26"/>
      <c r="AA22" s="50">
        <v>3</v>
      </c>
      <c r="AB22" s="26" t="s">
        <v>97</v>
      </c>
      <c r="AC22" s="63">
        <v>33.723234259259272</v>
      </c>
      <c r="AD22" s="64">
        <v>32.204198473282446</v>
      </c>
      <c r="AE22" s="63">
        <f t="shared" si="7"/>
        <v>1086.0297292461837</v>
      </c>
      <c r="AF22" s="26"/>
      <c r="AG22" s="50"/>
      <c r="AH22" s="50">
        <v>2</v>
      </c>
      <c r="AI22" s="26" t="s">
        <v>96</v>
      </c>
      <c r="AJ22" s="63">
        <v>2340.8639703933422</v>
      </c>
      <c r="AM22" s="26"/>
    </row>
    <row r="23" spans="3:39" ht="17">
      <c r="C23">
        <v>4</v>
      </c>
      <c r="D23">
        <v>4</v>
      </c>
      <c r="E23" t="s">
        <v>98</v>
      </c>
      <c r="F23">
        <v>79</v>
      </c>
      <c r="G23" s="14">
        <f t="shared" si="2"/>
        <v>65.833333333333343</v>
      </c>
      <c r="H23" s="35">
        <v>2.3854961832061069E-3</v>
      </c>
      <c r="I23" s="14">
        <v>28.185099999999998</v>
      </c>
      <c r="J23">
        <v>5</v>
      </c>
      <c r="K23" s="14">
        <f t="shared" si="3"/>
        <v>21.095624131944444</v>
      </c>
      <c r="L23" s="14">
        <f t="shared" si="4"/>
        <v>49.280724131944439</v>
      </c>
      <c r="M23" s="14">
        <f t="shared" si="5"/>
        <v>37.648233333333344</v>
      </c>
      <c r="N23" s="17">
        <f t="shared" si="0"/>
        <v>0.47655991561181449</v>
      </c>
      <c r="O23" s="14">
        <f t="shared" si="6"/>
        <v>16.552609201388901</v>
      </c>
      <c r="P23" s="17">
        <f t="shared" si="1"/>
        <v>0.20952669875175822</v>
      </c>
      <c r="S23">
        <v>4</v>
      </c>
      <c r="T23" t="s">
        <v>98</v>
      </c>
      <c r="U23" s="14">
        <v>15.146234259259273</v>
      </c>
      <c r="V23" s="49">
        <v>0.19172448429442118</v>
      </c>
      <c r="W23">
        <v>5</v>
      </c>
      <c r="X23" s="49">
        <v>2.3854961832061069E-3</v>
      </c>
      <c r="Z23" s="26"/>
      <c r="AA23" s="50">
        <v>4</v>
      </c>
      <c r="AB23" s="26" t="s">
        <v>98</v>
      </c>
      <c r="AC23" s="63">
        <v>15.146234259259273</v>
      </c>
      <c r="AD23" s="64">
        <v>17.891221374045802</v>
      </c>
      <c r="AE23" s="63">
        <f t="shared" si="7"/>
        <v>270.9846301155643</v>
      </c>
      <c r="AF23" s="26"/>
      <c r="AG23" s="50"/>
      <c r="AH23" s="50">
        <v>3</v>
      </c>
      <c r="AI23" s="26" t="s">
        <v>97</v>
      </c>
      <c r="AJ23" s="63">
        <v>1086.0297292461837</v>
      </c>
    </row>
    <row r="24" spans="3:39" ht="17">
      <c r="C24">
        <v>5</v>
      </c>
      <c r="D24">
        <v>5</v>
      </c>
      <c r="E24" t="s">
        <v>99</v>
      </c>
      <c r="F24">
        <v>79</v>
      </c>
      <c r="G24" s="14">
        <f t="shared" si="2"/>
        <v>65.833333333333343</v>
      </c>
      <c r="H24" s="35">
        <v>9.5419847328244271E-4</v>
      </c>
      <c r="I24" s="14">
        <v>17.523500000000002</v>
      </c>
      <c r="J24">
        <v>12</v>
      </c>
      <c r="K24" s="14">
        <f t="shared" si="3"/>
        <v>50.629497916666665</v>
      </c>
      <c r="L24" s="14">
        <f t="shared" si="4"/>
        <v>68.152997916666664</v>
      </c>
      <c r="M24" s="14">
        <f t="shared" si="5"/>
        <v>48.309833333333344</v>
      </c>
      <c r="N24" s="17">
        <f t="shared" si="0"/>
        <v>0.61151687763713092</v>
      </c>
      <c r="O24" s="14">
        <f t="shared" si="6"/>
        <v>-2.3196645833333207</v>
      </c>
      <c r="P24" s="17">
        <f t="shared" si="1"/>
        <v>-2.9362842827004059E-2</v>
      </c>
      <c r="S24">
        <v>5</v>
      </c>
      <c r="T24" t="s">
        <v>99</v>
      </c>
      <c r="U24" s="14">
        <v>-5.6949644444444303</v>
      </c>
      <c r="V24" s="49">
        <v>-7.2088157524613047E-2</v>
      </c>
      <c r="W24">
        <v>12</v>
      </c>
      <c r="X24" s="49">
        <v>9.5419847328244271E-4</v>
      </c>
      <c r="Z24" s="26"/>
      <c r="AA24" s="50">
        <v>5</v>
      </c>
      <c r="AB24" s="26" t="s">
        <v>99</v>
      </c>
      <c r="AC24" s="63">
        <v>-5.6949644444444303</v>
      </c>
      <c r="AD24" s="64">
        <v>7.1564885496183201</v>
      </c>
      <c r="AE24" s="63">
        <f t="shared" si="7"/>
        <v>-40.755947837150025</v>
      </c>
      <c r="AF24" s="26"/>
      <c r="AG24" s="50"/>
      <c r="AH24" s="50">
        <v>4</v>
      </c>
      <c r="AI24" s="26" t="s">
        <v>98</v>
      </c>
      <c r="AJ24" s="63">
        <v>270.9846301155643</v>
      </c>
      <c r="AM24" s="26"/>
    </row>
    <row r="25" spans="3:39" ht="17">
      <c r="C25">
        <v>6</v>
      </c>
      <c r="D25">
        <v>6</v>
      </c>
      <c r="E25" t="s">
        <v>100</v>
      </c>
      <c r="F25">
        <v>65</v>
      </c>
      <c r="G25" s="14">
        <f t="shared" si="2"/>
        <v>54.166666666666671</v>
      </c>
      <c r="H25" s="35">
        <v>9.5419847328244271E-4</v>
      </c>
      <c r="I25" s="14">
        <v>2.6751000000000005</v>
      </c>
      <c r="J25">
        <v>7</v>
      </c>
      <c r="K25" s="14">
        <f t="shared" si="3"/>
        <v>29.533873784722221</v>
      </c>
      <c r="L25" s="14">
        <f t="shared" si="4"/>
        <v>32.208973784722218</v>
      </c>
      <c r="M25" s="14">
        <f t="shared" si="5"/>
        <v>51.491566666666671</v>
      </c>
      <c r="N25" s="17">
        <f t="shared" si="0"/>
        <v>0.79217794871794878</v>
      </c>
      <c r="O25" s="14">
        <f t="shared" si="6"/>
        <v>21.95769288194445</v>
      </c>
      <c r="P25" s="17">
        <f t="shared" si="1"/>
        <v>0.3378106597222223</v>
      </c>
      <c r="S25">
        <v>6</v>
      </c>
      <c r="T25" t="s">
        <v>100</v>
      </c>
      <c r="U25" s="14">
        <v>19.988767962962967</v>
      </c>
      <c r="V25" s="49">
        <v>0.3075195071225072</v>
      </c>
      <c r="W25">
        <v>7</v>
      </c>
      <c r="X25" s="49">
        <v>9.5419847328244271E-4</v>
      </c>
      <c r="Z25" s="26"/>
      <c r="AA25" s="50">
        <v>6</v>
      </c>
      <c r="AB25" s="26" t="s">
        <v>100</v>
      </c>
      <c r="AC25" s="63">
        <v>19.988767962962967</v>
      </c>
      <c r="AD25" s="64">
        <v>7.1564885496183201</v>
      </c>
      <c r="AE25" s="63">
        <f t="shared" si="7"/>
        <v>143.04938904792198</v>
      </c>
      <c r="AF25" s="26"/>
      <c r="AG25" s="50"/>
      <c r="AH25" s="50">
        <v>6</v>
      </c>
      <c r="AI25" s="26" t="s">
        <v>100</v>
      </c>
      <c r="AJ25" s="63">
        <v>143.04938904792198</v>
      </c>
      <c r="AM25" s="26"/>
    </row>
    <row r="26" spans="3:39" ht="17">
      <c r="C26">
        <v>7</v>
      </c>
      <c r="D26">
        <v>7</v>
      </c>
      <c r="E26" t="s">
        <v>101</v>
      </c>
      <c r="F26">
        <v>65</v>
      </c>
      <c r="G26" s="14">
        <f t="shared" si="2"/>
        <v>54.166666666666671</v>
      </c>
      <c r="H26" s="35">
        <v>2.2423664122137404E-2</v>
      </c>
      <c r="I26" s="14">
        <v>2.8149600000000001</v>
      </c>
      <c r="J26">
        <v>7</v>
      </c>
      <c r="K26" s="14">
        <f t="shared" si="3"/>
        <v>29.533873784722221</v>
      </c>
      <c r="L26" s="14">
        <f t="shared" si="4"/>
        <v>32.348833784722224</v>
      </c>
      <c r="M26" s="14">
        <f t="shared" si="5"/>
        <v>51.351706666666672</v>
      </c>
      <c r="N26" s="17">
        <f t="shared" si="0"/>
        <v>0.79002625641025648</v>
      </c>
      <c r="O26" s="14">
        <f t="shared" si="6"/>
        <v>21.817832881944451</v>
      </c>
      <c r="P26" s="17">
        <f t="shared" si="1"/>
        <v>0.33565896741453</v>
      </c>
      <c r="S26">
        <v>7</v>
      </c>
      <c r="T26" t="s">
        <v>101</v>
      </c>
      <c r="U26" s="14">
        <v>19.848907962962969</v>
      </c>
      <c r="V26" s="49">
        <v>0.3053678148148149</v>
      </c>
      <c r="W26">
        <v>7</v>
      </c>
      <c r="X26" s="49">
        <v>2.2423664122137404E-2</v>
      </c>
      <c r="Z26" s="26"/>
      <c r="AA26" s="50">
        <v>7</v>
      </c>
      <c r="AB26" s="26" t="s">
        <v>101</v>
      </c>
      <c r="AC26" s="63">
        <v>19.848907962962969</v>
      </c>
      <c r="AD26" s="64">
        <v>168.17748091603053</v>
      </c>
      <c r="AE26" s="63">
        <f t="shared" si="7"/>
        <v>3338.139340145251</v>
      </c>
      <c r="AF26" s="26"/>
      <c r="AG26" s="50"/>
      <c r="AH26" s="50">
        <v>5</v>
      </c>
      <c r="AI26" s="26" t="s">
        <v>99</v>
      </c>
      <c r="AJ26" s="63">
        <v>-40.755947837150025</v>
      </c>
      <c r="AM26" s="26"/>
    </row>
    <row r="27" spans="3:39" ht="17">
      <c r="C27">
        <v>8</v>
      </c>
      <c r="G27" s="14"/>
      <c r="H27" s="35"/>
      <c r="I27" s="14"/>
      <c r="K27" s="14"/>
      <c r="L27" s="14"/>
      <c r="M27" s="14"/>
      <c r="N27" s="17"/>
      <c r="O27" s="14"/>
      <c r="P27" s="17"/>
      <c r="U27" s="14"/>
      <c r="V27" s="49"/>
      <c r="X27" s="49"/>
      <c r="Z27" s="26" t="s">
        <v>93</v>
      </c>
      <c r="AA27" s="26"/>
      <c r="AB27" s="26"/>
      <c r="AC27" s="63"/>
      <c r="AD27" s="64"/>
      <c r="AE27" s="63"/>
      <c r="AF27" s="26"/>
      <c r="AG27" s="50"/>
      <c r="AH27" s="26"/>
      <c r="AI27" s="26"/>
      <c r="AJ27" s="63"/>
      <c r="AM27" s="26"/>
    </row>
    <row r="28" spans="3:39" ht="17">
      <c r="C28">
        <v>9</v>
      </c>
      <c r="D28">
        <v>9</v>
      </c>
      <c r="E28" t="s">
        <v>102</v>
      </c>
      <c r="F28">
        <v>195</v>
      </c>
      <c r="G28" s="14">
        <f t="shared" si="2"/>
        <v>162.5</v>
      </c>
      <c r="H28" s="35">
        <v>3.3396946564885495E-3</v>
      </c>
      <c r="I28" s="14">
        <v>30.765299999999996</v>
      </c>
      <c r="J28">
        <v>15</v>
      </c>
      <c r="K28" s="14">
        <f t="shared" si="3"/>
        <v>63.286872395833328</v>
      </c>
      <c r="L28" s="14">
        <f t="shared" si="4"/>
        <v>94.052172395833324</v>
      </c>
      <c r="M28" s="14">
        <f t="shared" si="5"/>
        <v>131.7347</v>
      </c>
      <c r="N28" s="17">
        <f t="shared" ref="N28:N74" si="8">M28/F28</f>
        <v>0.6755625641025641</v>
      </c>
      <c r="O28" s="14">
        <f t="shared" si="6"/>
        <v>68.447827604166676</v>
      </c>
      <c r="P28" s="17">
        <f t="shared" ref="P28:P74" si="9">O28/F28</f>
        <v>0.35101450053418809</v>
      </c>
      <c r="S28">
        <v>9</v>
      </c>
      <c r="T28" t="s">
        <v>102</v>
      </c>
      <c r="U28" s="14">
        <v>64.228702777777784</v>
      </c>
      <c r="V28" s="49">
        <v>0.32937796296296301</v>
      </c>
      <c r="W28">
        <v>15</v>
      </c>
      <c r="X28" s="49">
        <v>3.3396946564885495E-3</v>
      </c>
      <c r="Z28" s="26"/>
      <c r="AA28" s="50">
        <v>9</v>
      </c>
      <c r="AB28" s="26" t="s">
        <v>102</v>
      </c>
      <c r="AC28" s="63">
        <v>64.228702777777784</v>
      </c>
      <c r="AD28" s="64">
        <v>25.047709923664122</v>
      </c>
      <c r="AE28" s="63">
        <f t="shared" si="7"/>
        <v>1608.7819159510179</v>
      </c>
      <c r="AF28" s="26"/>
      <c r="AG28" s="65" t="s">
        <v>93</v>
      </c>
      <c r="AH28" s="50">
        <v>31</v>
      </c>
      <c r="AI28" s="26" t="s">
        <v>122</v>
      </c>
      <c r="AJ28" s="63">
        <v>43514.198568702297</v>
      </c>
      <c r="AM28" s="26"/>
    </row>
    <row r="29" spans="3:39" ht="17">
      <c r="C29">
        <v>10</v>
      </c>
      <c r="D29">
        <v>10</v>
      </c>
      <c r="E29" t="s">
        <v>103</v>
      </c>
      <c r="F29">
        <v>195</v>
      </c>
      <c r="G29" s="14">
        <f t="shared" si="2"/>
        <v>162.5</v>
      </c>
      <c r="H29" s="35">
        <v>6.2022900763358778E-3</v>
      </c>
      <c r="I29" s="14">
        <v>41.865300000000012</v>
      </c>
      <c r="J29">
        <v>12</v>
      </c>
      <c r="K29" s="14">
        <f t="shared" si="3"/>
        <v>50.629497916666665</v>
      </c>
      <c r="L29" s="14">
        <f t="shared" si="4"/>
        <v>92.49479791666667</v>
      </c>
      <c r="M29" s="14">
        <f t="shared" si="5"/>
        <v>120.63469999999998</v>
      </c>
      <c r="N29" s="17">
        <f t="shared" si="8"/>
        <v>0.61863948717948714</v>
      </c>
      <c r="O29" s="14">
        <f t="shared" si="6"/>
        <v>70.005202083333316</v>
      </c>
      <c r="P29" s="17">
        <f t="shared" si="9"/>
        <v>0.35900103632478625</v>
      </c>
      <c r="S29">
        <v>10</v>
      </c>
      <c r="T29" t="s">
        <v>103</v>
      </c>
      <c r="U29" s="14">
        <v>66.629902222222199</v>
      </c>
      <c r="V29" s="49">
        <v>0.34169180626780615</v>
      </c>
      <c r="W29">
        <v>12</v>
      </c>
      <c r="X29" s="49">
        <v>6.2022900763358778E-3</v>
      </c>
      <c r="Z29" s="26"/>
      <c r="AA29" s="50">
        <v>10</v>
      </c>
      <c r="AB29" s="26" t="s">
        <v>103</v>
      </c>
      <c r="AC29" s="63">
        <v>66.629902222222199</v>
      </c>
      <c r="AD29" s="64">
        <v>46.517175572519086</v>
      </c>
      <c r="AE29" s="63">
        <f t="shared" si="7"/>
        <v>3099.4348600508897</v>
      </c>
      <c r="AF29" s="26"/>
      <c r="AG29" s="26"/>
      <c r="AH29" s="50">
        <v>18</v>
      </c>
      <c r="AI29" s="26" t="s">
        <v>111</v>
      </c>
      <c r="AJ29" s="63">
        <v>31839.156023377865</v>
      </c>
      <c r="AM29" s="26"/>
    </row>
    <row r="30" spans="3:39" ht="17">
      <c r="C30">
        <v>11</v>
      </c>
      <c r="D30">
        <v>11</v>
      </c>
      <c r="E30" t="s">
        <v>104</v>
      </c>
      <c r="F30">
        <v>195</v>
      </c>
      <c r="G30" s="14">
        <f t="shared" si="2"/>
        <v>162.5</v>
      </c>
      <c r="H30" s="35">
        <v>3.3396946564885495E-3</v>
      </c>
      <c r="I30" s="14">
        <v>24.867599999999996</v>
      </c>
      <c r="J30">
        <v>6</v>
      </c>
      <c r="K30" s="14">
        <f t="shared" si="3"/>
        <v>25.314748958333332</v>
      </c>
      <c r="L30" s="14">
        <f t="shared" si="4"/>
        <v>50.182348958333328</v>
      </c>
      <c r="M30" s="14">
        <f t="shared" si="5"/>
        <v>137.63240000000002</v>
      </c>
      <c r="N30" s="17">
        <f t="shared" si="8"/>
        <v>0.70580717948717953</v>
      </c>
      <c r="O30" s="14">
        <f t="shared" si="6"/>
        <v>112.31765104166669</v>
      </c>
      <c r="P30" s="17">
        <f t="shared" si="9"/>
        <v>0.57598795405982917</v>
      </c>
      <c r="S30">
        <v>11</v>
      </c>
      <c r="T30" t="s">
        <v>104</v>
      </c>
      <c r="U30" s="14">
        <v>110.63000111111113</v>
      </c>
      <c r="V30" s="49">
        <v>0.56733333903133909</v>
      </c>
      <c r="W30">
        <v>6</v>
      </c>
      <c r="X30" s="49">
        <v>3.3396946564885495E-3</v>
      </c>
      <c r="Z30" s="26"/>
      <c r="AA30" s="50">
        <v>11</v>
      </c>
      <c r="AB30" s="26" t="s">
        <v>104</v>
      </c>
      <c r="AC30" s="63">
        <v>110.63000111111113</v>
      </c>
      <c r="AD30" s="64">
        <v>25.047709923664122</v>
      </c>
      <c r="AE30" s="63">
        <f t="shared" si="7"/>
        <v>2771.0281766857511</v>
      </c>
      <c r="AF30" s="26"/>
      <c r="AG30" s="50"/>
      <c r="AH30" s="50">
        <v>24</v>
      </c>
      <c r="AI30" s="26" t="s">
        <v>20</v>
      </c>
      <c r="AJ30" s="63">
        <v>21863.520380089059</v>
      </c>
      <c r="AM30" s="26"/>
    </row>
    <row r="31" spans="3:39" ht="17">
      <c r="C31">
        <v>12</v>
      </c>
      <c r="D31">
        <v>12</v>
      </c>
      <c r="E31" t="s">
        <v>105</v>
      </c>
      <c r="F31">
        <v>195</v>
      </c>
      <c r="G31" s="14">
        <f t="shared" si="2"/>
        <v>162.5</v>
      </c>
      <c r="H31" s="35">
        <v>9.5419847328244278E-3</v>
      </c>
      <c r="I31" s="14">
        <v>29.402091999999993</v>
      </c>
      <c r="J31">
        <v>6</v>
      </c>
      <c r="K31" s="14">
        <f t="shared" si="3"/>
        <v>25.314748958333332</v>
      </c>
      <c r="L31" s="14">
        <f t="shared" si="4"/>
        <v>54.716840958333322</v>
      </c>
      <c r="M31" s="14">
        <f t="shared" si="5"/>
        <v>133.09790800000002</v>
      </c>
      <c r="N31" s="17">
        <f t="shared" si="8"/>
        <v>0.68255337435897445</v>
      </c>
      <c r="O31" s="14">
        <f t="shared" si="6"/>
        <v>107.78315904166669</v>
      </c>
      <c r="P31" s="17">
        <f t="shared" si="9"/>
        <v>0.55273414893162409</v>
      </c>
      <c r="S31">
        <v>12</v>
      </c>
      <c r="T31" t="s">
        <v>105</v>
      </c>
      <c r="U31" s="14">
        <v>106.09550911111113</v>
      </c>
      <c r="V31" s="49">
        <v>0.54407953390313402</v>
      </c>
      <c r="W31">
        <v>6</v>
      </c>
      <c r="X31" s="49">
        <v>9.5419847328244278E-3</v>
      </c>
      <c r="Z31" s="26"/>
      <c r="AA31" s="50">
        <v>12</v>
      </c>
      <c r="AB31" s="26" t="s">
        <v>105</v>
      </c>
      <c r="AC31" s="63">
        <v>106.09550911111113</v>
      </c>
      <c r="AD31" s="64">
        <v>71.564885496183209</v>
      </c>
      <c r="AE31" s="63">
        <f t="shared" si="7"/>
        <v>7592.7129611959299</v>
      </c>
      <c r="AF31" s="26"/>
      <c r="AG31" s="50"/>
      <c r="AH31" s="50">
        <v>22</v>
      </c>
      <c r="AI31" s="26" t="s">
        <v>114</v>
      </c>
      <c r="AJ31" s="63">
        <v>20985.344521310442</v>
      </c>
      <c r="AM31" s="26"/>
    </row>
    <row r="32" spans="3:39" ht="17">
      <c r="C32">
        <v>13</v>
      </c>
      <c r="D32">
        <v>13</v>
      </c>
      <c r="E32" t="s">
        <v>106</v>
      </c>
      <c r="F32">
        <v>195</v>
      </c>
      <c r="G32" s="14">
        <f t="shared" si="2"/>
        <v>162.5</v>
      </c>
      <c r="H32" s="35">
        <v>1.717557251908397E-2</v>
      </c>
      <c r="I32" s="14">
        <v>25.075999999999997</v>
      </c>
      <c r="J32">
        <v>12</v>
      </c>
      <c r="K32" s="14">
        <f t="shared" si="3"/>
        <v>50.629497916666665</v>
      </c>
      <c r="L32" s="14">
        <f t="shared" si="4"/>
        <v>75.705497916666658</v>
      </c>
      <c r="M32" s="14">
        <f t="shared" si="5"/>
        <v>137.42400000000001</v>
      </c>
      <c r="N32" s="17">
        <f t="shared" si="8"/>
        <v>0.70473846153846154</v>
      </c>
      <c r="O32" s="14">
        <f t="shared" si="6"/>
        <v>86.794502083333342</v>
      </c>
      <c r="P32" s="17">
        <f t="shared" si="9"/>
        <v>0.44510001068376071</v>
      </c>
      <c r="S32">
        <v>13</v>
      </c>
      <c r="T32" t="s">
        <v>106</v>
      </c>
      <c r="U32" s="14">
        <v>83.419202222222225</v>
      </c>
      <c r="V32" s="49">
        <v>0.42779078062678066</v>
      </c>
      <c r="W32">
        <v>12</v>
      </c>
      <c r="X32" s="49">
        <v>1.717557251908397E-2</v>
      </c>
      <c r="Z32" s="26"/>
      <c r="AA32" s="50">
        <v>13</v>
      </c>
      <c r="AB32" s="26" t="s">
        <v>106</v>
      </c>
      <c r="AC32" s="63">
        <v>83.419202222222225</v>
      </c>
      <c r="AD32" s="64">
        <v>128.81679389312978</v>
      </c>
      <c r="AE32" s="63">
        <f t="shared" si="7"/>
        <v>10745.794179389315</v>
      </c>
      <c r="AF32" s="26"/>
      <c r="AG32" s="50"/>
      <c r="AH32" s="50">
        <v>47</v>
      </c>
      <c r="AI32" s="26" t="s">
        <v>133</v>
      </c>
      <c r="AJ32" s="63">
        <v>19728.596176579729</v>
      </c>
      <c r="AM32" s="26"/>
    </row>
    <row r="33" spans="3:39" ht="17">
      <c r="C33">
        <v>14</v>
      </c>
      <c r="D33">
        <v>14</v>
      </c>
      <c r="E33" t="s">
        <v>107</v>
      </c>
      <c r="F33">
        <v>195</v>
      </c>
      <c r="G33" s="14">
        <f t="shared" si="2"/>
        <v>162.5</v>
      </c>
      <c r="H33" s="35">
        <v>4.7709923664122139E-3</v>
      </c>
      <c r="I33" s="14">
        <v>23.622099999999989</v>
      </c>
      <c r="J33">
        <v>6</v>
      </c>
      <c r="K33" s="14">
        <f t="shared" si="3"/>
        <v>25.314748958333332</v>
      </c>
      <c r="L33" s="14">
        <f t="shared" si="4"/>
        <v>48.936848958333321</v>
      </c>
      <c r="M33" s="14">
        <f t="shared" si="5"/>
        <v>138.87790000000001</v>
      </c>
      <c r="N33" s="17">
        <f t="shared" si="8"/>
        <v>0.71219435897435901</v>
      </c>
      <c r="O33" s="14">
        <f t="shared" si="6"/>
        <v>113.56315104166669</v>
      </c>
      <c r="P33" s="17">
        <f t="shared" si="9"/>
        <v>0.58237513354700865</v>
      </c>
      <c r="S33">
        <v>14</v>
      </c>
      <c r="T33" t="s">
        <v>107</v>
      </c>
      <c r="U33" s="14">
        <v>111.87550111111112</v>
      </c>
      <c r="V33" s="49">
        <v>0.57372051851851857</v>
      </c>
      <c r="W33">
        <v>6</v>
      </c>
      <c r="X33" s="49">
        <v>4.7709923664122139E-3</v>
      </c>
      <c r="Z33" s="26"/>
      <c r="AA33" s="50">
        <v>14</v>
      </c>
      <c r="AB33" s="26" t="s">
        <v>107</v>
      </c>
      <c r="AC33" s="63">
        <v>111.87550111111112</v>
      </c>
      <c r="AD33" s="64">
        <v>35.782442748091604</v>
      </c>
      <c r="AE33" s="63">
        <f t="shared" si="7"/>
        <v>4003.1787134223923</v>
      </c>
      <c r="AF33" s="26"/>
      <c r="AG33" s="50"/>
      <c r="AH33" s="50">
        <v>20</v>
      </c>
      <c r="AI33" s="26" t="s">
        <v>112</v>
      </c>
      <c r="AJ33" s="63">
        <v>18083.212794211198</v>
      </c>
      <c r="AM33" s="26"/>
    </row>
    <row r="34" spans="3:39" ht="17">
      <c r="C34">
        <v>15</v>
      </c>
      <c r="D34">
        <v>15</v>
      </c>
      <c r="E34" t="s">
        <v>108</v>
      </c>
      <c r="F34">
        <v>220</v>
      </c>
      <c r="G34" s="14">
        <f t="shared" si="2"/>
        <v>183.33333333333334</v>
      </c>
      <c r="H34" s="35">
        <v>6.2022900763358778E-3</v>
      </c>
      <c r="I34" s="14">
        <v>44.382199999999997</v>
      </c>
      <c r="J34">
        <v>8</v>
      </c>
      <c r="K34" s="14">
        <f t="shared" si="3"/>
        <v>33.75299861111111</v>
      </c>
      <c r="L34" s="14">
        <f t="shared" si="4"/>
        <v>78.135198611111107</v>
      </c>
      <c r="M34" s="14">
        <f t="shared" si="5"/>
        <v>138.95113333333336</v>
      </c>
      <c r="N34" s="17">
        <f t="shared" si="8"/>
        <v>0.63159606060606077</v>
      </c>
      <c r="O34" s="14">
        <f t="shared" si="6"/>
        <v>105.19813472222225</v>
      </c>
      <c r="P34" s="17">
        <f t="shared" si="9"/>
        <v>0.47817333964646475</v>
      </c>
      <c r="S34">
        <v>15</v>
      </c>
      <c r="T34" t="s">
        <v>108</v>
      </c>
      <c r="U34" s="14">
        <v>102.94793481481484</v>
      </c>
      <c r="V34" s="49">
        <v>0.46794515824915839</v>
      </c>
      <c r="W34">
        <v>8</v>
      </c>
      <c r="X34" s="49">
        <v>6.2022900763358778E-3</v>
      </c>
      <c r="Z34" s="26"/>
      <c r="AA34" s="50">
        <v>15</v>
      </c>
      <c r="AB34" s="26" t="s">
        <v>108</v>
      </c>
      <c r="AC34" s="63">
        <v>102.94793481481484</v>
      </c>
      <c r="AD34" s="64">
        <v>46.517175572519086</v>
      </c>
      <c r="AE34" s="63">
        <f t="shared" si="7"/>
        <v>4788.8471586089918</v>
      </c>
      <c r="AF34" s="26"/>
      <c r="AG34" s="50"/>
      <c r="AH34" s="50">
        <v>30</v>
      </c>
      <c r="AI34" s="26" t="s">
        <v>121</v>
      </c>
      <c r="AJ34" s="63">
        <v>17191.397932569977</v>
      </c>
      <c r="AM34" s="26"/>
    </row>
    <row r="35" spans="3:39" ht="17">
      <c r="C35">
        <v>16</v>
      </c>
      <c r="D35">
        <v>16</v>
      </c>
      <c r="E35" t="s">
        <v>109</v>
      </c>
      <c r="F35">
        <v>220</v>
      </c>
      <c r="G35" s="14">
        <f t="shared" si="2"/>
        <v>183.33333333333334</v>
      </c>
      <c r="H35" s="35">
        <v>1.2404580152671756E-2</v>
      </c>
      <c r="I35" s="14">
        <v>42.750999999999991</v>
      </c>
      <c r="J35">
        <v>12</v>
      </c>
      <c r="K35" s="14">
        <f t="shared" si="3"/>
        <v>50.629497916666665</v>
      </c>
      <c r="L35" s="14">
        <f t="shared" si="4"/>
        <v>93.380497916666656</v>
      </c>
      <c r="M35" s="14">
        <f t="shared" si="5"/>
        <v>140.58233333333334</v>
      </c>
      <c r="N35" s="17">
        <f t="shared" si="8"/>
        <v>0.63901060606060611</v>
      </c>
      <c r="O35" s="14">
        <f t="shared" si="6"/>
        <v>89.952835416666673</v>
      </c>
      <c r="P35" s="17">
        <f t="shared" si="9"/>
        <v>0.40887652462121216</v>
      </c>
      <c r="S35">
        <v>16</v>
      </c>
      <c r="T35" t="s">
        <v>109</v>
      </c>
      <c r="U35" s="14">
        <v>86.577535555555556</v>
      </c>
      <c r="V35" s="49">
        <v>0.39353425252525254</v>
      </c>
      <c r="W35">
        <v>12</v>
      </c>
      <c r="X35" s="49">
        <v>1.2404580152671756E-2</v>
      </c>
      <c r="Z35" s="26"/>
      <c r="AA35" s="50">
        <v>16</v>
      </c>
      <c r="AB35" s="26" t="s">
        <v>109</v>
      </c>
      <c r="AC35" s="63">
        <v>86.577535555555556</v>
      </c>
      <c r="AD35" s="64">
        <v>93.034351145038173</v>
      </c>
      <c r="AE35" s="63">
        <f t="shared" si="7"/>
        <v>8054.6848441475831</v>
      </c>
      <c r="AF35" s="26"/>
      <c r="AG35" s="50"/>
      <c r="AH35" s="50">
        <v>36</v>
      </c>
      <c r="AI35" s="26" t="s">
        <v>125</v>
      </c>
      <c r="AJ35" s="63">
        <v>16915.809844147589</v>
      </c>
      <c r="AM35" s="26"/>
    </row>
    <row r="36" spans="3:39" ht="17">
      <c r="C36">
        <v>17</v>
      </c>
      <c r="D36">
        <v>17</v>
      </c>
      <c r="E36" t="s">
        <v>110</v>
      </c>
      <c r="F36">
        <v>220</v>
      </c>
      <c r="G36" s="14">
        <f t="shared" si="2"/>
        <v>183.33333333333334</v>
      </c>
      <c r="H36" s="35">
        <v>1.2404580152671756E-2</v>
      </c>
      <c r="I36" s="14">
        <v>48.703699999999991</v>
      </c>
      <c r="J36">
        <v>6</v>
      </c>
      <c r="K36" s="14">
        <f t="shared" si="3"/>
        <v>25.314748958333332</v>
      </c>
      <c r="L36" s="14">
        <f t="shared" si="4"/>
        <v>74.018448958333323</v>
      </c>
      <c r="M36" s="14">
        <f t="shared" si="5"/>
        <v>134.62963333333335</v>
      </c>
      <c r="N36" s="17">
        <f t="shared" si="8"/>
        <v>0.61195287878787885</v>
      </c>
      <c r="O36" s="14">
        <f t="shared" si="6"/>
        <v>109.31488437500002</v>
      </c>
      <c r="P36" s="17">
        <f t="shared" si="9"/>
        <v>0.49688583806818193</v>
      </c>
      <c r="S36">
        <v>17</v>
      </c>
      <c r="T36" t="s">
        <v>110</v>
      </c>
      <c r="U36" s="14">
        <v>107.62723444444445</v>
      </c>
      <c r="V36" s="49">
        <v>0.48921470202020206</v>
      </c>
      <c r="W36">
        <v>6</v>
      </c>
      <c r="X36" s="49">
        <v>1.2404580152671756E-2</v>
      </c>
      <c r="Z36" s="26"/>
      <c r="AA36" s="50">
        <v>17</v>
      </c>
      <c r="AB36" s="26" t="s">
        <v>110</v>
      </c>
      <c r="AC36" s="63">
        <v>107.62723444444445</v>
      </c>
      <c r="AD36" s="64">
        <v>93.034351145038173</v>
      </c>
      <c r="AE36" s="63">
        <f t="shared" si="7"/>
        <v>10013.029922073792</v>
      </c>
      <c r="AF36" s="26"/>
      <c r="AG36" s="50"/>
      <c r="AH36" s="50">
        <v>42</v>
      </c>
      <c r="AI36" s="26" t="s">
        <v>150</v>
      </c>
      <c r="AJ36" s="63">
        <v>15796.731086991102</v>
      </c>
      <c r="AM36" s="26"/>
    </row>
    <row r="37" spans="3:39" ht="17">
      <c r="C37">
        <v>18</v>
      </c>
      <c r="D37">
        <v>18</v>
      </c>
      <c r="E37" t="s">
        <v>111</v>
      </c>
      <c r="F37">
        <v>175</v>
      </c>
      <c r="G37" s="14">
        <f t="shared" si="2"/>
        <v>145.83333333333334</v>
      </c>
      <c r="H37" s="35">
        <v>4.4370229007633585E-2</v>
      </c>
      <c r="I37" s="14">
        <v>23.153699999999997</v>
      </c>
      <c r="J37">
        <v>6</v>
      </c>
      <c r="K37" s="14">
        <f t="shared" si="3"/>
        <v>25.314748958333332</v>
      </c>
      <c r="L37" s="14">
        <f t="shared" si="4"/>
        <v>48.468448958333326</v>
      </c>
      <c r="M37" s="14">
        <f t="shared" si="5"/>
        <v>122.67963333333334</v>
      </c>
      <c r="N37" s="17">
        <f t="shared" si="8"/>
        <v>0.7010264761904762</v>
      </c>
      <c r="O37" s="14">
        <f t="shared" si="6"/>
        <v>97.364884375000003</v>
      </c>
      <c r="P37" s="17">
        <f t="shared" si="9"/>
        <v>0.5563707678571429</v>
      </c>
      <c r="S37">
        <v>18</v>
      </c>
      <c r="T37" t="s">
        <v>111</v>
      </c>
      <c r="U37" s="14">
        <v>95.677234444444451</v>
      </c>
      <c r="V37" s="49">
        <v>0.54672705396825405</v>
      </c>
      <c r="W37">
        <v>6</v>
      </c>
      <c r="X37" s="49">
        <v>4.4370229007633585E-2</v>
      </c>
      <c r="Z37" s="26"/>
      <c r="AA37" s="50">
        <v>18</v>
      </c>
      <c r="AB37" s="26" t="s">
        <v>111</v>
      </c>
      <c r="AC37" s="63">
        <v>95.677234444444451</v>
      </c>
      <c r="AD37" s="64">
        <v>332.77671755725191</v>
      </c>
      <c r="AE37" s="63">
        <f t="shared" si="7"/>
        <v>31839.156023377865</v>
      </c>
      <c r="AF37" s="26"/>
      <c r="AG37" s="50"/>
      <c r="AH37" s="50">
        <v>27</v>
      </c>
      <c r="AI37" s="26" t="s">
        <v>118</v>
      </c>
      <c r="AJ37" s="63">
        <v>14871.152449109415</v>
      </c>
      <c r="AM37" s="26"/>
    </row>
    <row r="38" spans="3:39" ht="17">
      <c r="C38">
        <v>19</v>
      </c>
      <c r="D38">
        <v>19</v>
      </c>
      <c r="E38" t="s">
        <v>185</v>
      </c>
      <c r="F38">
        <v>158</v>
      </c>
      <c r="G38" s="14">
        <f t="shared" si="2"/>
        <v>131.66666666666669</v>
      </c>
      <c r="H38" s="35">
        <v>9.5419847328244278E-3</v>
      </c>
      <c r="I38" s="14">
        <v>23.153699999999997</v>
      </c>
      <c r="J38">
        <v>6</v>
      </c>
      <c r="K38" s="14">
        <f t="shared" si="3"/>
        <v>25.314748958333332</v>
      </c>
      <c r="L38" s="14">
        <f t="shared" si="4"/>
        <v>48.468448958333326</v>
      </c>
      <c r="M38" s="14">
        <f t="shared" si="5"/>
        <v>108.51296666666669</v>
      </c>
      <c r="N38" s="17">
        <f t="shared" si="8"/>
        <v>0.68679092827004229</v>
      </c>
      <c r="O38" s="14">
        <f t="shared" si="6"/>
        <v>83.198217708333345</v>
      </c>
      <c r="P38" s="17">
        <f t="shared" si="9"/>
        <v>0.52657099815400854</v>
      </c>
      <c r="S38">
        <v>19</v>
      </c>
      <c r="T38" t="s">
        <v>185</v>
      </c>
      <c r="U38" s="14">
        <v>81.510567777777794</v>
      </c>
      <c r="V38" s="49">
        <v>0.51588966947960624</v>
      </c>
      <c r="W38">
        <v>6</v>
      </c>
      <c r="X38" s="49">
        <v>9.5419847328244278E-3</v>
      </c>
      <c r="Z38" s="26"/>
      <c r="AA38" s="50">
        <v>19</v>
      </c>
      <c r="AB38" s="26" t="s">
        <v>185</v>
      </c>
      <c r="AC38" s="63">
        <v>81.510567777777794</v>
      </c>
      <c r="AD38" s="64">
        <v>71.564885496183209</v>
      </c>
      <c r="AE38" s="63">
        <f t="shared" si="7"/>
        <v>5833.2944497455483</v>
      </c>
      <c r="AF38" s="26"/>
      <c r="AG38" s="50"/>
      <c r="AH38" s="50">
        <v>25</v>
      </c>
      <c r="AI38" s="26" t="s">
        <v>116</v>
      </c>
      <c r="AJ38" s="63">
        <v>13825.558603689569</v>
      </c>
      <c r="AM38" s="26"/>
    </row>
    <row r="39" spans="3:39" ht="17">
      <c r="C39">
        <v>20</v>
      </c>
      <c r="D39">
        <v>20</v>
      </c>
      <c r="E39" t="s">
        <v>112</v>
      </c>
      <c r="F39">
        <v>158</v>
      </c>
      <c r="G39" s="14">
        <f t="shared" si="2"/>
        <v>131.66666666666669</v>
      </c>
      <c r="H39" s="35">
        <v>2.9580152671755726E-2</v>
      </c>
      <c r="I39" s="14">
        <v>23.153699999999997</v>
      </c>
      <c r="J39">
        <v>6</v>
      </c>
      <c r="K39" s="14">
        <f t="shared" si="3"/>
        <v>25.314748958333332</v>
      </c>
      <c r="L39" s="14">
        <f t="shared" si="4"/>
        <v>48.468448958333326</v>
      </c>
      <c r="M39" s="14">
        <f t="shared" si="5"/>
        <v>108.51296666666669</v>
      </c>
      <c r="N39" s="17">
        <f t="shared" si="8"/>
        <v>0.68679092827004229</v>
      </c>
      <c r="O39" s="14">
        <f t="shared" si="6"/>
        <v>83.198217708333345</v>
      </c>
      <c r="P39" s="17">
        <f t="shared" si="9"/>
        <v>0.52657099815400854</v>
      </c>
      <c r="S39">
        <v>20</v>
      </c>
      <c r="T39" t="s">
        <v>112</v>
      </c>
      <c r="U39" s="14">
        <v>81.510567777777794</v>
      </c>
      <c r="V39" s="49">
        <v>0.51588966947960624</v>
      </c>
      <c r="W39">
        <v>6</v>
      </c>
      <c r="X39" s="49">
        <v>2.9580152671755726E-2</v>
      </c>
      <c r="Z39" s="26"/>
      <c r="AA39" s="50">
        <v>20</v>
      </c>
      <c r="AB39" s="26" t="s">
        <v>112</v>
      </c>
      <c r="AC39" s="63">
        <v>81.510567777777794</v>
      </c>
      <c r="AD39" s="64">
        <v>221.85114503816794</v>
      </c>
      <c r="AE39" s="63">
        <f t="shared" si="7"/>
        <v>18083.212794211198</v>
      </c>
      <c r="AF39" s="26"/>
      <c r="AG39" s="26"/>
      <c r="AH39" s="50">
        <v>46</v>
      </c>
      <c r="AI39" s="26" t="s">
        <v>21</v>
      </c>
      <c r="AJ39" s="63">
        <v>12113.309952820189</v>
      </c>
    </row>
    <row r="40" spans="3:39" ht="17">
      <c r="C40">
        <v>21</v>
      </c>
      <c r="D40">
        <v>21</v>
      </c>
      <c r="E40" t="s">
        <v>113</v>
      </c>
      <c r="F40">
        <v>158</v>
      </c>
      <c r="G40" s="14">
        <f t="shared" si="2"/>
        <v>131.66666666666669</v>
      </c>
      <c r="H40" s="35">
        <v>1.7652671755725192E-2</v>
      </c>
      <c r="I40" s="14">
        <v>23.403699999999997</v>
      </c>
      <c r="J40">
        <v>6</v>
      </c>
      <c r="K40" s="14">
        <f t="shared" si="3"/>
        <v>25.314748958333332</v>
      </c>
      <c r="L40" s="14">
        <f t="shared" si="4"/>
        <v>48.718448958333326</v>
      </c>
      <c r="M40" s="14">
        <f t="shared" si="5"/>
        <v>108.26296666666669</v>
      </c>
      <c r="N40" s="17">
        <f t="shared" si="8"/>
        <v>0.68520864978902962</v>
      </c>
      <c r="O40" s="14">
        <f t="shared" si="6"/>
        <v>82.948217708333345</v>
      </c>
      <c r="P40" s="17">
        <f t="shared" si="9"/>
        <v>0.52498871967299587</v>
      </c>
      <c r="S40">
        <v>21</v>
      </c>
      <c r="T40" t="s">
        <v>113</v>
      </c>
      <c r="U40" s="14">
        <v>81.260567777777794</v>
      </c>
      <c r="V40" s="49">
        <v>0.51430739099859368</v>
      </c>
      <c r="W40">
        <v>6</v>
      </c>
      <c r="X40" s="49">
        <v>1.7652671755725192E-2</v>
      </c>
      <c r="Z40" s="26"/>
      <c r="AA40" s="50">
        <v>21</v>
      </c>
      <c r="AB40" s="26" t="s">
        <v>113</v>
      </c>
      <c r="AC40" s="63">
        <v>81.260567777777794</v>
      </c>
      <c r="AD40" s="64">
        <v>132.39503816793894</v>
      </c>
      <c r="AE40" s="63">
        <f t="shared" si="7"/>
        <v>10758.495972487281</v>
      </c>
      <c r="AF40" s="26"/>
      <c r="AG40" s="50"/>
      <c r="AH40" s="50">
        <v>41</v>
      </c>
      <c r="AI40" s="26" t="s">
        <v>130</v>
      </c>
      <c r="AJ40" s="63">
        <v>10783.058810432574</v>
      </c>
      <c r="AM40" s="26"/>
    </row>
    <row r="41" spans="3:39" ht="17">
      <c r="C41">
        <v>22</v>
      </c>
      <c r="D41">
        <v>22</v>
      </c>
      <c r="E41" t="s">
        <v>114</v>
      </c>
      <c r="F41">
        <v>158</v>
      </c>
      <c r="G41" s="14">
        <f t="shared" si="2"/>
        <v>131.66666666666669</v>
      </c>
      <c r="H41" s="35">
        <v>4.6278625954198474E-2</v>
      </c>
      <c r="I41" s="14">
        <v>17.200999999999997</v>
      </c>
      <c r="J41">
        <v>12</v>
      </c>
      <c r="K41" s="14">
        <f t="shared" si="3"/>
        <v>50.629497916666665</v>
      </c>
      <c r="L41" s="14">
        <f t="shared" si="4"/>
        <v>67.830497916666658</v>
      </c>
      <c r="M41" s="14">
        <f t="shared" si="5"/>
        <v>114.46566666666669</v>
      </c>
      <c r="N41" s="17">
        <f t="shared" si="8"/>
        <v>0.72446624472573851</v>
      </c>
      <c r="O41" s="14">
        <f t="shared" si="6"/>
        <v>63.836168750000027</v>
      </c>
      <c r="P41" s="17">
        <f t="shared" si="9"/>
        <v>0.40402638449367106</v>
      </c>
      <c r="S41">
        <v>22</v>
      </c>
      <c r="T41" t="s">
        <v>114</v>
      </c>
      <c r="U41" s="14">
        <v>60.460868888888918</v>
      </c>
      <c r="V41" s="49">
        <v>0.38266372714486657</v>
      </c>
      <c r="W41">
        <v>12</v>
      </c>
      <c r="X41" s="49">
        <v>4.6278625954198474E-2</v>
      </c>
      <c r="Z41" s="26"/>
      <c r="AA41" s="50">
        <v>22</v>
      </c>
      <c r="AB41" s="26" t="s">
        <v>114</v>
      </c>
      <c r="AC41" s="63">
        <v>60.460868888888918</v>
      </c>
      <c r="AD41" s="64">
        <v>347.08969465648858</v>
      </c>
      <c r="AE41" s="63">
        <f t="shared" si="7"/>
        <v>20985.344521310442</v>
      </c>
      <c r="AF41" s="26"/>
      <c r="AG41" s="50"/>
      <c r="AH41" s="50">
        <v>21</v>
      </c>
      <c r="AI41" s="26" t="s">
        <v>113</v>
      </c>
      <c r="AJ41" s="63">
        <v>10758.495972487281</v>
      </c>
      <c r="AM41" s="26"/>
    </row>
    <row r="42" spans="3:39" ht="17">
      <c r="C42">
        <v>23</v>
      </c>
      <c r="D42">
        <v>23</v>
      </c>
      <c r="E42" t="s">
        <v>115</v>
      </c>
      <c r="F42">
        <v>188</v>
      </c>
      <c r="G42" s="14">
        <f t="shared" si="2"/>
        <v>156.66666666666669</v>
      </c>
      <c r="H42" s="35">
        <v>1.717557251908397E-2</v>
      </c>
      <c r="I42" s="14">
        <v>28.101700000000001</v>
      </c>
      <c r="J42">
        <v>12</v>
      </c>
      <c r="K42" s="14">
        <f t="shared" si="3"/>
        <v>50.629497916666665</v>
      </c>
      <c r="L42" s="14">
        <f t="shared" si="4"/>
        <v>78.731197916666673</v>
      </c>
      <c r="M42" s="14">
        <f t="shared" si="5"/>
        <v>128.56496666666669</v>
      </c>
      <c r="N42" s="17">
        <f t="shared" si="8"/>
        <v>0.68385620567375904</v>
      </c>
      <c r="O42" s="14">
        <f t="shared" si="6"/>
        <v>77.935468750000027</v>
      </c>
      <c r="P42" s="17">
        <f t="shared" si="9"/>
        <v>0.41455036569148951</v>
      </c>
      <c r="S42">
        <v>23</v>
      </c>
      <c r="T42" t="s">
        <v>115</v>
      </c>
      <c r="U42" s="14">
        <v>74.56016888888891</v>
      </c>
      <c r="V42" s="49">
        <v>0.39659664302600484</v>
      </c>
      <c r="W42">
        <v>12</v>
      </c>
      <c r="X42" s="49">
        <v>1.717557251908397E-2</v>
      </c>
      <c r="Z42" s="26"/>
      <c r="AA42" s="50">
        <v>23</v>
      </c>
      <c r="AB42" s="26" t="s">
        <v>115</v>
      </c>
      <c r="AC42" s="63">
        <v>74.56016888888891</v>
      </c>
      <c r="AD42" s="64">
        <v>128.81679389312978</v>
      </c>
      <c r="AE42" s="63">
        <f t="shared" si="7"/>
        <v>9604.6019083969495</v>
      </c>
      <c r="AF42" s="26"/>
      <c r="AG42" s="50"/>
      <c r="AH42" s="50">
        <v>13</v>
      </c>
      <c r="AI42" s="26" t="s">
        <v>106</v>
      </c>
      <c r="AJ42" s="63">
        <v>10745.794179389315</v>
      </c>
      <c r="AM42" s="26"/>
    </row>
    <row r="43" spans="3:39" ht="17">
      <c r="C43">
        <v>24</v>
      </c>
      <c r="D43">
        <v>24</v>
      </c>
      <c r="E43" t="s">
        <v>20</v>
      </c>
      <c r="F43">
        <v>220</v>
      </c>
      <c r="G43" s="14">
        <f t="shared" si="2"/>
        <v>183.33333333333334</v>
      </c>
      <c r="H43" s="35">
        <v>2.7671755725190841E-2</v>
      </c>
      <c r="I43" s="14">
        <v>23.981549999999999</v>
      </c>
      <c r="J43">
        <v>12</v>
      </c>
      <c r="K43" s="14">
        <f t="shared" si="3"/>
        <v>50.629497916666665</v>
      </c>
      <c r="L43" s="14">
        <f t="shared" si="4"/>
        <v>74.611047916666664</v>
      </c>
      <c r="M43" s="14">
        <f t="shared" si="5"/>
        <v>159.35178333333334</v>
      </c>
      <c r="N43" s="17">
        <f t="shared" si="8"/>
        <v>0.72432628787878794</v>
      </c>
      <c r="O43" s="14">
        <f t="shared" si="6"/>
        <v>108.72228541666668</v>
      </c>
      <c r="P43" s="17">
        <f t="shared" si="9"/>
        <v>0.49419220643939399</v>
      </c>
      <c r="S43">
        <v>24</v>
      </c>
      <c r="T43" t="s">
        <v>20</v>
      </c>
      <c r="U43" s="14">
        <v>105.34698555555556</v>
      </c>
      <c r="V43" s="49">
        <v>0.47884993434343437</v>
      </c>
      <c r="W43">
        <v>12</v>
      </c>
      <c r="X43" s="49">
        <v>2.7671755725190841E-2</v>
      </c>
      <c r="Z43" s="26"/>
      <c r="AA43" s="50">
        <v>24</v>
      </c>
      <c r="AB43" s="26" t="s">
        <v>20</v>
      </c>
      <c r="AC43" s="63">
        <v>105.34698555555556</v>
      </c>
      <c r="AD43" s="64">
        <v>207.53816793893131</v>
      </c>
      <c r="AE43" s="63">
        <f t="shared" si="7"/>
        <v>21863.520380089059</v>
      </c>
      <c r="AF43" s="26"/>
      <c r="AG43" s="50"/>
      <c r="AH43" s="50">
        <v>17</v>
      </c>
      <c r="AI43" s="26" t="s">
        <v>110</v>
      </c>
      <c r="AJ43" s="63">
        <v>10013.029922073792</v>
      </c>
      <c r="AM43" s="26"/>
    </row>
    <row r="44" spans="3:39" ht="17">
      <c r="C44">
        <v>25</v>
      </c>
      <c r="D44">
        <v>25</v>
      </c>
      <c r="E44" t="s">
        <v>116</v>
      </c>
      <c r="F44">
        <v>230</v>
      </c>
      <c r="G44" s="14">
        <f t="shared" si="2"/>
        <v>191.66666666666669</v>
      </c>
      <c r="H44" s="35">
        <v>1.9083969465648856E-2</v>
      </c>
      <c r="I44" s="14">
        <v>27.566099999999992</v>
      </c>
      <c r="J44">
        <v>15</v>
      </c>
      <c r="K44" s="14">
        <f t="shared" si="3"/>
        <v>63.286872395833328</v>
      </c>
      <c r="L44" s="14">
        <f t="shared" si="4"/>
        <v>90.852972395833319</v>
      </c>
      <c r="M44" s="14">
        <f t="shared" si="5"/>
        <v>164.10056666666668</v>
      </c>
      <c r="N44" s="17">
        <f t="shared" si="8"/>
        <v>0.7134807246376812</v>
      </c>
      <c r="O44" s="14">
        <f t="shared" si="6"/>
        <v>100.81369427083335</v>
      </c>
      <c r="P44" s="17">
        <f t="shared" si="9"/>
        <v>0.43832040987318849</v>
      </c>
      <c r="S44">
        <v>25</v>
      </c>
      <c r="T44" t="s">
        <v>116</v>
      </c>
      <c r="U44" s="14">
        <v>96.59456944444446</v>
      </c>
      <c r="V44" s="49">
        <v>0.41997638888888894</v>
      </c>
      <c r="W44">
        <v>15</v>
      </c>
      <c r="X44" s="49">
        <v>1.9083969465648856E-2</v>
      </c>
      <c r="Z44" s="26"/>
      <c r="AA44" s="50">
        <v>25</v>
      </c>
      <c r="AB44" s="26" t="s">
        <v>116</v>
      </c>
      <c r="AC44" s="63">
        <v>96.59456944444446</v>
      </c>
      <c r="AD44" s="64">
        <v>143.12977099236642</v>
      </c>
      <c r="AE44" s="63">
        <f t="shared" si="7"/>
        <v>13825.558603689569</v>
      </c>
      <c r="AF44" s="26"/>
      <c r="AG44" s="26"/>
      <c r="AH44" s="50">
        <v>23</v>
      </c>
      <c r="AI44" s="26" t="s">
        <v>115</v>
      </c>
      <c r="AJ44" s="63">
        <v>9604.6019083969495</v>
      </c>
    </row>
    <row r="45" spans="3:39" ht="17">
      <c r="C45">
        <v>26</v>
      </c>
      <c r="D45">
        <v>26</v>
      </c>
      <c r="E45" t="s">
        <v>117</v>
      </c>
      <c r="F45">
        <v>220</v>
      </c>
      <c r="G45" s="14">
        <f t="shared" si="2"/>
        <v>183.33333333333334</v>
      </c>
      <c r="H45" s="35">
        <v>4.7709923664122139E-3</v>
      </c>
      <c r="I45" s="14">
        <v>55.173699999999997</v>
      </c>
      <c r="J45">
        <v>12</v>
      </c>
      <c r="K45" s="14">
        <f t="shared" si="3"/>
        <v>50.629497916666665</v>
      </c>
      <c r="L45" s="14">
        <f t="shared" si="4"/>
        <v>105.80319791666666</v>
      </c>
      <c r="M45" s="14">
        <f t="shared" si="5"/>
        <v>128.15963333333335</v>
      </c>
      <c r="N45" s="17">
        <f t="shared" si="8"/>
        <v>0.58254378787878791</v>
      </c>
      <c r="O45" s="14">
        <f t="shared" si="6"/>
        <v>77.530135416666681</v>
      </c>
      <c r="P45" s="17">
        <f t="shared" si="9"/>
        <v>0.35240970643939401</v>
      </c>
      <c r="S45">
        <v>26</v>
      </c>
      <c r="T45" t="s">
        <v>117</v>
      </c>
      <c r="U45" s="14">
        <v>74.154835555555564</v>
      </c>
      <c r="V45" s="49">
        <v>0.33706743434343439</v>
      </c>
      <c r="W45">
        <v>12</v>
      </c>
      <c r="X45" s="49">
        <v>4.7709923664122139E-3</v>
      </c>
      <c r="Z45" s="26"/>
      <c r="AA45" s="50">
        <v>26</v>
      </c>
      <c r="AB45" s="26" t="s">
        <v>117</v>
      </c>
      <c r="AC45" s="63">
        <v>74.154835555555564</v>
      </c>
      <c r="AD45" s="64">
        <v>35.782442748091604</v>
      </c>
      <c r="AE45" s="63">
        <f t="shared" si="7"/>
        <v>2653.4411577608148</v>
      </c>
      <c r="AF45" s="26"/>
      <c r="AG45" s="65"/>
      <c r="AH45" s="50">
        <v>49</v>
      </c>
      <c r="AI45" s="26" t="s">
        <v>134</v>
      </c>
      <c r="AJ45" s="63">
        <v>8811.0582538167982</v>
      </c>
      <c r="AM45" s="26"/>
    </row>
    <row r="46" spans="3:39" ht="17">
      <c r="C46">
        <v>27</v>
      </c>
      <c r="D46">
        <v>27</v>
      </c>
      <c r="E46" t="s">
        <v>118</v>
      </c>
      <c r="F46">
        <v>168</v>
      </c>
      <c r="G46" s="14">
        <f t="shared" si="2"/>
        <v>140</v>
      </c>
      <c r="H46" s="35">
        <v>2.3377862595419848E-2</v>
      </c>
      <c r="I46" s="14">
        <v>28.181449999999998</v>
      </c>
      <c r="J46">
        <v>6</v>
      </c>
      <c r="K46" s="14">
        <f t="shared" si="3"/>
        <v>25.314748958333332</v>
      </c>
      <c r="L46" s="14">
        <f t="shared" si="4"/>
        <v>53.496198958333331</v>
      </c>
      <c r="M46" s="14">
        <f t="shared" si="5"/>
        <v>111.81855</v>
      </c>
      <c r="N46" s="17">
        <f t="shared" si="8"/>
        <v>0.66558660714285711</v>
      </c>
      <c r="O46" s="14">
        <f t="shared" si="6"/>
        <v>86.503801041666662</v>
      </c>
      <c r="P46" s="17">
        <f t="shared" si="9"/>
        <v>0.51490357762896821</v>
      </c>
      <c r="S46">
        <v>27</v>
      </c>
      <c r="T46" t="s">
        <v>118</v>
      </c>
      <c r="U46" s="14">
        <v>84.816151111111111</v>
      </c>
      <c r="V46" s="49">
        <v>0.50485804232804232</v>
      </c>
      <c r="W46">
        <v>6</v>
      </c>
      <c r="X46" s="49">
        <v>2.3377862595419848E-2</v>
      </c>
      <c r="Z46" s="26"/>
      <c r="AA46" s="50">
        <v>27</v>
      </c>
      <c r="AB46" s="26" t="s">
        <v>118</v>
      </c>
      <c r="AC46" s="63">
        <v>84.816151111111111</v>
      </c>
      <c r="AD46" s="64">
        <v>175.33396946564886</v>
      </c>
      <c r="AE46" s="63">
        <f t="shared" si="7"/>
        <v>14871.152449109415</v>
      </c>
      <c r="AF46" s="26"/>
      <c r="AG46" s="50"/>
      <c r="AH46" s="50">
        <v>35</v>
      </c>
      <c r="AI46" s="26" t="s">
        <v>22</v>
      </c>
      <c r="AJ46" s="63">
        <v>8431.1156250000022</v>
      </c>
      <c r="AM46" s="26"/>
    </row>
    <row r="47" spans="3:39" ht="17">
      <c r="C47">
        <v>28</v>
      </c>
      <c r="D47">
        <v>28</v>
      </c>
      <c r="E47" t="s">
        <v>119</v>
      </c>
      <c r="F47">
        <v>220</v>
      </c>
      <c r="G47" s="14">
        <f t="shared" si="2"/>
        <v>183.33333333333334</v>
      </c>
      <c r="H47" s="35">
        <v>3.3396946564885495E-3</v>
      </c>
      <c r="I47" s="14">
        <v>55.173699999999997</v>
      </c>
      <c r="J47">
        <v>6</v>
      </c>
      <c r="K47" s="14">
        <f t="shared" si="3"/>
        <v>25.314748958333332</v>
      </c>
      <c r="L47" s="14">
        <f t="shared" si="4"/>
        <v>80.488448958333322</v>
      </c>
      <c r="M47" s="14">
        <f t="shared" si="5"/>
        <v>128.15963333333335</v>
      </c>
      <c r="N47" s="17">
        <f t="shared" si="8"/>
        <v>0.58254378787878791</v>
      </c>
      <c r="O47" s="14">
        <f t="shared" si="6"/>
        <v>102.84488437500002</v>
      </c>
      <c r="P47" s="17">
        <f t="shared" si="9"/>
        <v>0.46747674715909099</v>
      </c>
      <c r="S47">
        <v>28</v>
      </c>
      <c r="T47" t="s">
        <v>119</v>
      </c>
      <c r="U47" s="14">
        <v>101.15723444444446</v>
      </c>
      <c r="V47" s="49">
        <v>0.45980561111111118</v>
      </c>
      <c r="W47">
        <v>6</v>
      </c>
      <c r="X47" s="49">
        <v>3.3396946564885495E-3</v>
      </c>
      <c r="Z47" s="26"/>
      <c r="AA47" s="50">
        <v>28</v>
      </c>
      <c r="AB47" s="26" t="s">
        <v>119</v>
      </c>
      <c r="AC47" s="63">
        <v>101.15723444444446</v>
      </c>
      <c r="AD47" s="64">
        <v>25.047709923664122</v>
      </c>
      <c r="AE47" s="63">
        <f t="shared" si="7"/>
        <v>2533.7570650445296</v>
      </c>
      <c r="AF47" s="26"/>
      <c r="AG47" s="50"/>
      <c r="AH47" s="50">
        <v>16</v>
      </c>
      <c r="AI47" s="26" t="s">
        <v>109</v>
      </c>
      <c r="AJ47" s="63">
        <v>8054.6848441475831</v>
      </c>
      <c r="AM47" s="26"/>
    </row>
    <row r="48" spans="3:39" ht="17">
      <c r="C48">
        <v>29</v>
      </c>
      <c r="D48">
        <v>29</v>
      </c>
      <c r="E48" t="s">
        <v>120</v>
      </c>
      <c r="F48">
        <v>185</v>
      </c>
      <c r="G48" s="14">
        <f t="shared" si="2"/>
        <v>154.16666666666669</v>
      </c>
      <c r="H48" s="35">
        <v>4.2938931297709926E-3</v>
      </c>
      <c r="I48" s="14">
        <v>26.154399999999999</v>
      </c>
      <c r="J48">
        <v>6</v>
      </c>
      <c r="K48" s="14">
        <f t="shared" si="3"/>
        <v>25.314748958333332</v>
      </c>
      <c r="L48" s="14">
        <f t="shared" si="4"/>
        <v>51.469148958333335</v>
      </c>
      <c r="M48" s="14">
        <f t="shared" si="5"/>
        <v>128.01226666666668</v>
      </c>
      <c r="N48" s="17">
        <f t="shared" si="8"/>
        <v>0.69195819819819826</v>
      </c>
      <c r="O48" s="14">
        <f t="shared" si="6"/>
        <v>102.69751770833335</v>
      </c>
      <c r="P48" s="17">
        <f t="shared" si="9"/>
        <v>0.55512171734234239</v>
      </c>
      <c r="S48">
        <v>29</v>
      </c>
      <c r="T48" t="s">
        <v>120</v>
      </c>
      <c r="U48" s="14">
        <v>101.00986777777779</v>
      </c>
      <c r="V48" s="49">
        <v>0.5459992852852853</v>
      </c>
      <c r="W48">
        <v>6</v>
      </c>
      <c r="X48" s="49">
        <v>4.2938931297709926E-3</v>
      </c>
      <c r="Z48" s="26"/>
      <c r="AA48" s="50">
        <v>29</v>
      </c>
      <c r="AB48" s="26" t="s">
        <v>120</v>
      </c>
      <c r="AC48" s="63">
        <v>101.00986777777779</v>
      </c>
      <c r="AD48" s="64">
        <v>32.204198473282446</v>
      </c>
      <c r="AE48" s="63">
        <f t="shared" si="7"/>
        <v>3252.941829675573</v>
      </c>
      <c r="AF48" s="26"/>
      <c r="AG48" s="65"/>
      <c r="AH48" s="50">
        <v>12</v>
      </c>
      <c r="AI48" s="26" t="s">
        <v>105</v>
      </c>
      <c r="AJ48" s="63">
        <v>7592.7129611959299</v>
      </c>
      <c r="AM48" s="26"/>
    </row>
    <row r="49" spans="3:39" ht="17">
      <c r="C49">
        <v>30</v>
      </c>
      <c r="D49">
        <v>30</v>
      </c>
      <c r="E49" t="s">
        <v>121</v>
      </c>
      <c r="F49">
        <v>175</v>
      </c>
      <c r="G49" s="14">
        <f t="shared" si="2"/>
        <v>145.83333333333334</v>
      </c>
      <c r="H49" s="35">
        <v>2.5286259541984733E-2</v>
      </c>
      <c r="I49" s="14">
        <v>28.181449999999998</v>
      </c>
      <c r="J49">
        <v>6</v>
      </c>
      <c r="K49" s="14">
        <f t="shared" si="3"/>
        <v>25.314748958333332</v>
      </c>
      <c r="L49" s="14">
        <f t="shared" si="4"/>
        <v>53.496198958333331</v>
      </c>
      <c r="M49" s="14">
        <f t="shared" si="5"/>
        <v>117.65188333333334</v>
      </c>
      <c r="N49" s="17">
        <f t="shared" si="8"/>
        <v>0.67229647619047628</v>
      </c>
      <c r="O49" s="14">
        <f t="shared" si="6"/>
        <v>92.337134375000005</v>
      </c>
      <c r="P49" s="17">
        <f t="shared" si="9"/>
        <v>0.52764076785714287</v>
      </c>
      <c r="S49">
        <v>30</v>
      </c>
      <c r="T49" t="s">
        <v>121</v>
      </c>
      <c r="U49" s="14">
        <v>90.649484444444454</v>
      </c>
      <c r="V49" s="49">
        <v>0.51799705396825402</v>
      </c>
      <c r="W49">
        <v>6</v>
      </c>
      <c r="X49" s="49">
        <v>2.5286259541984733E-2</v>
      </c>
      <c r="Z49" s="26"/>
      <c r="AA49" s="50">
        <v>30</v>
      </c>
      <c r="AB49" s="26" t="s">
        <v>121</v>
      </c>
      <c r="AC49" s="63">
        <v>90.649484444444454</v>
      </c>
      <c r="AD49" s="64">
        <v>189.6469465648855</v>
      </c>
      <c r="AE49" s="63">
        <f t="shared" si="7"/>
        <v>17191.397932569977</v>
      </c>
      <c r="AF49" s="26"/>
      <c r="AG49" s="26"/>
      <c r="AH49" s="26">
        <v>64</v>
      </c>
      <c r="AI49" s="26" t="s">
        <v>141</v>
      </c>
      <c r="AJ49" s="63">
        <v>7205.4215436810855</v>
      </c>
      <c r="AM49" s="26"/>
    </row>
    <row r="50" spans="3:39" ht="17">
      <c r="C50">
        <v>31</v>
      </c>
      <c r="D50">
        <v>31</v>
      </c>
      <c r="E50" t="s">
        <v>122</v>
      </c>
      <c r="F50">
        <v>158</v>
      </c>
      <c r="G50" s="14">
        <f t="shared" si="2"/>
        <v>131.66666666666669</v>
      </c>
      <c r="H50" s="35">
        <v>7.5858778625954193E-2</v>
      </c>
      <c r="I50" s="14">
        <v>28.181449999999998</v>
      </c>
      <c r="J50">
        <v>6</v>
      </c>
      <c r="K50" s="14">
        <f t="shared" si="3"/>
        <v>25.314748958333332</v>
      </c>
      <c r="L50" s="14">
        <f t="shared" si="4"/>
        <v>53.496198958333331</v>
      </c>
      <c r="M50" s="14">
        <f t="shared" si="5"/>
        <v>103.48521666666669</v>
      </c>
      <c r="N50" s="17">
        <f t="shared" si="8"/>
        <v>0.65496972573839674</v>
      </c>
      <c r="O50" s="14">
        <f t="shared" si="6"/>
        <v>78.170467708333348</v>
      </c>
      <c r="P50" s="17">
        <f t="shared" si="9"/>
        <v>0.49474979562236299</v>
      </c>
      <c r="S50">
        <v>31</v>
      </c>
      <c r="T50" t="s">
        <v>122</v>
      </c>
      <c r="U50" s="14">
        <v>76.482817777777797</v>
      </c>
      <c r="V50" s="49">
        <v>0.48406846694796074</v>
      </c>
      <c r="W50">
        <v>6</v>
      </c>
      <c r="X50" s="49">
        <v>7.5858778625954193E-2</v>
      </c>
      <c r="Z50" s="26"/>
      <c r="AA50" s="50">
        <v>31</v>
      </c>
      <c r="AB50" s="26" t="s">
        <v>122</v>
      </c>
      <c r="AC50" s="63">
        <v>76.482817777777797</v>
      </c>
      <c r="AD50" s="64">
        <v>568.94083969465646</v>
      </c>
      <c r="AE50" s="63">
        <f t="shared" si="7"/>
        <v>43514.198568702297</v>
      </c>
      <c r="AF50" s="26"/>
      <c r="AG50" s="50"/>
      <c r="AH50" s="50">
        <v>33</v>
      </c>
      <c r="AI50" s="26" t="s">
        <v>123</v>
      </c>
      <c r="AJ50" s="63">
        <v>6841.8551208651415</v>
      </c>
    </row>
    <row r="51" spans="3:39" ht="17">
      <c r="C51">
        <v>32</v>
      </c>
      <c r="D51">
        <v>32</v>
      </c>
      <c r="E51" t="s">
        <v>187</v>
      </c>
      <c r="F51">
        <v>158</v>
      </c>
      <c r="G51" s="14">
        <f t="shared" si="2"/>
        <v>131.66666666666669</v>
      </c>
      <c r="H51" s="35">
        <v>8.5877862595419852E-3</v>
      </c>
      <c r="I51" s="14">
        <v>23.723673999999999</v>
      </c>
      <c r="J51">
        <v>6</v>
      </c>
      <c r="K51" s="14">
        <f t="shared" si="3"/>
        <v>25.314748958333332</v>
      </c>
      <c r="L51" s="14">
        <f t="shared" si="4"/>
        <v>49.038422958333328</v>
      </c>
      <c r="M51" s="14">
        <f t="shared" si="5"/>
        <v>107.94299266666668</v>
      </c>
      <c r="N51" s="17">
        <f t="shared" si="8"/>
        <v>0.68318349789029542</v>
      </c>
      <c r="O51" s="14">
        <f t="shared" si="6"/>
        <v>82.628243708333343</v>
      </c>
      <c r="P51" s="17">
        <f t="shared" si="9"/>
        <v>0.52296356777426167</v>
      </c>
      <c r="S51">
        <v>32</v>
      </c>
      <c r="T51" t="s">
        <v>187</v>
      </c>
      <c r="U51" s="14">
        <v>80.940593777777792</v>
      </c>
      <c r="V51" s="49">
        <v>0.51228223909985948</v>
      </c>
      <c r="W51">
        <v>6</v>
      </c>
      <c r="X51" s="49">
        <v>8.5877862595419852E-3</v>
      </c>
      <c r="Z51" s="26"/>
      <c r="AA51" s="50">
        <v>32</v>
      </c>
      <c r="AB51" s="26" t="s">
        <v>187</v>
      </c>
      <c r="AC51" s="63">
        <v>80.940593777777792</v>
      </c>
      <c r="AD51" s="64">
        <v>64.408396946564892</v>
      </c>
      <c r="AE51" s="63">
        <f t="shared" si="7"/>
        <v>5213.2538931297722</v>
      </c>
      <c r="AF51" s="26"/>
      <c r="AG51" s="65"/>
      <c r="AH51" s="50">
        <v>50</v>
      </c>
      <c r="AI51" s="26" t="s">
        <v>135</v>
      </c>
      <c r="AJ51" s="63">
        <v>6581.5992068225178</v>
      </c>
      <c r="AM51" s="26"/>
    </row>
    <row r="52" spans="3:39" ht="17">
      <c r="C52">
        <v>33</v>
      </c>
      <c r="D52">
        <v>33</v>
      </c>
      <c r="E52" t="s">
        <v>123</v>
      </c>
      <c r="F52">
        <v>158</v>
      </c>
      <c r="G52" s="14">
        <f t="shared" si="2"/>
        <v>131.66666666666669</v>
      </c>
      <c r="H52" s="35">
        <v>1.1927480916030535E-2</v>
      </c>
      <c r="I52" s="14">
        <v>28.181449999999998</v>
      </c>
      <c r="J52">
        <v>6</v>
      </c>
      <c r="K52" s="14">
        <f t="shared" si="3"/>
        <v>25.314748958333332</v>
      </c>
      <c r="L52" s="14">
        <f t="shared" si="4"/>
        <v>53.496198958333331</v>
      </c>
      <c r="M52" s="14">
        <f t="shared" si="5"/>
        <v>103.48521666666669</v>
      </c>
      <c r="N52" s="17">
        <f t="shared" si="8"/>
        <v>0.65496972573839674</v>
      </c>
      <c r="O52" s="14">
        <f t="shared" si="6"/>
        <v>78.170467708333348</v>
      </c>
      <c r="P52" s="17">
        <f t="shared" si="9"/>
        <v>0.49474979562236299</v>
      </c>
      <c r="S52">
        <v>33</v>
      </c>
      <c r="T52" t="s">
        <v>123</v>
      </c>
      <c r="U52" s="14">
        <v>76.482817777777797</v>
      </c>
      <c r="V52" s="49">
        <v>0.48406846694796074</v>
      </c>
      <c r="W52">
        <v>6</v>
      </c>
      <c r="X52" s="49">
        <v>1.1927480916030535E-2</v>
      </c>
      <c r="Z52" s="26"/>
      <c r="AA52" s="50">
        <v>33</v>
      </c>
      <c r="AB52" s="26" t="s">
        <v>123</v>
      </c>
      <c r="AC52" s="63">
        <v>76.482817777777797</v>
      </c>
      <c r="AD52" s="64">
        <v>89.456106870229007</v>
      </c>
      <c r="AE52" s="63">
        <f t="shared" si="7"/>
        <v>6841.8551208651415</v>
      </c>
      <c r="AF52" s="26"/>
      <c r="AG52" s="65"/>
      <c r="AH52" s="50">
        <v>44</v>
      </c>
      <c r="AI52" s="26" t="s">
        <v>131</v>
      </c>
      <c r="AJ52" s="63">
        <v>6489.3439832485174</v>
      </c>
      <c r="AM52" s="26"/>
    </row>
    <row r="53" spans="3:39" ht="17">
      <c r="C53">
        <v>34</v>
      </c>
      <c r="D53">
        <v>34</v>
      </c>
      <c r="E53" t="s">
        <v>124</v>
      </c>
      <c r="F53">
        <v>158</v>
      </c>
      <c r="G53" s="14">
        <f t="shared" si="2"/>
        <v>131.66666666666669</v>
      </c>
      <c r="H53" s="35">
        <v>4.2938931297709926E-3</v>
      </c>
      <c r="I53" s="14">
        <v>28.431449999999998</v>
      </c>
      <c r="J53">
        <v>6</v>
      </c>
      <c r="K53" s="14">
        <f t="shared" si="3"/>
        <v>25.314748958333332</v>
      </c>
      <c r="L53" s="14">
        <f t="shared" si="4"/>
        <v>53.746198958333331</v>
      </c>
      <c r="M53" s="14">
        <f t="shared" si="5"/>
        <v>103.23521666666669</v>
      </c>
      <c r="N53" s="17">
        <f t="shared" si="8"/>
        <v>0.65338744725738407</v>
      </c>
      <c r="O53" s="14">
        <f t="shared" si="6"/>
        <v>77.920467708333348</v>
      </c>
      <c r="P53" s="17">
        <f t="shared" si="9"/>
        <v>0.49316751714135032</v>
      </c>
      <c r="S53">
        <v>34</v>
      </c>
      <c r="T53" t="s">
        <v>124</v>
      </c>
      <c r="U53" s="14">
        <v>76.232817777777797</v>
      </c>
      <c r="V53" s="49">
        <v>0.48248618846694807</v>
      </c>
      <c r="W53">
        <v>6</v>
      </c>
      <c r="X53" s="49">
        <v>4.2938931297709926E-3</v>
      </c>
      <c r="Z53" s="26"/>
      <c r="AA53" s="50">
        <v>34</v>
      </c>
      <c r="AB53" s="26" t="s">
        <v>124</v>
      </c>
      <c r="AC53" s="63">
        <v>76.232817777777797</v>
      </c>
      <c r="AD53" s="64">
        <v>32.204198473282446</v>
      </c>
      <c r="AE53" s="63">
        <f t="shared" si="7"/>
        <v>2455.0167938931309</v>
      </c>
      <c r="AF53" s="26"/>
      <c r="AG53" s="50"/>
      <c r="AH53" s="50">
        <v>19</v>
      </c>
      <c r="AI53" s="26" t="s">
        <v>185</v>
      </c>
      <c r="AJ53" s="63">
        <v>5833.2944497455483</v>
      </c>
    </row>
    <row r="54" spans="3:39" ht="17">
      <c r="C54">
        <v>35</v>
      </c>
      <c r="D54">
        <v>35</v>
      </c>
      <c r="E54" t="s">
        <v>22</v>
      </c>
      <c r="F54">
        <v>165</v>
      </c>
      <c r="G54" s="14">
        <f t="shared" si="2"/>
        <v>137.5</v>
      </c>
      <c r="H54" s="35">
        <v>1.2881679389312978E-2</v>
      </c>
      <c r="I54" s="14">
        <v>23.230349999999991</v>
      </c>
      <c r="J54">
        <v>6</v>
      </c>
      <c r="K54" s="14">
        <f t="shared" si="3"/>
        <v>25.314748958333332</v>
      </c>
      <c r="L54" s="14">
        <f t="shared" si="4"/>
        <v>48.545098958333327</v>
      </c>
      <c r="M54" s="14">
        <f t="shared" si="5"/>
        <v>114.26965000000001</v>
      </c>
      <c r="N54" s="17">
        <f t="shared" si="8"/>
        <v>0.6925433333333334</v>
      </c>
      <c r="O54" s="14">
        <f t="shared" si="6"/>
        <v>88.954901041666687</v>
      </c>
      <c r="P54" s="17">
        <f t="shared" si="9"/>
        <v>0.53912061237373754</v>
      </c>
      <c r="S54">
        <v>35</v>
      </c>
      <c r="T54" t="s">
        <v>22</v>
      </c>
      <c r="U54" s="14">
        <v>87.267251111111122</v>
      </c>
      <c r="V54" s="49">
        <v>0.52889243097643102</v>
      </c>
      <c r="W54">
        <v>6</v>
      </c>
      <c r="X54" s="49">
        <v>1.2881679389312978E-2</v>
      </c>
      <c r="Z54" s="26"/>
      <c r="AA54" s="50">
        <v>35</v>
      </c>
      <c r="AB54" s="26" t="s">
        <v>22</v>
      </c>
      <c r="AC54" s="63">
        <v>87.267251111111122</v>
      </c>
      <c r="AD54" s="64">
        <v>96.612595419847338</v>
      </c>
      <c r="AE54" s="63">
        <f t="shared" si="7"/>
        <v>8431.1156250000022</v>
      </c>
      <c r="AF54" s="26"/>
      <c r="AG54" s="50"/>
      <c r="AH54" s="50">
        <v>38</v>
      </c>
      <c r="AI54" s="26" t="s">
        <v>127</v>
      </c>
      <c r="AJ54" s="63">
        <v>5826.7111641221363</v>
      </c>
    </row>
    <row r="55" spans="3:39" ht="17">
      <c r="C55">
        <v>36</v>
      </c>
      <c r="D55">
        <v>36</v>
      </c>
      <c r="E55" t="s">
        <v>125</v>
      </c>
      <c r="F55">
        <v>158</v>
      </c>
      <c r="G55" s="14">
        <f t="shared" si="2"/>
        <v>131.66666666666669</v>
      </c>
      <c r="H55" s="35">
        <v>3.3874045801526718E-2</v>
      </c>
      <c r="I55" s="14">
        <v>11.0787</v>
      </c>
      <c r="J55">
        <v>12</v>
      </c>
      <c r="K55" s="14">
        <f t="shared" si="3"/>
        <v>50.629497916666665</v>
      </c>
      <c r="L55" s="14">
        <f t="shared" si="4"/>
        <v>61.708197916666663</v>
      </c>
      <c r="M55" s="14">
        <f t="shared" si="5"/>
        <v>120.58796666666669</v>
      </c>
      <c r="N55" s="17">
        <f t="shared" si="8"/>
        <v>0.76321497890295376</v>
      </c>
      <c r="O55" s="14">
        <f t="shared" si="6"/>
        <v>69.958468750000023</v>
      </c>
      <c r="P55" s="17">
        <f t="shared" si="9"/>
        <v>0.4427751186708862</v>
      </c>
      <c r="S55">
        <v>36</v>
      </c>
      <c r="T55" t="s">
        <v>125</v>
      </c>
      <c r="U55" s="14">
        <v>66.583168888888906</v>
      </c>
      <c r="V55" s="49">
        <v>0.42141246132208171</v>
      </c>
      <c r="W55">
        <v>12</v>
      </c>
      <c r="X55" s="49">
        <v>3.3874045801526718E-2</v>
      </c>
      <c r="Z55" s="26"/>
      <c r="AA55" s="50">
        <v>36</v>
      </c>
      <c r="AB55" s="26" t="s">
        <v>125</v>
      </c>
      <c r="AC55" s="63">
        <v>66.583168888888906</v>
      </c>
      <c r="AD55" s="64">
        <v>254.05534351145039</v>
      </c>
      <c r="AE55" s="63">
        <f t="shared" si="7"/>
        <v>16915.809844147589</v>
      </c>
      <c r="AF55" s="26"/>
      <c r="AG55" s="26"/>
      <c r="AH55" s="50">
        <v>40</v>
      </c>
      <c r="AI55" s="26" t="s">
        <v>129</v>
      </c>
      <c r="AJ55" s="63">
        <v>5786.701645992367</v>
      </c>
    </row>
    <row r="56" spans="3:39" ht="17">
      <c r="C56">
        <v>37</v>
      </c>
      <c r="D56">
        <v>37</v>
      </c>
      <c r="E56" t="s">
        <v>126</v>
      </c>
      <c r="F56">
        <v>168</v>
      </c>
      <c r="G56" s="14">
        <f t="shared" si="2"/>
        <v>140</v>
      </c>
      <c r="H56" s="35">
        <v>5.2480916030534352E-3</v>
      </c>
      <c r="I56" s="14">
        <v>11.0787</v>
      </c>
      <c r="J56">
        <v>6</v>
      </c>
      <c r="K56" s="14">
        <f t="shared" si="3"/>
        <v>25.314748958333332</v>
      </c>
      <c r="L56" s="14">
        <f t="shared" si="4"/>
        <v>36.39344895833333</v>
      </c>
      <c r="M56" s="14">
        <f t="shared" si="5"/>
        <v>128.9213</v>
      </c>
      <c r="N56" s="17">
        <f t="shared" si="8"/>
        <v>0.76738869047619052</v>
      </c>
      <c r="O56" s="14">
        <f t="shared" si="6"/>
        <v>103.60655104166668</v>
      </c>
      <c r="P56" s="17">
        <f t="shared" si="9"/>
        <v>0.61670566096230162</v>
      </c>
      <c r="S56">
        <v>37</v>
      </c>
      <c r="T56" t="s">
        <v>126</v>
      </c>
      <c r="U56" s="14">
        <v>101.91890111111111</v>
      </c>
      <c r="V56" s="49">
        <v>0.60666012566137562</v>
      </c>
      <c r="W56">
        <v>6</v>
      </c>
      <c r="X56" s="49">
        <v>5.2480916030534352E-3</v>
      </c>
      <c r="Z56" s="26"/>
      <c r="AA56" s="50">
        <v>37</v>
      </c>
      <c r="AB56" s="26" t="s">
        <v>126</v>
      </c>
      <c r="AC56" s="63">
        <v>101.91890111111111</v>
      </c>
      <c r="AD56" s="64">
        <v>39.360687022900763</v>
      </c>
      <c r="AE56" s="63">
        <f t="shared" si="7"/>
        <v>4011.5979683524174</v>
      </c>
      <c r="AF56" s="26"/>
      <c r="AG56" s="50"/>
      <c r="AH56" s="50">
        <v>32</v>
      </c>
      <c r="AI56" s="26" t="s">
        <v>187</v>
      </c>
      <c r="AJ56" s="63">
        <v>5213.2538931297722</v>
      </c>
    </row>
    <row r="57" spans="3:39" ht="17">
      <c r="C57">
        <v>38</v>
      </c>
      <c r="D57">
        <v>38</v>
      </c>
      <c r="E57" t="s">
        <v>127</v>
      </c>
      <c r="F57">
        <v>210</v>
      </c>
      <c r="G57" s="14">
        <f t="shared" si="2"/>
        <v>175</v>
      </c>
      <c r="H57" s="35">
        <v>1.0019083969465648E-2</v>
      </c>
      <c r="I57" s="14">
        <v>43.453699999999991</v>
      </c>
      <c r="J57">
        <v>12</v>
      </c>
      <c r="K57" s="14">
        <f t="shared" si="3"/>
        <v>50.629497916666665</v>
      </c>
      <c r="L57" s="14">
        <f t="shared" si="4"/>
        <v>94.083197916666649</v>
      </c>
      <c r="M57" s="14">
        <f t="shared" si="5"/>
        <v>131.5463</v>
      </c>
      <c r="N57" s="17">
        <f t="shared" si="8"/>
        <v>0.62641095238095235</v>
      </c>
      <c r="O57" s="14">
        <f t="shared" si="6"/>
        <v>80.916802083333337</v>
      </c>
      <c r="P57" s="17">
        <f t="shared" si="9"/>
        <v>0.38531810515873016</v>
      </c>
      <c r="S57">
        <v>38</v>
      </c>
      <c r="T57" t="s">
        <v>127</v>
      </c>
      <c r="U57" s="14">
        <v>77.541502222222221</v>
      </c>
      <c r="V57" s="49">
        <v>0.36924524867724867</v>
      </c>
      <c r="W57">
        <v>12</v>
      </c>
      <c r="X57" s="49">
        <v>1.0019083969465648E-2</v>
      </c>
      <c r="Z57" s="26"/>
      <c r="AA57" s="50">
        <v>38</v>
      </c>
      <c r="AB57" s="26" t="s">
        <v>127</v>
      </c>
      <c r="AC57" s="63">
        <v>77.541502222222221</v>
      </c>
      <c r="AD57" s="64">
        <v>75.14312977099236</v>
      </c>
      <c r="AE57" s="63">
        <f t="shared" si="7"/>
        <v>5826.7111641221363</v>
      </c>
      <c r="AF57" s="26"/>
      <c r="AG57" s="50"/>
      <c r="AH57" s="50">
        <v>15</v>
      </c>
      <c r="AI57" s="26" t="s">
        <v>108</v>
      </c>
      <c r="AJ57" s="63">
        <v>4788.8471586089918</v>
      </c>
    </row>
    <row r="58" spans="3:39" ht="17">
      <c r="C58">
        <v>39</v>
      </c>
      <c r="D58">
        <v>39</v>
      </c>
      <c r="E58" t="s">
        <v>128</v>
      </c>
      <c r="F58">
        <v>148</v>
      </c>
      <c r="G58" s="14">
        <f t="shared" si="2"/>
        <v>123.33333333333334</v>
      </c>
      <c r="H58" s="35">
        <v>2.8625954198473282E-3</v>
      </c>
      <c r="I58" s="14">
        <v>7.1661999999999999</v>
      </c>
      <c r="J58">
        <v>6</v>
      </c>
      <c r="K58" s="14">
        <f t="shared" si="3"/>
        <v>25.314748958333332</v>
      </c>
      <c r="L58" s="14">
        <f t="shared" si="4"/>
        <v>32.480948958333329</v>
      </c>
      <c r="M58" s="14">
        <f t="shared" si="5"/>
        <v>116.16713333333334</v>
      </c>
      <c r="N58" s="17">
        <f t="shared" si="8"/>
        <v>0.78491306306306308</v>
      </c>
      <c r="O58" s="14">
        <f t="shared" si="6"/>
        <v>90.852384375000014</v>
      </c>
      <c r="P58" s="17">
        <f t="shared" si="9"/>
        <v>0.61386746199324338</v>
      </c>
      <c r="S58">
        <v>39</v>
      </c>
      <c r="T58" t="s">
        <v>128</v>
      </c>
      <c r="U58" s="14">
        <v>89.164734444444449</v>
      </c>
      <c r="V58" s="49">
        <v>0.60246442192192196</v>
      </c>
      <c r="W58">
        <v>6</v>
      </c>
      <c r="X58" s="49">
        <v>2.8625954198473282E-3</v>
      </c>
      <c r="Z58" s="26"/>
      <c r="AA58" s="50">
        <v>39</v>
      </c>
      <c r="AB58" s="26" t="s">
        <v>128</v>
      </c>
      <c r="AC58" s="63">
        <v>89.164734444444449</v>
      </c>
      <c r="AD58" s="64">
        <v>21.46946564885496</v>
      </c>
      <c r="AE58" s="63">
        <f t="shared" si="7"/>
        <v>1914.3192032442748</v>
      </c>
      <c r="AF58" s="26"/>
      <c r="AG58" s="50"/>
      <c r="AH58" s="50">
        <v>48</v>
      </c>
      <c r="AI58" s="26" t="s">
        <v>188</v>
      </c>
      <c r="AJ58" s="63">
        <v>4246.8027035623418</v>
      </c>
    </row>
    <row r="59" spans="3:39" ht="17">
      <c r="C59">
        <v>40</v>
      </c>
      <c r="D59">
        <v>40</v>
      </c>
      <c r="E59" t="s">
        <v>129</v>
      </c>
      <c r="F59">
        <v>168</v>
      </c>
      <c r="G59" s="14">
        <f t="shared" si="2"/>
        <v>140</v>
      </c>
      <c r="H59" s="35">
        <v>8.5877862595419852E-3</v>
      </c>
      <c r="I59" s="14">
        <v>23.153699999999997</v>
      </c>
      <c r="J59">
        <v>6</v>
      </c>
      <c r="K59" s="14">
        <f t="shared" si="3"/>
        <v>25.314748958333332</v>
      </c>
      <c r="L59" s="14">
        <f t="shared" si="4"/>
        <v>48.468448958333326</v>
      </c>
      <c r="M59" s="14">
        <f t="shared" si="5"/>
        <v>116.8463</v>
      </c>
      <c r="N59" s="17">
        <f t="shared" si="8"/>
        <v>0.69551369047619049</v>
      </c>
      <c r="O59" s="14">
        <f t="shared" si="6"/>
        <v>91.53155104166666</v>
      </c>
      <c r="P59" s="17">
        <f t="shared" si="9"/>
        <v>0.54483066096230159</v>
      </c>
      <c r="S59">
        <v>40</v>
      </c>
      <c r="T59" t="s">
        <v>129</v>
      </c>
      <c r="U59" s="14">
        <v>89.843901111111109</v>
      </c>
      <c r="V59" s="49">
        <v>0.53478512566137559</v>
      </c>
      <c r="W59">
        <v>6</v>
      </c>
      <c r="X59" s="49">
        <v>8.5877862595419852E-3</v>
      </c>
      <c r="Z59" s="26"/>
      <c r="AA59" s="50">
        <v>40</v>
      </c>
      <c r="AB59" s="26" t="s">
        <v>129</v>
      </c>
      <c r="AC59" s="63">
        <v>89.843901111111109</v>
      </c>
      <c r="AD59" s="64">
        <v>64.408396946564892</v>
      </c>
      <c r="AE59" s="63">
        <f t="shared" si="7"/>
        <v>5786.701645992367</v>
      </c>
      <c r="AF59" s="26"/>
      <c r="AG59" s="50"/>
      <c r="AH59" s="50">
        <v>37</v>
      </c>
      <c r="AI59" s="26" t="s">
        <v>126</v>
      </c>
      <c r="AJ59" s="63">
        <v>4011.5979683524174</v>
      </c>
    </row>
    <row r="60" spans="3:39" ht="17">
      <c r="C60">
        <v>41</v>
      </c>
      <c r="D60">
        <v>41</v>
      </c>
      <c r="E60" t="s">
        <v>130</v>
      </c>
      <c r="F60">
        <v>158</v>
      </c>
      <c r="G60" s="14">
        <f t="shared" si="2"/>
        <v>131.66666666666669</v>
      </c>
      <c r="H60" s="35">
        <v>2.4809160305343511E-2</v>
      </c>
      <c r="I60" s="14">
        <v>19.70984</v>
      </c>
      <c r="J60">
        <v>12</v>
      </c>
      <c r="K60" s="14">
        <f t="shared" si="3"/>
        <v>50.629497916666665</v>
      </c>
      <c r="L60" s="14">
        <f t="shared" si="4"/>
        <v>70.339337916666665</v>
      </c>
      <c r="M60" s="14">
        <f t="shared" si="5"/>
        <v>111.95682666666669</v>
      </c>
      <c r="N60" s="17">
        <f t="shared" si="8"/>
        <v>0.70858751054852331</v>
      </c>
      <c r="O60" s="14">
        <f t="shared" si="6"/>
        <v>61.327328750000021</v>
      </c>
      <c r="P60" s="17">
        <f t="shared" si="9"/>
        <v>0.38814765031645582</v>
      </c>
      <c r="S60">
        <v>41</v>
      </c>
      <c r="T60" t="s">
        <v>130</v>
      </c>
      <c r="U60" s="14">
        <v>57.952028888888911</v>
      </c>
      <c r="V60" s="49">
        <v>0.36678499296765132</v>
      </c>
      <c r="W60">
        <v>12</v>
      </c>
      <c r="X60" s="49">
        <v>2.4809160305343511E-2</v>
      </c>
      <c r="Z60" s="26"/>
      <c r="AA60" s="50">
        <v>41</v>
      </c>
      <c r="AB60" s="26" t="s">
        <v>130</v>
      </c>
      <c r="AC60" s="63">
        <v>57.952028888888911</v>
      </c>
      <c r="AD60" s="64">
        <v>186.06870229007635</v>
      </c>
      <c r="AE60" s="63">
        <f t="shared" si="7"/>
        <v>10783.058810432574</v>
      </c>
      <c r="AF60" s="26"/>
      <c r="AG60" s="26"/>
      <c r="AH60" s="50">
        <v>14</v>
      </c>
      <c r="AI60" s="26" t="s">
        <v>107</v>
      </c>
      <c r="AJ60" s="63">
        <v>4003.1787134223923</v>
      </c>
    </row>
    <row r="61" spans="3:39" ht="17">
      <c r="C61">
        <v>42</v>
      </c>
      <c r="D61">
        <v>42</v>
      </c>
      <c r="E61" t="s">
        <v>150</v>
      </c>
      <c r="F61">
        <v>158</v>
      </c>
      <c r="G61" s="14">
        <f t="shared" si="2"/>
        <v>131.66666666666669</v>
      </c>
      <c r="H61" s="35">
        <v>4.2461832061068704E-2</v>
      </c>
      <c r="I61" s="14">
        <v>28.058949999999999</v>
      </c>
      <c r="J61">
        <v>12</v>
      </c>
      <c r="K61" s="14">
        <f t="shared" si="3"/>
        <v>50.629497916666665</v>
      </c>
      <c r="L61" s="14">
        <f t="shared" si="4"/>
        <v>78.688447916666661</v>
      </c>
      <c r="M61" s="14">
        <f t="shared" si="5"/>
        <v>103.60771666666669</v>
      </c>
      <c r="N61" s="17">
        <f t="shared" si="8"/>
        <v>0.65574504219409302</v>
      </c>
      <c r="O61" s="14">
        <f t="shared" si="6"/>
        <v>52.978218750000025</v>
      </c>
      <c r="P61" s="17">
        <f t="shared" si="9"/>
        <v>0.33530518196202547</v>
      </c>
      <c r="S61">
        <v>42</v>
      </c>
      <c r="T61" t="s">
        <v>150</v>
      </c>
      <c r="U61" s="14">
        <v>49.602918888888915</v>
      </c>
      <c r="V61" s="49">
        <v>0.31394252461322097</v>
      </c>
      <c r="W61">
        <v>12</v>
      </c>
      <c r="X61" s="49">
        <v>4.2461832061068704E-2</v>
      </c>
      <c r="Z61" s="26"/>
      <c r="AA61" s="50">
        <v>42</v>
      </c>
      <c r="AB61" s="26" t="s">
        <v>150</v>
      </c>
      <c r="AC61" s="63">
        <v>49.602918888888915</v>
      </c>
      <c r="AD61" s="64">
        <v>318.46374045801525</v>
      </c>
      <c r="AE61" s="63">
        <f t="shared" si="7"/>
        <v>15796.731086991102</v>
      </c>
      <c r="AF61" s="26"/>
      <c r="AG61" s="65"/>
      <c r="AH61" s="26">
        <v>63</v>
      </c>
      <c r="AI61" s="26" t="s">
        <v>140</v>
      </c>
      <c r="AJ61" s="63">
        <v>3540.578673664123</v>
      </c>
    </row>
    <row r="62" spans="3:39" ht="17">
      <c r="C62">
        <v>43</v>
      </c>
      <c r="D62">
        <v>43</v>
      </c>
      <c r="E62" t="s">
        <v>151</v>
      </c>
      <c r="F62">
        <v>180</v>
      </c>
      <c r="G62" s="14">
        <f t="shared" si="2"/>
        <v>150</v>
      </c>
      <c r="H62" s="35">
        <v>7.1564885496183204E-3</v>
      </c>
      <c r="I62" s="14">
        <v>30.906199999999998</v>
      </c>
      <c r="J62">
        <v>12</v>
      </c>
      <c r="K62" s="14">
        <f t="shared" si="3"/>
        <v>50.629497916666665</v>
      </c>
      <c r="L62" s="14">
        <f t="shared" si="4"/>
        <v>81.535697916666663</v>
      </c>
      <c r="M62" s="14">
        <f t="shared" si="5"/>
        <v>119.0938</v>
      </c>
      <c r="N62" s="17">
        <f t="shared" si="8"/>
        <v>0.66163222222222218</v>
      </c>
      <c r="O62" s="14">
        <f t="shared" si="6"/>
        <v>68.464302083333337</v>
      </c>
      <c r="P62" s="17">
        <f t="shared" si="9"/>
        <v>0.38035723379629632</v>
      </c>
      <c r="S62">
        <v>43</v>
      </c>
      <c r="T62" t="s">
        <v>151</v>
      </c>
      <c r="U62" s="14">
        <v>65.089002222222234</v>
      </c>
      <c r="V62" s="49">
        <v>0.36160556790123466</v>
      </c>
      <c r="W62">
        <v>12</v>
      </c>
      <c r="X62" s="49">
        <v>7.1564885496183204E-3</v>
      </c>
      <c r="Z62" s="26"/>
      <c r="AA62" s="50">
        <v>43</v>
      </c>
      <c r="AB62" s="26" t="s">
        <v>151</v>
      </c>
      <c r="AC62" s="63">
        <v>65.089002222222234</v>
      </c>
      <c r="AD62" s="64">
        <v>53.673664122137403</v>
      </c>
      <c r="AE62" s="63">
        <f t="shared" si="7"/>
        <v>3493.5652433206114</v>
      </c>
      <c r="AF62" s="26"/>
      <c r="AG62" s="50"/>
      <c r="AH62" s="50">
        <v>43</v>
      </c>
      <c r="AI62" s="26" t="s">
        <v>151</v>
      </c>
      <c r="AJ62" s="63">
        <v>3493.5652433206114</v>
      </c>
    </row>
    <row r="63" spans="3:39" ht="17">
      <c r="C63">
        <v>44</v>
      </c>
      <c r="D63">
        <v>44</v>
      </c>
      <c r="E63" t="s">
        <v>131</v>
      </c>
      <c r="F63">
        <v>210</v>
      </c>
      <c r="G63" s="14">
        <f t="shared" si="2"/>
        <v>175</v>
      </c>
      <c r="H63" s="35">
        <v>1.2404580152671756E-2</v>
      </c>
      <c r="I63" s="14">
        <v>28.741074999999999</v>
      </c>
      <c r="J63">
        <v>17</v>
      </c>
      <c r="K63" s="14">
        <f t="shared" si="3"/>
        <v>71.725122048611112</v>
      </c>
      <c r="L63" s="14">
        <f t="shared" si="4"/>
        <v>100.46619704861111</v>
      </c>
      <c r="M63" s="14">
        <f t="shared" si="5"/>
        <v>146.258925</v>
      </c>
      <c r="N63" s="17">
        <f t="shared" si="8"/>
        <v>0.69647107142857145</v>
      </c>
      <c r="O63" s="14">
        <f t="shared" si="6"/>
        <v>74.533802951388893</v>
      </c>
      <c r="P63" s="17">
        <f t="shared" si="9"/>
        <v>0.35492287119708998</v>
      </c>
      <c r="S63">
        <v>44</v>
      </c>
      <c r="T63" t="s">
        <v>131</v>
      </c>
      <c r="U63" s="14">
        <v>69.752128148148159</v>
      </c>
      <c r="V63" s="49">
        <v>0.33215299118165792</v>
      </c>
      <c r="W63">
        <v>17</v>
      </c>
      <c r="X63" s="49">
        <v>1.2404580152671756E-2</v>
      </c>
      <c r="Z63" s="26"/>
      <c r="AA63" s="50">
        <v>44</v>
      </c>
      <c r="AB63" s="26" t="s">
        <v>131</v>
      </c>
      <c r="AC63" s="63">
        <v>69.752128148148159</v>
      </c>
      <c r="AD63" s="64">
        <v>93.034351145038173</v>
      </c>
      <c r="AE63" s="63">
        <f t="shared" si="7"/>
        <v>6489.3439832485174</v>
      </c>
      <c r="AF63" s="26"/>
      <c r="AG63" s="50"/>
      <c r="AH63" s="50">
        <v>29</v>
      </c>
      <c r="AI63" s="26" t="s">
        <v>120</v>
      </c>
      <c r="AJ63" s="63">
        <v>3252.941829675573</v>
      </c>
    </row>
    <row r="64" spans="3:39" ht="17">
      <c r="C64">
        <v>45</v>
      </c>
      <c r="D64">
        <v>45</v>
      </c>
      <c r="E64" t="s">
        <v>132</v>
      </c>
      <c r="F64">
        <v>270</v>
      </c>
      <c r="G64" s="14">
        <f t="shared" si="2"/>
        <v>225</v>
      </c>
      <c r="H64" s="35">
        <v>1.9083969465648854E-3</v>
      </c>
      <c r="I64" s="14">
        <v>33.777634999999997</v>
      </c>
      <c r="J64">
        <v>21</v>
      </c>
      <c r="K64" s="14">
        <f t="shared" si="3"/>
        <v>88.601621354166667</v>
      </c>
      <c r="L64" s="14">
        <f t="shared" si="4"/>
        <v>122.37925635416667</v>
      </c>
      <c r="M64" s="14">
        <f t="shared" si="5"/>
        <v>191.222365</v>
      </c>
      <c r="N64" s="17">
        <f t="shared" si="8"/>
        <v>0.70823098148148145</v>
      </c>
      <c r="O64" s="14">
        <f t="shared" si="6"/>
        <v>102.62074364583333</v>
      </c>
      <c r="P64" s="17">
        <f t="shared" si="9"/>
        <v>0.38007682831790124</v>
      </c>
      <c r="S64">
        <v>45</v>
      </c>
      <c r="T64" t="s">
        <v>132</v>
      </c>
      <c r="U64" s="14">
        <v>96.713968888888886</v>
      </c>
      <c r="V64" s="49">
        <v>0.35819988477366255</v>
      </c>
      <c r="W64">
        <v>21</v>
      </c>
      <c r="X64" s="49">
        <v>1.9083969465648854E-3</v>
      </c>
      <c r="Z64" s="26"/>
      <c r="AA64" s="50">
        <v>45</v>
      </c>
      <c r="AB64" s="26" t="s">
        <v>132</v>
      </c>
      <c r="AC64" s="63">
        <v>96.713968888888886</v>
      </c>
      <c r="AD64" s="64">
        <v>14.31297709923664</v>
      </c>
      <c r="AE64" s="63">
        <f t="shared" si="7"/>
        <v>1384.2648218829515</v>
      </c>
      <c r="AF64" s="26"/>
      <c r="AG64" s="50"/>
      <c r="AH64" s="50">
        <v>10</v>
      </c>
      <c r="AI64" s="26" t="s">
        <v>103</v>
      </c>
      <c r="AJ64" s="63">
        <v>3099.4348600508897</v>
      </c>
    </row>
    <row r="65" spans="3:36" ht="17">
      <c r="C65">
        <v>46</v>
      </c>
      <c r="D65">
        <v>46</v>
      </c>
      <c r="E65" t="s">
        <v>21</v>
      </c>
      <c r="F65">
        <v>299</v>
      </c>
      <c r="G65" s="14">
        <f t="shared" si="2"/>
        <v>249.16666666666669</v>
      </c>
      <c r="H65" s="35">
        <v>1.3358778625954198E-2</v>
      </c>
      <c r="I65" s="14">
        <v>51.7575</v>
      </c>
      <c r="J65">
        <v>17</v>
      </c>
      <c r="K65" s="14">
        <f t="shared" si="3"/>
        <v>71.725122048611112</v>
      </c>
      <c r="L65" s="14">
        <f t="shared" si="4"/>
        <v>123.48262204861112</v>
      </c>
      <c r="M65" s="14">
        <f t="shared" si="5"/>
        <v>197.40916666666669</v>
      </c>
      <c r="N65" s="17">
        <f t="shared" si="8"/>
        <v>0.66023132664437023</v>
      </c>
      <c r="O65" s="14">
        <f t="shared" si="6"/>
        <v>125.68404461805558</v>
      </c>
      <c r="P65" s="17">
        <f t="shared" si="9"/>
        <v>0.4203479753112227</v>
      </c>
      <c r="S65">
        <v>46</v>
      </c>
      <c r="T65" t="s">
        <v>21</v>
      </c>
      <c r="U65" s="14">
        <v>120.90236981481485</v>
      </c>
      <c r="V65" s="49">
        <v>0.40435575188901285</v>
      </c>
      <c r="W65">
        <v>17</v>
      </c>
      <c r="X65" s="49">
        <v>1.3358778625954198E-2</v>
      </c>
      <c r="Z65" s="26"/>
      <c r="AA65" s="50">
        <v>46</v>
      </c>
      <c r="AB65" s="26" t="s">
        <v>21</v>
      </c>
      <c r="AC65" s="63">
        <v>120.90236981481485</v>
      </c>
      <c r="AD65" s="64">
        <v>100.19083969465649</v>
      </c>
      <c r="AE65" s="63">
        <f t="shared" si="7"/>
        <v>12113.309952820189</v>
      </c>
      <c r="AF65" s="26"/>
      <c r="AG65" s="26"/>
      <c r="AH65" s="50">
        <v>11</v>
      </c>
      <c r="AI65" s="26" t="s">
        <v>104</v>
      </c>
      <c r="AJ65" s="63">
        <v>2771.0281766857511</v>
      </c>
    </row>
    <row r="66" spans="3:36" ht="17">
      <c r="C66">
        <v>47</v>
      </c>
      <c r="D66">
        <v>47</v>
      </c>
      <c r="E66" t="s">
        <v>133</v>
      </c>
      <c r="F66">
        <v>299</v>
      </c>
      <c r="G66" s="14">
        <f t="shared" si="2"/>
        <v>249.16666666666669</v>
      </c>
      <c r="H66" s="35">
        <v>2.1946564885496182E-2</v>
      </c>
      <c r="I66" s="14">
        <v>52.801499999999997</v>
      </c>
      <c r="J66">
        <v>17</v>
      </c>
      <c r="K66" s="14">
        <f t="shared" si="3"/>
        <v>71.725122048611112</v>
      </c>
      <c r="L66" s="14">
        <f t="shared" si="4"/>
        <v>124.5266220486111</v>
      </c>
      <c r="M66" s="14">
        <f t="shared" si="5"/>
        <v>196.36516666666668</v>
      </c>
      <c r="N66" s="17">
        <f t="shared" si="8"/>
        <v>0.65673968784838355</v>
      </c>
      <c r="O66" s="14">
        <f t="shared" si="6"/>
        <v>124.64004461805557</v>
      </c>
      <c r="P66" s="17">
        <f t="shared" si="9"/>
        <v>0.41685633651523601</v>
      </c>
      <c r="S66">
        <v>47</v>
      </c>
      <c r="T66" t="s">
        <v>133</v>
      </c>
      <c r="U66" s="14">
        <v>119.85836981481484</v>
      </c>
      <c r="V66" s="49">
        <v>0.40086411309302622</v>
      </c>
      <c r="W66">
        <v>17</v>
      </c>
      <c r="X66" s="49">
        <v>2.1946564885496182E-2</v>
      </c>
      <c r="Z66" s="26"/>
      <c r="AA66" s="50">
        <v>47</v>
      </c>
      <c r="AB66" s="26" t="s">
        <v>133</v>
      </c>
      <c r="AC66" s="63">
        <v>119.85836981481484</v>
      </c>
      <c r="AD66" s="64">
        <v>164.59923664122135</v>
      </c>
      <c r="AE66" s="63">
        <f t="shared" si="7"/>
        <v>19728.596176579729</v>
      </c>
      <c r="AF66" s="26"/>
      <c r="AG66" s="50"/>
      <c r="AH66" s="50">
        <v>26</v>
      </c>
      <c r="AI66" s="26" t="s">
        <v>117</v>
      </c>
      <c r="AJ66" s="63">
        <v>2653.4411577608148</v>
      </c>
    </row>
    <row r="67" spans="3:36" ht="17">
      <c r="C67">
        <v>48</v>
      </c>
      <c r="D67">
        <v>48</v>
      </c>
      <c r="E67" t="s">
        <v>188</v>
      </c>
      <c r="F67">
        <v>185</v>
      </c>
      <c r="G67" s="14">
        <f t="shared" si="2"/>
        <v>154.16666666666669</v>
      </c>
      <c r="H67" s="35">
        <v>6.2022900763358778E-3</v>
      </c>
      <c r="I67" s="14">
        <v>8.8664999999999985</v>
      </c>
      <c r="J67">
        <v>12</v>
      </c>
      <c r="K67" s="14">
        <f t="shared" si="3"/>
        <v>50.629497916666665</v>
      </c>
      <c r="L67" s="14">
        <f t="shared" si="4"/>
        <v>59.495997916666667</v>
      </c>
      <c r="M67" s="14">
        <f t="shared" si="5"/>
        <v>145.30016666666668</v>
      </c>
      <c r="N67" s="17">
        <f t="shared" si="8"/>
        <v>0.78540630630630637</v>
      </c>
      <c r="O67" s="14">
        <f t="shared" si="6"/>
        <v>94.670668750000019</v>
      </c>
      <c r="P67" s="17">
        <f t="shared" si="9"/>
        <v>0.51173334459459474</v>
      </c>
      <c r="S67">
        <v>48</v>
      </c>
      <c r="T67" t="s">
        <v>188</v>
      </c>
      <c r="U67" s="14">
        <v>91.295368888888902</v>
      </c>
      <c r="V67" s="49">
        <v>0.49348848048048055</v>
      </c>
      <c r="W67">
        <v>12</v>
      </c>
      <c r="X67" s="49">
        <v>6.2022900763358778E-3</v>
      </c>
      <c r="Z67" s="26"/>
      <c r="AA67" s="50">
        <v>48</v>
      </c>
      <c r="AB67" s="26" t="s">
        <v>188</v>
      </c>
      <c r="AC67" s="63">
        <v>91.295368888888902</v>
      </c>
      <c r="AD67" s="64">
        <v>46.517175572519086</v>
      </c>
      <c r="AE67" s="63">
        <f t="shared" si="7"/>
        <v>4246.8027035623418</v>
      </c>
      <c r="AF67" s="26"/>
      <c r="AG67" s="50"/>
      <c r="AH67" s="50">
        <v>28</v>
      </c>
      <c r="AI67" s="26" t="s">
        <v>119</v>
      </c>
      <c r="AJ67" s="63">
        <v>2533.7570650445296</v>
      </c>
    </row>
    <row r="68" spans="3:36" ht="17">
      <c r="C68">
        <v>49</v>
      </c>
      <c r="D68">
        <v>49</v>
      </c>
      <c r="E68" t="s">
        <v>134</v>
      </c>
      <c r="F68">
        <v>185</v>
      </c>
      <c r="G68" s="14">
        <f t="shared" si="2"/>
        <v>154.16666666666669</v>
      </c>
      <c r="H68" s="35">
        <v>1.717557251908397E-2</v>
      </c>
      <c r="I68" s="14">
        <v>31.761949999999999</v>
      </c>
      <c r="J68">
        <v>12</v>
      </c>
      <c r="K68" s="14">
        <f t="shared" si="3"/>
        <v>50.629497916666665</v>
      </c>
      <c r="L68" s="14">
        <f t="shared" si="4"/>
        <v>82.391447916666664</v>
      </c>
      <c r="M68" s="14">
        <f t="shared" si="5"/>
        <v>122.40471666666669</v>
      </c>
      <c r="N68" s="17">
        <f t="shared" si="8"/>
        <v>0.66164711711711721</v>
      </c>
      <c r="O68" s="14">
        <f t="shared" si="6"/>
        <v>71.775218750000022</v>
      </c>
      <c r="P68" s="17">
        <f t="shared" si="9"/>
        <v>0.38797415540540553</v>
      </c>
      <c r="S68">
        <v>49</v>
      </c>
      <c r="T68" t="s">
        <v>134</v>
      </c>
      <c r="U68" s="14">
        <v>68.399918888888919</v>
      </c>
      <c r="V68" s="49">
        <v>0.36972929129129145</v>
      </c>
      <c r="W68">
        <v>12</v>
      </c>
      <c r="X68" s="49">
        <v>1.717557251908397E-2</v>
      </c>
      <c r="Z68" s="26"/>
      <c r="AA68" s="50">
        <v>49</v>
      </c>
      <c r="AB68" s="26" t="s">
        <v>134</v>
      </c>
      <c r="AC68" s="63">
        <v>68.399918888888919</v>
      </c>
      <c r="AD68" s="64">
        <v>128.81679389312978</v>
      </c>
      <c r="AE68" s="63">
        <f t="shared" si="7"/>
        <v>8811.0582538167982</v>
      </c>
      <c r="AF68" s="26"/>
      <c r="AG68" s="26"/>
      <c r="AH68" s="50">
        <v>34</v>
      </c>
      <c r="AI68" s="26" t="s">
        <v>124</v>
      </c>
      <c r="AJ68" s="63">
        <v>2455.0167938931309</v>
      </c>
    </row>
    <row r="69" spans="3:36" ht="17">
      <c r="C69">
        <v>50</v>
      </c>
      <c r="D69">
        <v>50</v>
      </c>
      <c r="E69" t="s">
        <v>135</v>
      </c>
      <c r="F69">
        <v>180</v>
      </c>
      <c r="G69" s="14">
        <f t="shared" si="2"/>
        <v>150</v>
      </c>
      <c r="H69" s="35">
        <v>1.5744274809160304E-2</v>
      </c>
      <c r="I69" s="14">
        <v>26.756499999999999</v>
      </c>
      <c r="J69">
        <v>15</v>
      </c>
      <c r="K69" s="14">
        <f t="shared" si="3"/>
        <v>63.286872395833328</v>
      </c>
      <c r="L69" s="14">
        <f t="shared" si="4"/>
        <v>90.04337239583333</v>
      </c>
      <c r="M69" s="14">
        <f t="shared" si="5"/>
        <v>123.2435</v>
      </c>
      <c r="N69" s="17">
        <f t="shared" si="8"/>
        <v>0.68468611111111111</v>
      </c>
      <c r="O69" s="14">
        <f t="shared" si="6"/>
        <v>59.95662760416667</v>
      </c>
      <c r="P69" s="17">
        <f t="shared" si="9"/>
        <v>0.33309237557870375</v>
      </c>
      <c r="S69">
        <v>50</v>
      </c>
      <c r="T69" t="s">
        <v>135</v>
      </c>
      <c r="U69" s="14">
        <v>55.737502777777777</v>
      </c>
      <c r="V69" s="49">
        <v>0.30965279320987654</v>
      </c>
      <c r="W69">
        <v>15</v>
      </c>
      <c r="X69" s="49">
        <v>1.5744274809160304E-2</v>
      </c>
      <c r="Z69" s="26"/>
      <c r="AA69" s="50">
        <v>50</v>
      </c>
      <c r="AB69" s="26" t="s">
        <v>135</v>
      </c>
      <c r="AC69" s="63">
        <v>55.737502777777777</v>
      </c>
      <c r="AD69" s="64">
        <v>118.08206106870227</v>
      </c>
      <c r="AE69" s="63">
        <f t="shared" si="7"/>
        <v>6581.5992068225178</v>
      </c>
      <c r="AF69" s="26"/>
      <c r="AG69" s="65"/>
      <c r="AH69" s="26">
        <v>65</v>
      </c>
      <c r="AI69" s="26" t="s">
        <v>142</v>
      </c>
      <c r="AJ69" s="63">
        <v>2356.8075381679396</v>
      </c>
    </row>
    <row r="70" spans="3:36" ht="17">
      <c r="C70">
        <v>51</v>
      </c>
      <c r="D70">
        <v>51</v>
      </c>
      <c r="E70" t="s">
        <v>136</v>
      </c>
      <c r="F70">
        <v>165</v>
      </c>
      <c r="G70" s="14">
        <f t="shared" si="2"/>
        <v>137.5</v>
      </c>
      <c r="H70" s="35">
        <v>4.7709923664122139E-3</v>
      </c>
      <c r="I70" s="14">
        <v>12.736500000000001</v>
      </c>
      <c r="J70">
        <v>25</v>
      </c>
      <c r="K70" s="14">
        <f t="shared" si="3"/>
        <v>105.47812065972222</v>
      </c>
      <c r="L70" s="14">
        <f t="shared" si="4"/>
        <v>118.21462065972223</v>
      </c>
      <c r="M70" s="14">
        <f t="shared" si="5"/>
        <v>124.76349999999999</v>
      </c>
      <c r="N70" s="17">
        <f t="shared" si="8"/>
        <v>0.75614242424242417</v>
      </c>
      <c r="O70" s="14">
        <f t="shared" si="6"/>
        <v>19.285379340277771</v>
      </c>
      <c r="P70" s="17">
        <f t="shared" si="9"/>
        <v>0.11688108691077437</v>
      </c>
      <c r="S70">
        <v>51</v>
      </c>
      <c r="T70" t="s">
        <v>136</v>
      </c>
      <c r="U70" s="14">
        <v>12.253504629629631</v>
      </c>
      <c r="V70" s="49">
        <v>7.4263664421997763E-2</v>
      </c>
      <c r="W70">
        <v>25</v>
      </c>
      <c r="X70" s="49">
        <v>4.7709923664122139E-3</v>
      </c>
      <c r="Z70" s="26"/>
      <c r="AA70" s="50">
        <v>51</v>
      </c>
      <c r="AB70" s="26" t="s">
        <v>136</v>
      </c>
      <c r="AC70" s="63">
        <v>12.253504629629631</v>
      </c>
      <c r="AD70" s="64">
        <v>35.782442748091604</v>
      </c>
      <c r="AE70" s="63">
        <f t="shared" si="7"/>
        <v>438.46032787319768</v>
      </c>
      <c r="AF70" s="26"/>
      <c r="AG70" s="50"/>
      <c r="AH70" s="50">
        <v>39</v>
      </c>
      <c r="AI70" s="26" t="s">
        <v>128</v>
      </c>
      <c r="AJ70" s="63">
        <v>1914.3192032442748</v>
      </c>
    </row>
    <row r="71" spans="3:36" ht="17">
      <c r="C71">
        <v>52</v>
      </c>
      <c r="D71">
        <v>52</v>
      </c>
      <c r="E71" t="s">
        <v>186</v>
      </c>
      <c r="F71">
        <v>165</v>
      </c>
      <c r="G71" s="14">
        <f t="shared" si="2"/>
        <v>137.5</v>
      </c>
      <c r="H71" s="35">
        <v>1.9083969465648854E-3</v>
      </c>
      <c r="I71" s="14">
        <v>20.781499999999998</v>
      </c>
      <c r="J71">
        <v>12</v>
      </c>
      <c r="K71" s="14">
        <f t="shared" si="3"/>
        <v>50.629497916666665</v>
      </c>
      <c r="L71" s="14">
        <f t="shared" si="4"/>
        <v>71.410997916666659</v>
      </c>
      <c r="M71" s="14">
        <f t="shared" si="5"/>
        <v>116.71850000000001</v>
      </c>
      <c r="N71" s="17">
        <f t="shared" si="8"/>
        <v>0.70738484848484851</v>
      </c>
      <c r="O71" s="14">
        <f t="shared" si="6"/>
        <v>66.089002083333341</v>
      </c>
      <c r="P71" s="17">
        <f t="shared" si="9"/>
        <v>0.40053940656565662</v>
      </c>
      <c r="S71">
        <v>52</v>
      </c>
      <c r="T71" t="s">
        <v>186</v>
      </c>
      <c r="U71" s="14">
        <v>62.713702222222231</v>
      </c>
      <c r="V71" s="49">
        <v>0.38008304377104385</v>
      </c>
      <c r="W71">
        <v>12</v>
      </c>
      <c r="X71" s="49">
        <v>1.9083969465648854E-3</v>
      </c>
      <c r="Z71" s="26"/>
      <c r="AA71" s="50">
        <v>52</v>
      </c>
      <c r="AB71" s="26" t="s">
        <v>186</v>
      </c>
      <c r="AC71" s="63">
        <v>62.713702222222231</v>
      </c>
      <c r="AD71" s="64">
        <v>14.31297709923664</v>
      </c>
      <c r="AE71" s="63">
        <f t="shared" si="7"/>
        <v>897.61978371501277</v>
      </c>
      <c r="AF71" s="26"/>
      <c r="AG71" s="50"/>
      <c r="AH71" s="50">
        <v>9</v>
      </c>
      <c r="AI71" s="26" t="s">
        <v>102</v>
      </c>
      <c r="AJ71" s="63">
        <v>1608.7819159510179</v>
      </c>
    </row>
    <row r="72" spans="3:36" ht="17">
      <c r="C72">
        <v>53</v>
      </c>
      <c r="D72">
        <v>63</v>
      </c>
      <c r="E72" t="s">
        <v>140</v>
      </c>
      <c r="F72">
        <v>370</v>
      </c>
      <c r="G72" s="14">
        <f t="shared" si="2"/>
        <v>308.33333333333337</v>
      </c>
      <c r="H72" s="35">
        <v>2.8625954198473282E-3</v>
      </c>
      <c r="I72" s="14">
        <v>62.413849999999996</v>
      </c>
      <c r="J72">
        <v>18</v>
      </c>
      <c r="K72" s="14">
        <f t="shared" si="3"/>
        <v>75.944246875000005</v>
      </c>
      <c r="L72" s="14">
        <f t="shared" si="4"/>
        <v>138.358096875</v>
      </c>
      <c r="M72" s="14">
        <f t="shared" si="5"/>
        <v>245.91948333333337</v>
      </c>
      <c r="N72" s="17">
        <f t="shared" si="8"/>
        <v>0.66464725225225241</v>
      </c>
      <c r="O72" s="14">
        <f t="shared" si="6"/>
        <v>169.97523645833337</v>
      </c>
      <c r="P72" s="17">
        <f t="shared" si="9"/>
        <v>0.45939253096846855</v>
      </c>
      <c r="S72">
        <v>63</v>
      </c>
      <c r="T72" t="s">
        <v>140</v>
      </c>
      <c r="U72" s="14">
        <v>164.91228666666672</v>
      </c>
      <c r="V72" s="49">
        <v>0.44570888288288302</v>
      </c>
      <c r="W72">
        <v>18</v>
      </c>
      <c r="X72" s="49">
        <v>2.8625954198473282E-3</v>
      </c>
      <c r="Z72" s="26"/>
      <c r="AA72" s="26">
        <v>63</v>
      </c>
      <c r="AB72" s="26" t="s">
        <v>140</v>
      </c>
      <c r="AC72" s="63">
        <v>164.91228666666672</v>
      </c>
      <c r="AD72" s="64">
        <v>21.46946564885496</v>
      </c>
      <c r="AE72" s="63">
        <f t="shared" si="7"/>
        <v>3540.578673664123</v>
      </c>
      <c r="AF72" s="26"/>
      <c r="AG72" s="50"/>
      <c r="AH72" s="50">
        <v>45</v>
      </c>
      <c r="AI72" s="26" t="s">
        <v>132</v>
      </c>
      <c r="AJ72" s="63">
        <v>1384.2648218829515</v>
      </c>
    </row>
    <row r="73" spans="3:36" ht="17">
      <c r="C73">
        <v>54</v>
      </c>
      <c r="D73">
        <v>64</v>
      </c>
      <c r="E73" t="s">
        <v>141</v>
      </c>
      <c r="F73">
        <v>459</v>
      </c>
      <c r="G73" s="14">
        <f t="shared" si="2"/>
        <v>382.5</v>
      </c>
      <c r="H73" s="35">
        <v>4.7709923664122139E-3</v>
      </c>
      <c r="I73" s="14">
        <v>82.123689999999996</v>
      </c>
      <c r="J73">
        <v>22</v>
      </c>
      <c r="K73" s="14">
        <f t="shared" si="3"/>
        <v>92.820746180555545</v>
      </c>
      <c r="L73" s="14">
        <f t="shared" si="4"/>
        <v>174.94443618055556</v>
      </c>
      <c r="M73" s="14">
        <f t="shared" si="5"/>
        <v>300.37630999999999</v>
      </c>
      <c r="N73" s="17">
        <f t="shared" si="8"/>
        <v>0.6544146187363834</v>
      </c>
      <c r="O73" s="14">
        <f t="shared" si="6"/>
        <v>207.55556381944444</v>
      </c>
      <c r="P73" s="17">
        <f t="shared" si="9"/>
        <v>0.45219077084846282</v>
      </c>
      <c r="S73">
        <v>64</v>
      </c>
      <c r="T73" t="s">
        <v>141</v>
      </c>
      <c r="U73" s="14">
        <v>201.36751407407405</v>
      </c>
      <c r="V73" s="49">
        <v>0.43870918098926809</v>
      </c>
      <c r="W73">
        <v>22</v>
      </c>
      <c r="X73" s="49">
        <v>4.7709923664122139E-3</v>
      </c>
      <c r="Z73" s="26"/>
      <c r="AA73" s="26">
        <v>64</v>
      </c>
      <c r="AB73" s="26" t="s">
        <v>141</v>
      </c>
      <c r="AC73" s="63">
        <v>201.36751407407405</v>
      </c>
      <c r="AD73" s="64">
        <v>35.782442748091604</v>
      </c>
      <c r="AE73" s="63">
        <f t="shared" si="7"/>
        <v>7205.4215436810855</v>
      </c>
      <c r="AF73" s="26"/>
      <c r="AG73" s="50"/>
      <c r="AH73" s="50">
        <v>52</v>
      </c>
      <c r="AI73" s="26" t="s">
        <v>186</v>
      </c>
      <c r="AJ73" s="63">
        <v>897.61978371501277</v>
      </c>
    </row>
    <row r="74" spans="3:36" ht="17">
      <c r="C74">
        <v>55</v>
      </c>
      <c r="D74">
        <v>65</v>
      </c>
      <c r="E74" t="s">
        <v>142</v>
      </c>
      <c r="F74">
        <v>370</v>
      </c>
      <c r="G74" s="14">
        <f t="shared" si="2"/>
        <v>308.33333333333337</v>
      </c>
      <c r="H74" s="35">
        <v>1.9083969465648854E-3</v>
      </c>
      <c r="I74" s="14">
        <v>62.663849999999996</v>
      </c>
      <c r="J74">
        <v>18</v>
      </c>
      <c r="K74" s="14">
        <f t="shared" si="3"/>
        <v>75.944246875000005</v>
      </c>
      <c r="L74" s="14">
        <f t="shared" si="4"/>
        <v>138.608096875</v>
      </c>
      <c r="M74" s="14">
        <f t="shared" si="5"/>
        <v>245.66948333333337</v>
      </c>
      <c r="N74" s="17">
        <f t="shared" si="8"/>
        <v>0.66397157657657668</v>
      </c>
      <c r="O74" s="14">
        <f t="shared" si="6"/>
        <v>169.72523645833337</v>
      </c>
      <c r="P74" s="17">
        <f t="shared" si="9"/>
        <v>0.45871685529279288</v>
      </c>
      <c r="S74">
        <v>65</v>
      </c>
      <c r="T74" t="s">
        <v>142</v>
      </c>
      <c r="U74" s="14">
        <v>164.66228666666672</v>
      </c>
      <c r="V74" s="49">
        <v>0.44503320720720735</v>
      </c>
      <c r="W74">
        <v>18</v>
      </c>
      <c r="X74" s="49">
        <v>1.9083969465648854E-3</v>
      </c>
      <c r="Z74" s="26"/>
      <c r="AA74" s="26">
        <v>65</v>
      </c>
      <c r="AB74" s="26" t="s">
        <v>142</v>
      </c>
      <c r="AC74" s="63">
        <v>164.66228666666672</v>
      </c>
      <c r="AD74" s="64">
        <v>14.31297709923664</v>
      </c>
      <c r="AE74" s="63">
        <f t="shared" si="7"/>
        <v>2356.8075381679396</v>
      </c>
      <c r="AF74" s="26"/>
      <c r="AG74" s="50"/>
      <c r="AH74" s="50">
        <v>51</v>
      </c>
      <c r="AI74" s="26" t="s">
        <v>136</v>
      </c>
      <c r="AJ74" s="63">
        <v>438.46032787319768</v>
      </c>
    </row>
    <row r="75" spans="3:36">
      <c r="C75">
        <v>56</v>
      </c>
      <c r="G75" s="14"/>
      <c r="H75" s="35"/>
      <c r="I75" s="14"/>
      <c r="K75" s="14"/>
      <c r="L75" s="14"/>
      <c r="M75" s="14"/>
      <c r="N75" s="17"/>
      <c r="O75" s="14"/>
      <c r="P75" s="17"/>
      <c r="U75" s="14"/>
      <c r="V75" s="49"/>
      <c r="X75" s="49"/>
      <c r="Z75" s="26" t="s">
        <v>94</v>
      </c>
      <c r="AA75" s="26"/>
      <c r="AB75" s="26"/>
      <c r="AC75" s="63"/>
      <c r="AD75" s="64"/>
      <c r="AE75" s="63"/>
      <c r="AF75" s="26"/>
      <c r="AG75" s="26" t="s">
        <v>94</v>
      </c>
      <c r="AH75" s="26"/>
      <c r="AI75" s="26"/>
      <c r="AJ75" s="63"/>
    </row>
    <row r="76" spans="3:36" ht="17">
      <c r="C76">
        <v>57</v>
      </c>
      <c r="D76">
        <v>53</v>
      </c>
      <c r="E76" t="s">
        <v>137</v>
      </c>
      <c r="F76">
        <v>80</v>
      </c>
      <c r="G76" s="14">
        <f t="shared" si="2"/>
        <v>66.666666666666671</v>
      </c>
      <c r="H76" s="35">
        <v>7.1564885496183204E-3</v>
      </c>
      <c r="I76" s="14">
        <v>9.8506</v>
      </c>
      <c r="J76">
        <v>6</v>
      </c>
      <c r="K76" s="14">
        <f t="shared" si="3"/>
        <v>25.314748958333332</v>
      </c>
      <c r="L76" s="14">
        <f t="shared" si="4"/>
        <v>35.165348958333333</v>
      </c>
      <c r="M76" s="14">
        <f t="shared" si="5"/>
        <v>56.816066666666671</v>
      </c>
      <c r="N76" s="17">
        <f>M76/F76</f>
        <v>0.71020083333333339</v>
      </c>
      <c r="O76" s="14">
        <f t="shared" si="6"/>
        <v>31.501317708333339</v>
      </c>
      <c r="P76" s="17">
        <f>O76/F76</f>
        <v>0.39376647135416676</v>
      </c>
      <c r="S76">
        <v>53</v>
      </c>
      <c r="T76" t="s">
        <v>137</v>
      </c>
      <c r="U76" s="14">
        <v>29.813667777777784</v>
      </c>
      <c r="V76" s="49">
        <v>0.37267084722222232</v>
      </c>
      <c r="W76">
        <v>6</v>
      </c>
      <c r="X76" s="49">
        <v>7.1564885496183204E-3</v>
      </c>
      <c r="Z76" s="26"/>
      <c r="AA76" s="50">
        <v>53</v>
      </c>
      <c r="AB76" s="26" t="s">
        <v>137</v>
      </c>
      <c r="AC76" s="63">
        <v>29.813667777777784</v>
      </c>
      <c r="AD76" s="64">
        <v>53.673664122137403</v>
      </c>
      <c r="AE76" s="63">
        <f t="shared" si="7"/>
        <v>1600.2087905534354</v>
      </c>
      <c r="AF76" s="26"/>
      <c r="AG76" s="50"/>
      <c r="AH76" s="50">
        <v>53</v>
      </c>
      <c r="AI76" s="26" t="s">
        <v>137</v>
      </c>
      <c r="AJ76" s="63">
        <v>1600.2087905534354</v>
      </c>
    </row>
    <row r="77" spans="3:36" ht="17">
      <c r="C77">
        <v>58</v>
      </c>
      <c r="D77">
        <v>54</v>
      </c>
      <c r="E77" t="s">
        <v>138</v>
      </c>
      <c r="F77">
        <v>80</v>
      </c>
      <c r="G77" s="14">
        <f t="shared" si="2"/>
        <v>66.666666666666671</v>
      </c>
      <c r="H77" s="35">
        <v>5.2480916030534352E-3</v>
      </c>
      <c r="I77" s="14">
        <v>13.507600000000002</v>
      </c>
      <c r="J77">
        <v>6</v>
      </c>
      <c r="K77" s="14">
        <f t="shared" si="3"/>
        <v>25.314748958333332</v>
      </c>
      <c r="L77" s="14">
        <f t="shared" si="4"/>
        <v>38.822348958333336</v>
      </c>
      <c r="M77" s="14">
        <f t="shared" si="5"/>
        <v>53.159066666666668</v>
      </c>
      <c r="N77" s="17">
        <f>M77/F77</f>
        <v>0.66448833333333335</v>
      </c>
      <c r="O77" s="14">
        <f t="shared" si="6"/>
        <v>27.844317708333335</v>
      </c>
      <c r="P77" s="17">
        <f>O77/F77</f>
        <v>0.34805397135416671</v>
      </c>
      <c r="S77">
        <v>54</v>
      </c>
      <c r="T77" t="s">
        <v>138</v>
      </c>
      <c r="U77" s="14">
        <v>26.156667777777781</v>
      </c>
      <c r="V77" s="49">
        <v>0.32695834722222228</v>
      </c>
      <c r="W77">
        <v>6</v>
      </c>
      <c r="X77" s="49">
        <v>5.2480916030534352E-3</v>
      </c>
      <c r="Z77" s="26"/>
      <c r="AA77" s="50">
        <v>54</v>
      </c>
      <c r="AB77" s="26" t="s">
        <v>138</v>
      </c>
      <c r="AC77" s="63">
        <v>26.156667777777781</v>
      </c>
      <c r="AD77" s="64">
        <v>39.360687022900763</v>
      </c>
      <c r="AE77" s="63">
        <f t="shared" si="7"/>
        <v>1029.5444139631045</v>
      </c>
      <c r="AF77" s="26"/>
      <c r="AG77" s="50"/>
      <c r="AH77" s="50">
        <v>54</v>
      </c>
      <c r="AI77" s="26" t="s">
        <v>138</v>
      </c>
      <c r="AJ77" s="63">
        <v>1029.5444139631045</v>
      </c>
    </row>
    <row r="78" spans="3:36" ht="17">
      <c r="C78">
        <v>59</v>
      </c>
      <c r="D78">
        <v>55</v>
      </c>
      <c r="E78" t="s">
        <v>59</v>
      </c>
      <c r="F78">
        <v>90</v>
      </c>
      <c r="G78" s="14">
        <f t="shared" si="2"/>
        <v>75</v>
      </c>
      <c r="H78" s="35">
        <v>7.1564885496183204E-3</v>
      </c>
      <c r="I78" s="14">
        <v>13.807599999999999</v>
      </c>
      <c r="J78">
        <v>12</v>
      </c>
      <c r="K78" s="14">
        <f t="shared" si="3"/>
        <v>50.629497916666665</v>
      </c>
      <c r="L78" s="14">
        <f t="shared" si="4"/>
        <v>64.437097916666659</v>
      </c>
      <c r="M78" s="14">
        <f t="shared" si="5"/>
        <v>61.192399999999999</v>
      </c>
      <c r="N78" s="17">
        <f>M78/F78</f>
        <v>0.6799155555555555</v>
      </c>
      <c r="O78" s="14">
        <f t="shared" si="6"/>
        <v>10.562902083333334</v>
      </c>
      <c r="P78" s="17">
        <f>O78/F78</f>
        <v>0.11736557870370372</v>
      </c>
      <c r="S78">
        <v>55</v>
      </c>
      <c r="T78" t="s">
        <v>59</v>
      </c>
      <c r="U78" s="14">
        <v>7.1876022222222247</v>
      </c>
      <c r="V78" s="49">
        <v>7.9862246913580279E-2</v>
      </c>
      <c r="W78">
        <v>12</v>
      </c>
      <c r="X78" s="49">
        <v>7.1564885496183204E-3</v>
      </c>
      <c r="Z78" s="26"/>
      <c r="AA78" s="50">
        <v>55</v>
      </c>
      <c r="AB78" s="26" t="s">
        <v>59</v>
      </c>
      <c r="AC78" s="63">
        <v>7.1876022222222247</v>
      </c>
      <c r="AD78" s="64">
        <v>53.673664122137403</v>
      </c>
      <c r="AE78" s="63">
        <f t="shared" si="7"/>
        <v>385.78494751908408</v>
      </c>
      <c r="AF78" s="26"/>
      <c r="AG78" s="50"/>
      <c r="AH78" s="50">
        <v>56</v>
      </c>
      <c r="AI78" s="26" t="s">
        <v>259</v>
      </c>
      <c r="AJ78" s="63">
        <v>414.4809796437662</v>
      </c>
    </row>
    <row r="79" spans="3:36" ht="17">
      <c r="C79">
        <v>60</v>
      </c>
      <c r="D79">
        <v>56</v>
      </c>
      <c r="E79" t="s">
        <v>259</v>
      </c>
      <c r="F79">
        <v>99</v>
      </c>
      <c r="G79" s="14">
        <f t="shared" si="2"/>
        <v>82.5</v>
      </c>
      <c r="H79" s="35">
        <v>3.8167938931297708E-3</v>
      </c>
      <c r="I79" s="14">
        <v>14.015999999999998</v>
      </c>
      <c r="J79">
        <v>12</v>
      </c>
      <c r="K79" s="14">
        <f t="shared" si="3"/>
        <v>50.629497916666665</v>
      </c>
      <c r="L79" s="14">
        <f t="shared" si="4"/>
        <v>64.64549791666667</v>
      </c>
      <c r="M79" s="14">
        <f t="shared" si="5"/>
        <v>68.484000000000009</v>
      </c>
      <c r="N79" s="17">
        <f>M79/F79</f>
        <v>0.69175757575757579</v>
      </c>
      <c r="O79" s="14">
        <f t="shared" si="6"/>
        <v>17.854502083333344</v>
      </c>
      <c r="P79" s="17">
        <f>O79/F79</f>
        <v>0.18034850589225601</v>
      </c>
      <c r="S79">
        <v>56</v>
      </c>
      <c r="T79" t="s">
        <v>259</v>
      </c>
      <c r="U79" s="14">
        <v>14.479202222222234</v>
      </c>
      <c r="V79" s="49">
        <v>0.1462545679012347</v>
      </c>
      <c r="W79">
        <v>12</v>
      </c>
      <c r="X79" s="49">
        <v>3.8167938931297708E-3</v>
      </c>
      <c r="Z79" s="26"/>
      <c r="AA79" s="50">
        <v>56</v>
      </c>
      <c r="AB79" s="26" t="s">
        <v>259</v>
      </c>
      <c r="AC79" s="63">
        <v>14.479202222222234</v>
      </c>
      <c r="AD79" s="64">
        <v>28.625954198473281</v>
      </c>
      <c r="AE79" s="63">
        <f t="shared" si="7"/>
        <v>414.4809796437662</v>
      </c>
      <c r="AF79" s="26"/>
      <c r="AG79" s="50"/>
      <c r="AH79" s="50">
        <v>55</v>
      </c>
      <c r="AI79" s="26" t="s">
        <v>59</v>
      </c>
      <c r="AJ79" s="63">
        <v>385.78494751908408</v>
      </c>
    </row>
    <row r="80" spans="3:36" ht="17">
      <c r="C80">
        <v>61</v>
      </c>
      <c r="G80" s="14"/>
      <c r="H80" s="35"/>
      <c r="I80" s="14"/>
      <c r="K80" s="14"/>
      <c r="L80" s="14"/>
      <c r="M80" s="14"/>
      <c r="N80" s="17"/>
      <c r="O80" s="14"/>
      <c r="P80" s="17"/>
      <c r="U80" s="14"/>
      <c r="V80" s="49"/>
      <c r="X80" s="49"/>
      <c r="Z80" s="26" t="s">
        <v>144</v>
      </c>
      <c r="AA80" s="26"/>
      <c r="AB80" s="26"/>
      <c r="AC80" s="63"/>
      <c r="AD80" s="64"/>
      <c r="AE80" s="63"/>
      <c r="AF80" s="26"/>
      <c r="AG80" s="50"/>
      <c r="AH80" s="26"/>
      <c r="AI80" s="26"/>
      <c r="AJ80" s="63"/>
    </row>
    <row r="81" spans="3:36" ht="17">
      <c r="C81">
        <v>62</v>
      </c>
      <c r="D81">
        <v>57</v>
      </c>
      <c r="E81" t="s">
        <v>145</v>
      </c>
      <c r="F81">
        <v>80</v>
      </c>
      <c r="G81" s="14">
        <f t="shared" si="2"/>
        <v>66.666666666666671</v>
      </c>
      <c r="H81" s="35">
        <v>1.383587786259542E-2</v>
      </c>
      <c r="I81" s="14">
        <v>4.29</v>
      </c>
      <c r="J81">
        <v>5</v>
      </c>
      <c r="K81" s="14">
        <f t="shared" si="3"/>
        <v>21.095624131944444</v>
      </c>
      <c r="L81" s="14">
        <f t="shared" si="4"/>
        <v>25.385624131944443</v>
      </c>
      <c r="M81" s="14">
        <f t="shared" si="5"/>
        <v>62.376666666666672</v>
      </c>
      <c r="N81" s="17">
        <f>M81/F81</f>
        <v>0.77970833333333345</v>
      </c>
      <c r="O81" s="14">
        <f t="shared" si="6"/>
        <v>41.281042534722232</v>
      </c>
      <c r="P81" s="17">
        <f>O81/F81</f>
        <v>0.5160130316840279</v>
      </c>
      <c r="S81">
        <v>57</v>
      </c>
      <c r="T81" t="s">
        <v>145</v>
      </c>
      <c r="U81" s="14">
        <v>39.874667592592601</v>
      </c>
      <c r="V81" s="49">
        <v>0.49843334490740754</v>
      </c>
      <c r="W81">
        <v>5</v>
      </c>
      <c r="X81" s="49">
        <v>1.383587786259542E-2</v>
      </c>
      <c r="Z81" s="26"/>
      <c r="AA81" s="26">
        <v>57</v>
      </c>
      <c r="AB81" s="26" t="s">
        <v>145</v>
      </c>
      <c r="AC81" s="63">
        <v>39.874667592592601</v>
      </c>
      <c r="AD81" s="64">
        <v>103.76908396946565</v>
      </c>
      <c r="AE81" s="63">
        <f t="shared" si="7"/>
        <v>4137.757729670273</v>
      </c>
      <c r="AF81" s="26"/>
      <c r="AG81" s="50"/>
      <c r="AH81" s="26">
        <v>58</v>
      </c>
      <c r="AI81" s="26" t="s">
        <v>146</v>
      </c>
      <c r="AJ81" s="63">
        <v>9457.7669237701466</v>
      </c>
    </row>
    <row r="82" spans="3:36" ht="17">
      <c r="C82">
        <v>63</v>
      </c>
      <c r="D82">
        <v>58</v>
      </c>
      <c r="E82" t="s">
        <v>146</v>
      </c>
      <c r="F82">
        <v>80</v>
      </c>
      <c r="G82" s="14">
        <f t="shared" si="2"/>
        <v>66.666666666666671</v>
      </c>
      <c r="H82" s="35">
        <v>3.2442748091603052E-2</v>
      </c>
      <c r="I82" s="14">
        <v>5.2951000000000006</v>
      </c>
      <c r="J82">
        <v>5</v>
      </c>
      <c r="K82" s="14">
        <f t="shared" si="3"/>
        <v>21.095624131944444</v>
      </c>
      <c r="L82" s="14">
        <f t="shared" si="4"/>
        <v>26.390724131944445</v>
      </c>
      <c r="M82" s="14">
        <f t="shared" si="5"/>
        <v>61.371566666666673</v>
      </c>
      <c r="N82" s="17">
        <f>M82/F82</f>
        <v>0.76714458333333346</v>
      </c>
      <c r="O82" s="14">
        <f t="shared" si="6"/>
        <v>40.275942534722233</v>
      </c>
      <c r="P82" s="17">
        <f>O82/F82</f>
        <v>0.50344928168402792</v>
      </c>
      <c r="S82">
        <v>58</v>
      </c>
      <c r="T82" t="s">
        <v>146</v>
      </c>
      <c r="U82" s="14">
        <v>38.869567592592603</v>
      </c>
      <c r="V82" s="49">
        <v>0.48586959490740755</v>
      </c>
      <c r="W82">
        <v>5</v>
      </c>
      <c r="X82" s="49">
        <v>3.2442748091603052E-2</v>
      </c>
      <c r="Z82" s="26"/>
      <c r="AA82" s="26">
        <v>58</v>
      </c>
      <c r="AB82" s="26" t="s">
        <v>146</v>
      </c>
      <c r="AC82" s="63">
        <v>38.869567592592603</v>
      </c>
      <c r="AD82" s="64">
        <v>243.32061068702288</v>
      </c>
      <c r="AE82" s="63">
        <f t="shared" si="7"/>
        <v>9457.7669237701466</v>
      </c>
      <c r="AF82" s="26"/>
      <c r="AG82" s="50"/>
      <c r="AH82" s="26">
        <v>59</v>
      </c>
      <c r="AI82" s="26" t="s">
        <v>149</v>
      </c>
      <c r="AJ82" s="63">
        <v>5879.8808676579738</v>
      </c>
    </row>
    <row r="83" spans="3:36" ht="17">
      <c r="C83">
        <v>64</v>
      </c>
      <c r="D83">
        <v>59</v>
      </c>
      <c r="E83" t="s">
        <v>149</v>
      </c>
      <c r="F83">
        <v>80</v>
      </c>
      <c r="G83" s="14">
        <f t="shared" si="2"/>
        <v>66.666666666666671</v>
      </c>
      <c r="H83" s="35">
        <v>2.0515267175572519E-2</v>
      </c>
      <c r="I83" s="14">
        <v>5.95</v>
      </c>
      <c r="J83">
        <v>5</v>
      </c>
      <c r="K83" s="14">
        <f t="shared" si="3"/>
        <v>21.095624131944444</v>
      </c>
      <c r="L83" s="14">
        <f t="shared" si="4"/>
        <v>27.045624131944443</v>
      </c>
      <c r="M83" s="14">
        <f t="shared" si="5"/>
        <v>60.716666666666669</v>
      </c>
      <c r="N83" s="17">
        <f>M83/F83</f>
        <v>0.7589583333333334</v>
      </c>
      <c r="O83" s="14">
        <f t="shared" si="6"/>
        <v>39.621042534722221</v>
      </c>
      <c r="P83" s="17">
        <f>O83/F83</f>
        <v>0.49526303168402774</v>
      </c>
      <c r="S83">
        <v>59</v>
      </c>
      <c r="T83" t="s">
        <v>149</v>
      </c>
      <c r="U83" s="14">
        <v>38.214667592592598</v>
      </c>
      <c r="V83" s="49">
        <v>0.47768334490740749</v>
      </c>
      <c r="W83">
        <v>5</v>
      </c>
      <c r="X83" s="49">
        <v>2.0515267175572519E-2</v>
      </c>
      <c r="Z83" s="26"/>
      <c r="AA83" s="26">
        <v>59</v>
      </c>
      <c r="AB83" s="26" t="s">
        <v>149</v>
      </c>
      <c r="AC83" s="63">
        <v>38.214667592592598</v>
      </c>
      <c r="AD83" s="64">
        <v>153.8645038167939</v>
      </c>
      <c r="AE83" s="63">
        <f t="shared" si="7"/>
        <v>5879.8808676579738</v>
      </c>
      <c r="AF83" s="26"/>
      <c r="AG83" s="50"/>
      <c r="AH83" s="26">
        <v>57</v>
      </c>
      <c r="AI83" s="26" t="s">
        <v>145</v>
      </c>
      <c r="AJ83" s="63">
        <v>4137.757729670273</v>
      </c>
    </row>
    <row r="84" spans="3:36">
      <c r="C84">
        <v>65</v>
      </c>
      <c r="D84">
        <v>60</v>
      </c>
      <c r="E84" t="s">
        <v>147</v>
      </c>
      <c r="F84">
        <v>80</v>
      </c>
      <c r="G84" s="14">
        <f t="shared" si="2"/>
        <v>66.666666666666671</v>
      </c>
      <c r="H84" s="35">
        <v>9.0648854961832056E-3</v>
      </c>
      <c r="I84" s="14">
        <v>5.8100000000000005</v>
      </c>
      <c r="J84">
        <v>5</v>
      </c>
      <c r="K84" s="14">
        <f t="shared" si="3"/>
        <v>21.095624131944444</v>
      </c>
      <c r="L84" s="14">
        <f t="shared" si="4"/>
        <v>26.905624131944442</v>
      </c>
      <c r="M84" s="14">
        <f t="shared" si="5"/>
        <v>60.856666666666669</v>
      </c>
      <c r="N84" s="17">
        <f>M84/F84</f>
        <v>0.76070833333333332</v>
      </c>
      <c r="O84" s="14">
        <f t="shared" si="6"/>
        <v>39.761042534722222</v>
      </c>
      <c r="P84" s="17">
        <f>O84/F84</f>
        <v>0.49701303168402777</v>
      </c>
      <c r="S84">
        <v>60</v>
      </c>
      <c r="T84" t="s">
        <v>147</v>
      </c>
      <c r="U84" s="51">
        <v>38.354667592592598</v>
      </c>
      <c r="V84" s="17">
        <v>0.47943334490740747</v>
      </c>
      <c r="W84">
        <v>5</v>
      </c>
      <c r="X84">
        <v>9.0648854961832056E-3</v>
      </c>
      <c r="Z84" s="26"/>
      <c r="AA84" s="26">
        <v>60</v>
      </c>
      <c r="AB84" s="26" t="s">
        <v>147</v>
      </c>
      <c r="AC84" s="63">
        <v>38.354667592592598</v>
      </c>
      <c r="AD84" s="64">
        <v>67.986641221374043</v>
      </c>
      <c r="AE84" s="63">
        <f t="shared" si="7"/>
        <v>2607.6050247826552</v>
      </c>
      <c r="AF84" s="26"/>
      <c r="AG84" s="26"/>
      <c r="AH84" s="26">
        <v>60</v>
      </c>
      <c r="AI84" s="26" t="s">
        <v>147</v>
      </c>
      <c r="AJ84" s="26">
        <v>2607.6050247826552</v>
      </c>
    </row>
    <row r="85" spans="3:36">
      <c r="C85">
        <v>66</v>
      </c>
      <c r="D85">
        <v>61</v>
      </c>
      <c r="E85" t="s">
        <v>148</v>
      </c>
      <c r="F85">
        <v>22</v>
      </c>
      <c r="G85" s="14">
        <f t="shared" ref="G85:G87" si="10">F85/1.2</f>
        <v>18.333333333333336</v>
      </c>
      <c r="H85" s="35">
        <v>1.717557251908397E-2</v>
      </c>
      <c r="I85" s="14">
        <v>3.3600000000000003</v>
      </c>
      <c r="J85">
        <v>1</v>
      </c>
      <c r="K85" s="14">
        <f t="shared" ref="K85:K87" si="11">$C$15*J85</f>
        <v>4.2191248263888887</v>
      </c>
      <c r="L85" s="14">
        <f t="shared" ref="L85:L87" si="12">I85+K85</f>
        <v>7.5791248263888891</v>
      </c>
      <c r="M85" s="14">
        <f t="shared" ref="M85:M87" si="13">G85-I85</f>
        <v>14.973333333333336</v>
      </c>
      <c r="N85" s="17">
        <f>M85/F85</f>
        <v>0.68060606060606077</v>
      </c>
      <c r="O85" s="14">
        <f t="shared" ref="O85:O87" si="14">G85-I85-K85</f>
        <v>10.754208506944448</v>
      </c>
      <c r="P85" s="17">
        <f>O85/F85</f>
        <v>0.48882765940656581</v>
      </c>
      <c r="S85">
        <v>61</v>
      </c>
      <c r="T85" t="s">
        <v>148</v>
      </c>
      <c r="U85" s="51">
        <v>10.472933518518522</v>
      </c>
      <c r="V85" s="17">
        <v>0.47604243265993279</v>
      </c>
      <c r="W85">
        <v>1</v>
      </c>
      <c r="X85">
        <v>1.717557251908397E-2</v>
      </c>
      <c r="Z85" s="26"/>
      <c r="AA85" s="26">
        <v>61</v>
      </c>
      <c r="AB85" s="26" t="s">
        <v>148</v>
      </c>
      <c r="AC85" s="63">
        <v>10.472933518518522</v>
      </c>
      <c r="AD85" s="64">
        <v>128.81679389312978</v>
      </c>
      <c r="AE85" s="63">
        <f t="shared" ref="AE85:AE87" si="15">AC85*AD85</f>
        <v>1349.0897185114509</v>
      </c>
      <c r="AF85" s="26"/>
      <c r="AG85" s="26"/>
      <c r="AH85" s="26">
        <v>61</v>
      </c>
      <c r="AI85" s="26" t="s">
        <v>148</v>
      </c>
      <c r="AJ85" s="26">
        <v>1349.0897185114509</v>
      </c>
    </row>
    <row r="86" spans="3:36">
      <c r="C86">
        <v>67</v>
      </c>
      <c r="G86" s="14"/>
      <c r="H86" s="35"/>
      <c r="K86" s="14"/>
      <c r="L86" s="14"/>
      <c r="M86" s="14"/>
      <c r="N86" s="17"/>
      <c r="O86" s="14"/>
      <c r="P86" s="17"/>
      <c r="U86" s="51"/>
      <c r="V86" s="17"/>
      <c r="Z86" s="26"/>
      <c r="AA86" s="26"/>
      <c r="AB86" s="26"/>
      <c r="AC86" s="63"/>
      <c r="AD86" s="64"/>
      <c r="AE86" s="63"/>
      <c r="AF86" s="26"/>
      <c r="AG86" s="26"/>
      <c r="AH86" s="26"/>
      <c r="AI86" s="26"/>
      <c r="AJ86" s="26"/>
    </row>
    <row r="87" spans="3:36">
      <c r="C87">
        <v>68</v>
      </c>
      <c r="D87">
        <v>62</v>
      </c>
      <c r="E87" t="s">
        <v>143</v>
      </c>
      <c r="F87">
        <v>89</v>
      </c>
      <c r="G87" s="14">
        <f t="shared" si="10"/>
        <v>74.166666666666671</v>
      </c>
      <c r="H87" s="35">
        <v>6.9179389312977096E-2</v>
      </c>
      <c r="I87">
        <v>13.7</v>
      </c>
      <c r="J87">
        <v>8</v>
      </c>
      <c r="K87" s="14">
        <f t="shared" si="11"/>
        <v>33.75299861111111</v>
      </c>
      <c r="L87" s="14">
        <f t="shared" si="12"/>
        <v>47.452998611111113</v>
      </c>
      <c r="M87" s="14">
        <f t="shared" si="13"/>
        <v>60.466666666666669</v>
      </c>
      <c r="N87" s="17">
        <f>M87/F87</f>
        <v>0.67940074906367043</v>
      </c>
      <c r="O87" s="14">
        <f t="shared" si="14"/>
        <v>26.713668055555559</v>
      </c>
      <c r="P87" s="17">
        <f>O87/F87</f>
        <v>0.30015357365792761</v>
      </c>
      <c r="Q87" s="14"/>
      <c r="S87">
        <v>62</v>
      </c>
      <c r="T87" t="s">
        <v>143</v>
      </c>
      <c r="U87" s="51">
        <v>24.463468148148152</v>
      </c>
      <c r="V87" s="17">
        <v>0.27487042863087813</v>
      </c>
      <c r="W87">
        <v>8</v>
      </c>
      <c r="X87">
        <v>6.9179389312977096E-2</v>
      </c>
      <c r="Z87" s="26"/>
      <c r="AA87" s="26">
        <v>62</v>
      </c>
      <c r="AB87" s="26" t="s">
        <v>143</v>
      </c>
      <c r="AC87" s="63">
        <v>24.463468148148152</v>
      </c>
      <c r="AD87" s="64">
        <v>518.84541984732823</v>
      </c>
      <c r="AE87" s="63">
        <f t="shared" si="15"/>
        <v>12692.758402247669</v>
      </c>
      <c r="AF87" s="26"/>
      <c r="AG87" s="26"/>
      <c r="AH87" s="26">
        <v>62</v>
      </c>
      <c r="AI87" s="26" t="s">
        <v>143</v>
      </c>
      <c r="AJ87" s="26">
        <v>12692.758402247669</v>
      </c>
    </row>
    <row r="88" spans="3:36"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</row>
    <row r="89" spans="3:36">
      <c r="J89">
        <f>SUM(J20:J87)</f>
        <v>619</v>
      </c>
      <c r="N89" s="14"/>
      <c r="Z89" s="26"/>
      <c r="AA89" s="26"/>
      <c r="AB89" s="26"/>
      <c r="AC89" s="26"/>
      <c r="AD89" s="64"/>
      <c r="AE89" s="63"/>
      <c r="AF89" s="26"/>
      <c r="AG89" s="26"/>
      <c r="AH89" s="26"/>
      <c r="AI89" s="26"/>
      <c r="AJ89" s="26"/>
    </row>
    <row r="90" spans="3:36">
      <c r="Z90" s="26"/>
      <c r="AA90" s="26"/>
      <c r="AB90" s="26"/>
      <c r="AC90" s="26"/>
      <c r="AD90" s="26"/>
      <c r="AE90" s="26"/>
      <c r="AF90" s="26"/>
      <c r="AG90" s="26"/>
      <c r="AH90" s="26"/>
      <c r="AI90" s="26" t="s">
        <v>293</v>
      </c>
      <c r="AJ90" s="63">
        <f>SUM(AJ20:AJ87)</f>
        <v>484773.35445372126</v>
      </c>
    </row>
    <row r="91" spans="3:36">
      <c r="E91" t="s">
        <v>438</v>
      </c>
      <c r="F91" s="135">
        <f>J89/64</f>
        <v>9.671875</v>
      </c>
    </row>
  </sheetData>
  <sortState ref="AH81:AJ85">
    <sortCondition descending="1" ref="AJ81:AJ85"/>
  </sortState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topLeftCell="A19" workbookViewId="0">
      <selection activeCell="I83" sqref="I83"/>
    </sheetView>
  </sheetViews>
  <sheetFormatPr baseColWidth="10" defaultRowHeight="15" x14ac:dyDescent="0"/>
  <cols>
    <col min="2" max="2" width="22" bestFit="1" customWidth="1"/>
    <col min="4" max="4" width="13.6640625" bestFit="1" customWidth="1"/>
    <col min="7" max="8" width="12" bestFit="1" customWidth="1"/>
    <col min="9" max="9" width="14.1640625" bestFit="1" customWidth="1"/>
    <col min="10" max="10" width="16.5" bestFit="1" customWidth="1"/>
  </cols>
  <sheetData>
    <row r="1" spans="1:10">
      <c r="A1" t="s">
        <v>294</v>
      </c>
    </row>
    <row r="5" spans="1:10">
      <c r="A5">
        <v>1</v>
      </c>
      <c r="B5" t="s">
        <v>256</v>
      </c>
      <c r="D5" t="s">
        <v>262</v>
      </c>
      <c r="E5" t="s">
        <v>320</v>
      </c>
      <c r="F5" t="s">
        <v>239</v>
      </c>
      <c r="G5" t="s">
        <v>337</v>
      </c>
      <c r="H5" t="s">
        <v>241</v>
      </c>
      <c r="I5" t="s">
        <v>338</v>
      </c>
      <c r="J5" t="s">
        <v>339</v>
      </c>
    </row>
    <row r="6" spans="1:10">
      <c r="A6">
        <v>2</v>
      </c>
      <c r="B6" t="s">
        <v>95</v>
      </c>
      <c r="D6" s="32">
        <v>45</v>
      </c>
      <c r="E6" s="1">
        <v>547.47137404580155</v>
      </c>
      <c r="F6" s="14">
        <v>9.1110000000000007</v>
      </c>
      <c r="G6" s="14">
        <v>5</v>
      </c>
      <c r="H6" s="14">
        <f>G6*'FeilLønnskost og Tidsbruk'!$C$15</f>
        <v>21.095624131944444</v>
      </c>
      <c r="I6" s="32">
        <f>(D6-F6-H6)*E6</f>
        <v>8098.9498132603758</v>
      </c>
      <c r="J6" s="32">
        <f>E6*F6</f>
        <v>4988.0116889312985</v>
      </c>
    </row>
    <row r="7" spans="1:10">
      <c r="A7">
        <v>3</v>
      </c>
      <c r="B7" t="s">
        <v>96</v>
      </c>
      <c r="D7" s="32">
        <v>65.833333333333343</v>
      </c>
      <c r="E7" s="1">
        <v>67.986641221374043</v>
      </c>
      <c r="F7" s="14">
        <v>8.9001000000000001</v>
      </c>
      <c r="G7" s="14">
        <v>5</v>
      </c>
      <c r="H7" s="14">
        <f>G7*'FeilLønnskost og Tidsbruk'!$C$15</f>
        <v>21.095624131944444</v>
      </c>
      <c r="I7" s="32">
        <f t="shared" ref="I7:I70" si="0">(D7-F7-H7)*E7</f>
        <v>2436.4786790066405</v>
      </c>
      <c r="J7" s="32">
        <f t="shared" ref="J7:J70" si="1">E7*F7</f>
        <v>605.08790553435108</v>
      </c>
    </row>
    <row r="8" spans="1:10">
      <c r="A8">
        <v>4</v>
      </c>
      <c r="B8" t="s">
        <v>97</v>
      </c>
      <c r="D8" s="32">
        <v>65.833333333333343</v>
      </c>
      <c r="E8" s="1">
        <v>32.204198473282446</v>
      </c>
      <c r="F8" s="14">
        <v>9.6081000000000003</v>
      </c>
      <c r="G8" s="14">
        <v>5</v>
      </c>
      <c r="H8" s="14">
        <f>G8*'FeilLønnskost og Tidsbruk'!$C$15</f>
        <v>21.095624131944444</v>
      </c>
      <c r="I8" s="32">
        <f t="shared" si="0"/>
        <v>1131.3209070103774</v>
      </c>
      <c r="J8" s="32">
        <f t="shared" si="1"/>
        <v>309.42115935114509</v>
      </c>
    </row>
    <row r="9" spans="1:10">
      <c r="A9">
        <v>5</v>
      </c>
      <c r="B9" t="s">
        <v>98</v>
      </c>
      <c r="D9" s="32">
        <v>65.833333333333343</v>
      </c>
      <c r="E9" s="1">
        <v>17.891221374045802</v>
      </c>
      <c r="F9" s="14">
        <v>28.185099999999998</v>
      </c>
      <c r="G9" s="14">
        <v>5</v>
      </c>
      <c r="H9" s="14">
        <f>G9*'FeilLønnskost og Tidsbruk'!$C$15</f>
        <v>21.095624131944444</v>
      </c>
      <c r="I9" s="32">
        <f t="shared" si="0"/>
        <v>296.14639554011632</v>
      </c>
      <c r="J9" s="32">
        <f t="shared" si="1"/>
        <v>504.2658635496183</v>
      </c>
    </row>
    <row r="10" spans="1:10">
      <c r="A10">
        <v>6</v>
      </c>
      <c r="B10" t="s">
        <v>99</v>
      </c>
      <c r="D10" s="32">
        <v>65.833333333333343</v>
      </c>
      <c r="E10" s="1">
        <v>7.1564885496183201</v>
      </c>
      <c r="F10" s="14">
        <v>17.523500000000002</v>
      </c>
      <c r="G10" s="14">
        <v>12</v>
      </c>
      <c r="H10" s="14">
        <f>G10*'FeilLønnskost og Tidsbruk'!$C$15</f>
        <v>50.629497916666665</v>
      </c>
      <c r="I10" s="32">
        <f t="shared" si="0"/>
        <v>-16.600653029580062</v>
      </c>
      <c r="J10" s="32">
        <f t="shared" si="1"/>
        <v>125.40672709923665</v>
      </c>
    </row>
    <row r="11" spans="1:10">
      <c r="A11">
        <v>7</v>
      </c>
      <c r="B11" t="s">
        <v>100</v>
      </c>
      <c r="D11" s="32">
        <v>54.166666666666671</v>
      </c>
      <c r="E11" s="1">
        <v>7.1564885496183201</v>
      </c>
      <c r="F11" s="14">
        <v>2.6751000000000005</v>
      </c>
      <c r="G11" s="14">
        <v>7</v>
      </c>
      <c r="H11" s="14">
        <f>G11*'FeilLønnskost og Tidsbruk'!$C$15</f>
        <v>29.533873784722221</v>
      </c>
      <c r="I11" s="32">
        <f t="shared" si="0"/>
        <v>157.13997768567114</v>
      </c>
      <c r="J11" s="32">
        <f t="shared" si="1"/>
        <v>19.144322519083971</v>
      </c>
    </row>
    <row r="12" spans="1:10">
      <c r="A12">
        <v>8</v>
      </c>
      <c r="B12" t="s">
        <v>101</v>
      </c>
      <c r="D12" s="32">
        <v>54.166666666666671</v>
      </c>
      <c r="E12" s="1">
        <v>168.17748091603053</v>
      </c>
      <c r="F12" s="14">
        <v>2.8149600000000001</v>
      </c>
      <c r="G12" s="14">
        <v>7</v>
      </c>
      <c r="H12" s="14">
        <f>G12*'FeilLønnskost og Tidsbruk'!$C$15</f>
        <v>29.533873784722221</v>
      </c>
      <c r="I12" s="32">
        <f t="shared" si="0"/>
        <v>3669.2681731323564</v>
      </c>
      <c r="J12" s="32">
        <f t="shared" si="1"/>
        <v>473.41288167938933</v>
      </c>
    </row>
    <row r="13" spans="1:10">
      <c r="A13">
        <v>9</v>
      </c>
      <c r="D13" s="32"/>
      <c r="E13" s="1"/>
      <c r="F13" s="14"/>
      <c r="G13" s="14"/>
      <c r="H13" s="14"/>
      <c r="I13" s="32"/>
      <c r="J13" s="32"/>
    </row>
    <row r="14" spans="1:10">
      <c r="A14">
        <v>10</v>
      </c>
      <c r="B14" t="s">
        <v>102</v>
      </c>
      <c r="D14" s="32">
        <v>162.5</v>
      </c>
      <c r="E14" s="1">
        <v>25.047709923664122</v>
      </c>
      <c r="F14" s="14">
        <v>30.765299999999996</v>
      </c>
      <c r="G14" s="14">
        <v>15</v>
      </c>
      <c r="H14" s="14">
        <f>G14*'FeilLønnskost og Tidsbruk'!$C$15</f>
        <v>63.286872395833328</v>
      </c>
      <c r="I14" s="32">
        <f t="shared" si="0"/>
        <v>1714.4613307341367</v>
      </c>
      <c r="J14" s="32">
        <f t="shared" si="1"/>
        <v>770.60031011450371</v>
      </c>
    </row>
    <row r="15" spans="1:10">
      <c r="A15">
        <v>11</v>
      </c>
      <c r="B15" t="s">
        <v>103</v>
      </c>
      <c r="D15" s="32">
        <v>162.5</v>
      </c>
      <c r="E15" s="1">
        <v>46.517175572519086</v>
      </c>
      <c r="F15" s="14">
        <v>41.865300000000012</v>
      </c>
      <c r="G15" s="14">
        <v>12</v>
      </c>
      <c r="H15" s="14">
        <f>G15*'FeilLønnskost og Tidsbruk'!$C$15</f>
        <v>50.629497916666665</v>
      </c>
      <c r="I15" s="32">
        <f t="shared" si="0"/>
        <v>3256.4442763000948</v>
      </c>
      <c r="J15" s="32">
        <f t="shared" si="1"/>
        <v>1947.4555104961839</v>
      </c>
    </row>
    <row r="16" spans="1:10">
      <c r="A16">
        <v>12</v>
      </c>
      <c r="B16" t="s">
        <v>104</v>
      </c>
      <c r="D16" s="32">
        <v>162.5</v>
      </c>
      <c r="E16" s="1">
        <v>25.047709923664122</v>
      </c>
      <c r="F16" s="14">
        <v>24.867599999999996</v>
      </c>
      <c r="G16" s="14">
        <v>6</v>
      </c>
      <c r="H16" s="14">
        <f>G16*'FeilLønnskost og Tidsbruk'!$C$15</f>
        <v>25.314748958333332</v>
      </c>
      <c r="I16" s="32">
        <f t="shared" si="0"/>
        <v>2813.2999425989988</v>
      </c>
      <c r="J16" s="32">
        <f t="shared" si="1"/>
        <v>622.87643129770981</v>
      </c>
    </row>
    <row r="17" spans="1:10">
      <c r="A17">
        <v>13</v>
      </c>
      <c r="B17" t="s">
        <v>105</v>
      </c>
      <c r="D17" s="32">
        <v>162.5</v>
      </c>
      <c r="E17" s="1">
        <v>71.564885496183209</v>
      </c>
      <c r="F17" s="14">
        <v>29.402091999999993</v>
      </c>
      <c r="G17" s="14">
        <v>6</v>
      </c>
      <c r="H17" s="14">
        <f>G17*'FeilLønnskost og Tidsbruk'!$C$15</f>
        <v>25.314748958333332</v>
      </c>
      <c r="I17" s="32">
        <f t="shared" si="0"/>
        <v>7713.4894352337806</v>
      </c>
      <c r="J17" s="32">
        <f t="shared" si="1"/>
        <v>2104.1573473282438</v>
      </c>
    </row>
    <row r="18" spans="1:10">
      <c r="A18">
        <v>14</v>
      </c>
      <c r="B18" t="s">
        <v>106</v>
      </c>
      <c r="D18" s="32">
        <v>162.5</v>
      </c>
      <c r="E18" s="1">
        <v>128.81679389312978</v>
      </c>
      <c r="F18" s="14">
        <v>25.075999999999997</v>
      </c>
      <c r="G18" s="14">
        <v>12</v>
      </c>
      <c r="H18" s="14">
        <f>G18*'FeilLønnskost og Tidsbruk'!$C$15</f>
        <v>50.629497916666665</v>
      </c>
      <c r="I18" s="32">
        <f t="shared" si="0"/>
        <v>11180.589485925575</v>
      </c>
      <c r="J18" s="32">
        <f t="shared" si="1"/>
        <v>3230.209923664122</v>
      </c>
    </row>
    <row r="19" spans="1:10">
      <c r="A19">
        <v>15</v>
      </c>
      <c r="B19" t="s">
        <v>107</v>
      </c>
      <c r="D19" s="32">
        <v>162.5</v>
      </c>
      <c r="E19" s="1">
        <v>35.782442748091604</v>
      </c>
      <c r="F19" s="14">
        <v>23.622099999999989</v>
      </c>
      <c r="G19" s="14">
        <v>6</v>
      </c>
      <c r="H19" s="14">
        <f>G19*'FeilLønnskost og Tidsbruk'!$C$15</f>
        <v>25.314748958333332</v>
      </c>
      <c r="I19" s="32">
        <f t="shared" si="0"/>
        <v>4063.5669504413177</v>
      </c>
      <c r="J19" s="32">
        <f t="shared" si="1"/>
        <v>845.25644083969428</v>
      </c>
    </row>
    <row r="20" spans="1:10">
      <c r="A20">
        <v>16</v>
      </c>
      <c r="B20" t="s">
        <v>108</v>
      </c>
      <c r="D20" s="32">
        <v>183.33333333333334</v>
      </c>
      <c r="E20" s="1">
        <v>46.517175572519086</v>
      </c>
      <c r="F20" s="14">
        <v>44.382199999999997</v>
      </c>
      <c r="G20" s="14">
        <v>8</v>
      </c>
      <c r="H20" s="14">
        <f>G20*'FeilLønnskost og Tidsbruk'!$C$15</f>
        <v>33.75299861111111</v>
      </c>
      <c r="I20" s="32">
        <f t="shared" si="0"/>
        <v>4893.5201027751291</v>
      </c>
      <c r="J20" s="32">
        <f t="shared" si="1"/>
        <v>2064.5345896946565</v>
      </c>
    </row>
    <row r="21" spans="1:10">
      <c r="A21">
        <v>17</v>
      </c>
      <c r="B21" t="s">
        <v>109</v>
      </c>
      <c r="D21" s="32">
        <v>183.33333333333334</v>
      </c>
      <c r="E21" s="1">
        <v>93.034351145038173</v>
      </c>
      <c r="F21" s="14">
        <v>42.750999999999991</v>
      </c>
      <c r="G21" s="14">
        <v>12</v>
      </c>
      <c r="H21" s="14">
        <f>G21*'FeilLønnskost og Tidsbruk'!$C$15</f>
        <v>50.629497916666665</v>
      </c>
      <c r="I21" s="32">
        <f t="shared" si="0"/>
        <v>8368.7036766459933</v>
      </c>
      <c r="J21" s="32">
        <f t="shared" si="1"/>
        <v>3977.3115458015259</v>
      </c>
    </row>
    <row r="22" spans="1:10">
      <c r="A22">
        <v>18</v>
      </c>
      <c r="B22" t="s">
        <v>110</v>
      </c>
      <c r="D22" s="32">
        <v>183.33333333333334</v>
      </c>
      <c r="E22" s="1">
        <v>93.034351145038173</v>
      </c>
      <c r="F22" s="14">
        <v>48.703699999999991</v>
      </c>
      <c r="G22" s="14">
        <v>6</v>
      </c>
      <c r="H22" s="14">
        <f>G22*'FeilLønnskost og Tidsbruk'!$C$15</f>
        <v>25.314748958333332</v>
      </c>
      <c r="I22" s="32">
        <f t="shared" si="0"/>
        <v>10170.039338322998</v>
      </c>
      <c r="J22" s="32">
        <f t="shared" si="1"/>
        <v>4531.1171278625952</v>
      </c>
    </row>
    <row r="23" spans="1:10">
      <c r="A23">
        <v>19</v>
      </c>
      <c r="B23" t="s">
        <v>111</v>
      </c>
      <c r="D23" s="32">
        <v>145.83333333333334</v>
      </c>
      <c r="E23" s="1">
        <v>332.77671755725191</v>
      </c>
      <c r="F23" s="14">
        <v>23.153699999999997</v>
      </c>
      <c r="G23" s="14">
        <v>6</v>
      </c>
      <c r="H23" s="14">
        <f>G23*'FeilLønnskost og Tidsbruk'!$C$15</f>
        <v>25.314748958333332</v>
      </c>
      <c r="I23" s="32">
        <f t="shared" si="0"/>
        <v>32400.766627653866</v>
      </c>
      <c r="J23" s="32">
        <f t="shared" si="1"/>
        <v>7705.0122853053426</v>
      </c>
    </row>
    <row r="24" spans="1:10">
      <c r="A24">
        <v>20</v>
      </c>
      <c r="B24" t="s">
        <v>185</v>
      </c>
      <c r="D24" s="32">
        <v>131.66666666666669</v>
      </c>
      <c r="E24" s="1">
        <v>71.564885496183209</v>
      </c>
      <c r="F24" s="14">
        <v>23.153699999999997</v>
      </c>
      <c r="G24" s="14">
        <v>6</v>
      </c>
      <c r="H24" s="14">
        <f>G24*'FeilLønnskost og Tidsbruk'!$C$15</f>
        <v>25.314748958333332</v>
      </c>
      <c r="I24" s="32">
        <f t="shared" si="0"/>
        <v>5954.070923783398</v>
      </c>
      <c r="J24" s="32">
        <f t="shared" si="1"/>
        <v>1656.991889312977</v>
      </c>
    </row>
    <row r="25" spans="1:10">
      <c r="A25">
        <v>21</v>
      </c>
      <c r="B25" t="s">
        <v>112</v>
      </c>
      <c r="D25" s="32">
        <v>131.66666666666669</v>
      </c>
      <c r="E25" s="1">
        <v>221.85114503816794</v>
      </c>
      <c r="F25" s="14">
        <v>23.153699999999997</v>
      </c>
      <c r="G25" s="14">
        <v>6</v>
      </c>
      <c r="H25" s="14">
        <f>G25*'FeilLønnskost og Tidsbruk'!$C$15</f>
        <v>25.314748958333332</v>
      </c>
      <c r="I25" s="32">
        <f t="shared" si="0"/>
        <v>18457.619863728534</v>
      </c>
      <c r="J25" s="32">
        <f t="shared" si="1"/>
        <v>5136.6748568702287</v>
      </c>
    </row>
    <row r="26" spans="1:10">
      <c r="A26">
        <v>22</v>
      </c>
      <c r="B26" t="s">
        <v>113</v>
      </c>
      <c r="D26" s="32">
        <v>131.66666666666669</v>
      </c>
      <c r="E26" s="1">
        <v>132.39503816793894</v>
      </c>
      <c r="F26" s="14">
        <v>23.403699999999997</v>
      </c>
      <c r="G26" s="14">
        <v>6</v>
      </c>
      <c r="H26" s="14">
        <f>G26*'FeilLønnskost og Tidsbruk'!$C$15</f>
        <v>25.314748958333332</v>
      </c>
      <c r="I26" s="32">
        <f t="shared" si="0"/>
        <v>10981.932449457301</v>
      </c>
      <c r="J26" s="32">
        <f t="shared" si="1"/>
        <v>3098.5337547709919</v>
      </c>
    </row>
    <row r="27" spans="1:10">
      <c r="A27">
        <v>23</v>
      </c>
      <c r="B27" t="s">
        <v>114</v>
      </c>
      <c r="D27" s="32">
        <v>131.66666666666669</v>
      </c>
      <c r="E27" s="1">
        <v>347.08969465648858</v>
      </c>
      <c r="F27" s="14">
        <v>17.200999999999997</v>
      </c>
      <c r="G27" s="14">
        <v>12</v>
      </c>
      <c r="H27" s="14">
        <f>G27*'FeilLønnskost og Tidsbruk'!$C$15</f>
        <v>50.629497916666665</v>
      </c>
      <c r="I27" s="32">
        <f t="shared" si="0"/>
        <v>22156.876319477586</v>
      </c>
      <c r="J27" s="32">
        <f t="shared" si="1"/>
        <v>5970.2898377862593</v>
      </c>
    </row>
    <row r="28" spans="1:10">
      <c r="A28">
        <v>24</v>
      </c>
      <c r="B28" t="s">
        <v>115</v>
      </c>
      <c r="D28" s="32">
        <v>156.66666666666669</v>
      </c>
      <c r="E28" s="1">
        <v>128.81679389312978</v>
      </c>
      <c r="F28" s="14">
        <v>28.101700000000001</v>
      </c>
      <c r="G28" s="14">
        <v>12</v>
      </c>
      <c r="H28" s="14">
        <f>G28*'FeilLønnskost og Tidsbruk'!$C$15</f>
        <v>50.629497916666665</v>
      </c>
      <c r="I28" s="32">
        <f t="shared" si="0"/>
        <v>10039.397214933211</v>
      </c>
      <c r="J28" s="32">
        <f t="shared" si="1"/>
        <v>3619.9708969465655</v>
      </c>
    </row>
    <row r="29" spans="1:10">
      <c r="A29">
        <v>25</v>
      </c>
      <c r="B29" t="s">
        <v>20</v>
      </c>
      <c r="D29" s="32">
        <v>183.33333333333334</v>
      </c>
      <c r="E29" s="1">
        <v>207.53816793893131</v>
      </c>
      <c r="F29" s="14">
        <v>23.981549999999999</v>
      </c>
      <c r="G29" s="14">
        <v>12</v>
      </c>
      <c r="H29" s="14">
        <f>G29*'FeilLønnskost og Tidsbruk'!$C$15</f>
        <v>50.629497916666665</v>
      </c>
      <c r="I29" s="32">
        <f>(D29-F29-H29)*E29</f>
        <v>22564.023929508592</v>
      </c>
      <c r="J29" s="32">
        <f t="shared" si="1"/>
        <v>4977.0869513358775</v>
      </c>
    </row>
    <row r="30" spans="1:10">
      <c r="A30">
        <v>26</v>
      </c>
      <c r="B30" t="s">
        <v>116</v>
      </c>
      <c r="D30" s="32">
        <v>191.66666666666669</v>
      </c>
      <c r="E30" s="1">
        <v>143.12977099236642</v>
      </c>
      <c r="F30" s="14">
        <v>27.566099999999992</v>
      </c>
      <c r="G30" s="14">
        <v>15</v>
      </c>
      <c r="H30" s="14">
        <f>G30*'FeilLønnskost og Tidsbruk'!$C$15</f>
        <v>63.286872395833328</v>
      </c>
      <c r="I30" s="32">
        <f t="shared" si="0"/>
        <v>14429.44097387882</v>
      </c>
      <c r="J30" s="32">
        <f t="shared" si="1"/>
        <v>3945.5295801526709</v>
      </c>
    </row>
    <row r="31" spans="1:10">
      <c r="A31">
        <v>27</v>
      </c>
      <c r="B31" t="s">
        <v>117</v>
      </c>
      <c r="D31" s="32">
        <v>183.33333333333334</v>
      </c>
      <c r="E31" s="1">
        <v>35.782442748091604</v>
      </c>
      <c r="F31" s="14">
        <v>55.173699999999997</v>
      </c>
      <c r="G31" s="14">
        <v>12</v>
      </c>
      <c r="H31" s="14">
        <f>G31*'FeilLønnskost og Tidsbruk'!$C$15</f>
        <v>50.629497916666665</v>
      </c>
      <c r="I31" s="32">
        <f t="shared" si="0"/>
        <v>2774.2176317986646</v>
      </c>
      <c r="J31" s="32">
        <f t="shared" si="1"/>
        <v>1974.2497614503816</v>
      </c>
    </row>
    <row r="32" spans="1:10">
      <c r="A32">
        <v>28</v>
      </c>
      <c r="B32" t="s">
        <v>118</v>
      </c>
      <c r="D32" s="32">
        <v>140</v>
      </c>
      <c r="E32" s="1">
        <v>175.33396946564886</v>
      </c>
      <c r="F32" s="14">
        <v>28.181449999999998</v>
      </c>
      <c r="G32" s="14">
        <v>6</v>
      </c>
      <c r="H32" s="14">
        <f>G32*'FeilLønnskost og Tidsbruk'!$C$15</f>
        <v>25.314748958333332</v>
      </c>
      <c r="I32" s="32">
        <f t="shared" si="0"/>
        <v>15167.054810502146</v>
      </c>
      <c r="J32" s="32">
        <f t="shared" si="1"/>
        <v>4941.16549379771</v>
      </c>
    </row>
    <row r="33" spans="1:10">
      <c r="A33">
        <v>29</v>
      </c>
      <c r="B33" t="s">
        <v>119</v>
      </c>
      <c r="D33" s="32">
        <v>183.33333333333334</v>
      </c>
      <c r="E33" s="1">
        <v>25.047709923664122</v>
      </c>
      <c r="F33" s="14">
        <v>55.173699999999997</v>
      </c>
      <c r="G33" s="14">
        <v>6</v>
      </c>
      <c r="H33" s="14">
        <f>G33*'FeilLønnskost og Tidsbruk'!$C$15</f>
        <v>25.314748958333332</v>
      </c>
      <c r="I33" s="32">
        <f t="shared" si="0"/>
        <v>2576.0288309577772</v>
      </c>
      <c r="J33" s="32">
        <f t="shared" si="1"/>
        <v>1381.974833015267</v>
      </c>
    </row>
    <row r="34" spans="1:10">
      <c r="A34">
        <v>30</v>
      </c>
      <c r="B34" t="s">
        <v>120</v>
      </c>
      <c r="D34" s="32">
        <v>154.16666666666669</v>
      </c>
      <c r="E34" s="1">
        <v>32.204198473282446</v>
      </c>
      <c r="F34" s="14">
        <v>26.154399999999999</v>
      </c>
      <c r="G34" s="14">
        <v>6</v>
      </c>
      <c r="H34" s="14">
        <f>G34*'FeilLønnskost og Tidsbruk'!$C$15</f>
        <v>25.314748958333332</v>
      </c>
      <c r="I34" s="32">
        <f t="shared" si="0"/>
        <v>3307.2912429926059</v>
      </c>
      <c r="J34" s="32">
        <f t="shared" si="1"/>
        <v>842.28148854961842</v>
      </c>
    </row>
    <row r="35" spans="1:10">
      <c r="A35">
        <v>31</v>
      </c>
      <c r="B35" t="s">
        <v>121</v>
      </c>
      <c r="D35" s="32">
        <v>145.83333333333334</v>
      </c>
      <c r="E35" s="1">
        <v>189.6469465648855</v>
      </c>
      <c r="F35" s="14">
        <v>28.181449999999998</v>
      </c>
      <c r="G35" s="14">
        <v>6</v>
      </c>
      <c r="H35" s="14">
        <f>G35*'FeilLønnskost og Tidsbruk'!$C$15</f>
        <v>25.314748958333332</v>
      </c>
      <c r="I35" s="32">
        <f t="shared" si="0"/>
        <v>17511.455588770277</v>
      </c>
      <c r="J35" s="32">
        <f t="shared" si="1"/>
        <v>5344.5259422709923</v>
      </c>
    </row>
    <row r="36" spans="1:10">
      <c r="A36">
        <v>32</v>
      </c>
      <c r="B36" t="s">
        <v>122</v>
      </c>
      <c r="D36" s="32">
        <v>131.66666666666669</v>
      </c>
      <c r="E36" s="1">
        <v>568.94083969465646</v>
      </c>
      <c r="F36" s="14">
        <v>28.181449999999998</v>
      </c>
      <c r="G36" s="14">
        <v>6</v>
      </c>
      <c r="H36" s="14">
        <f>G36*'FeilLønnskost og Tidsbruk'!$C$15</f>
        <v>25.314748958333332</v>
      </c>
      <c r="I36" s="32">
        <f t="shared" si="0"/>
        <v>44474.371537303203</v>
      </c>
      <c r="J36" s="32">
        <f t="shared" si="1"/>
        <v>16033.577826812976</v>
      </c>
    </row>
    <row r="37" spans="1:10">
      <c r="A37">
        <v>33</v>
      </c>
      <c r="B37" t="s">
        <v>187</v>
      </c>
      <c r="D37" s="32">
        <v>131.66666666666669</v>
      </c>
      <c r="E37" s="1">
        <v>64.408396946564892</v>
      </c>
      <c r="F37" s="14">
        <v>23.723673999999999</v>
      </c>
      <c r="G37" s="14">
        <v>6</v>
      </c>
      <c r="H37" s="14">
        <f>G37*'FeilLønnskost og Tidsbruk'!$C$15</f>
        <v>25.314748958333332</v>
      </c>
      <c r="I37" s="32">
        <f t="shared" si="0"/>
        <v>5321.9527197638372</v>
      </c>
      <c r="J37" s="32">
        <f t="shared" si="1"/>
        <v>1528.0038120229008</v>
      </c>
    </row>
    <row r="38" spans="1:10">
      <c r="A38">
        <v>34</v>
      </c>
      <c r="B38" t="s">
        <v>123</v>
      </c>
      <c r="D38" s="32">
        <v>131.66666666666669</v>
      </c>
      <c r="E38" s="1">
        <v>89.456106870229007</v>
      </c>
      <c r="F38" s="14">
        <v>28.181449999999998</v>
      </c>
      <c r="G38" s="14">
        <v>6</v>
      </c>
      <c r="H38" s="14">
        <f>G38*'FeilLønnskost og Tidsbruk'!$C$15</f>
        <v>25.314748958333332</v>
      </c>
      <c r="I38" s="32">
        <f t="shared" si="0"/>
        <v>6992.8257134124533</v>
      </c>
      <c r="J38" s="32">
        <f t="shared" si="1"/>
        <v>2521.0028029580153</v>
      </c>
    </row>
    <row r="39" spans="1:10">
      <c r="A39">
        <v>35</v>
      </c>
      <c r="B39" t="s">
        <v>124</v>
      </c>
      <c r="D39" s="32">
        <v>131.66666666666669</v>
      </c>
      <c r="E39" s="1">
        <v>32.204198473282446</v>
      </c>
      <c r="F39" s="14">
        <v>28.431449999999998</v>
      </c>
      <c r="G39" s="14">
        <v>6</v>
      </c>
      <c r="H39" s="14">
        <f>G39*'FeilLønnskost og Tidsbruk'!$C$15</f>
        <v>25.314748958333332</v>
      </c>
      <c r="I39" s="32">
        <f t="shared" si="0"/>
        <v>2509.3662072101629</v>
      </c>
      <c r="J39" s="32">
        <f t="shared" si="1"/>
        <v>915.6120586832061</v>
      </c>
    </row>
    <row r="40" spans="1:10">
      <c r="A40">
        <v>36</v>
      </c>
      <c r="B40" t="s">
        <v>22</v>
      </c>
      <c r="D40" s="32">
        <v>137.5</v>
      </c>
      <c r="E40" s="1">
        <v>96.612595419847338</v>
      </c>
      <c r="F40" s="14">
        <v>23.230349999999991</v>
      </c>
      <c r="G40" s="14">
        <v>6</v>
      </c>
      <c r="H40" s="14">
        <f>G40*'FeilLønnskost og Tidsbruk'!$C$15</f>
        <v>25.314748958333332</v>
      </c>
      <c r="I40" s="32">
        <f>(D40-F40-H40)*E40</f>
        <v>8594.1638649511005</v>
      </c>
      <c r="J40" s="32">
        <f t="shared" si="1"/>
        <v>2244.3444060114498</v>
      </c>
    </row>
    <row r="41" spans="1:10">
      <c r="A41">
        <v>37</v>
      </c>
      <c r="B41" t="s">
        <v>125</v>
      </c>
      <c r="D41" s="32">
        <v>131.66666666666669</v>
      </c>
      <c r="E41" s="1">
        <v>254.05534351145039</v>
      </c>
      <c r="F41" s="14">
        <v>11.0787</v>
      </c>
      <c r="G41" s="14">
        <v>12</v>
      </c>
      <c r="H41" s="14">
        <f>G41*'FeilLønnskost og Tidsbruk'!$C$15</f>
        <v>50.629497916666665</v>
      </c>
      <c r="I41" s="32">
        <f t="shared" si="0"/>
        <v>17773.322809816324</v>
      </c>
      <c r="J41" s="32">
        <f t="shared" si="1"/>
        <v>2814.6029341603053</v>
      </c>
    </row>
    <row r="42" spans="1:10">
      <c r="A42">
        <v>38</v>
      </c>
      <c r="B42" t="s">
        <v>126</v>
      </c>
      <c r="D42" s="32">
        <v>140</v>
      </c>
      <c r="E42" s="1">
        <v>39.360687022900763</v>
      </c>
      <c r="F42" s="14">
        <v>11.0787</v>
      </c>
      <c r="G42" s="14">
        <v>6</v>
      </c>
      <c r="H42" s="14">
        <f>G42*'FeilLønnskost og Tidsbruk'!$C$15</f>
        <v>25.314748958333332</v>
      </c>
      <c r="I42" s="32">
        <f t="shared" si="0"/>
        <v>4078.0250290732351</v>
      </c>
      <c r="J42" s="32">
        <f t="shared" si="1"/>
        <v>436.06524332061065</v>
      </c>
    </row>
    <row r="43" spans="1:10">
      <c r="A43">
        <v>39</v>
      </c>
      <c r="B43" t="s">
        <v>127</v>
      </c>
      <c r="D43" s="32">
        <v>175</v>
      </c>
      <c r="E43" s="1">
        <v>75.14312977099236</v>
      </c>
      <c r="F43" s="14">
        <v>43.453699999999991</v>
      </c>
      <c r="G43" s="14">
        <v>12</v>
      </c>
      <c r="H43" s="14">
        <f>G43*'FeilLønnskost og Tidsbruk'!$C$15</f>
        <v>50.629497916666665</v>
      </c>
      <c r="I43" s="32">
        <f t="shared" si="0"/>
        <v>6080.3417596016216</v>
      </c>
      <c r="J43" s="32">
        <f t="shared" si="1"/>
        <v>3265.2470181297699</v>
      </c>
    </row>
    <row r="44" spans="1:10">
      <c r="A44">
        <v>40</v>
      </c>
      <c r="B44" t="s">
        <v>128</v>
      </c>
      <c r="D44" s="32">
        <v>123.33333333333334</v>
      </c>
      <c r="E44" s="1">
        <v>21.46946564885496</v>
      </c>
      <c r="F44" s="14">
        <v>7.1661999999999999</v>
      </c>
      <c r="G44" s="14">
        <v>6</v>
      </c>
      <c r="H44" s="14">
        <f>G44*'FeilLønnskost og Tidsbruk'!$C$15</f>
        <v>25.314748958333332</v>
      </c>
      <c r="I44" s="32">
        <f t="shared" si="0"/>
        <v>1950.5521454556299</v>
      </c>
      <c r="J44" s="32">
        <f t="shared" si="1"/>
        <v>153.8544847328244</v>
      </c>
    </row>
    <row r="45" spans="1:10">
      <c r="A45">
        <v>41</v>
      </c>
      <c r="B45" t="s">
        <v>129</v>
      </c>
      <c r="D45" s="32">
        <v>140</v>
      </c>
      <c r="E45" s="1">
        <v>64.408396946564892</v>
      </c>
      <c r="F45" s="14">
        <v>23.153699999999997</v>
      </c>
      <c r="G45" s="14">
        <v>6</v>
      </c>
      <c r="H45" s="14">
        <f>G45*'FeilLønnskost og Tidsbruk'!$C$15</f>
        <v>25.314748958333332</v>
      </c>
      <c r="I45" s="32">
        <f t="shared" si="0"/>
        <v>5895.4004726264311</v>
      </c>
      <c r="J45" s="32">
        <f t="shared" si="1"/>
        <v>1491.2927003816794</v>
      </c>
    </row>
    <row r="46" spans="1:10">
      <c r="A46">
        <v>42</v>
      </c>
      <c r="B46" t="s">
        <v>130</v>
      </c>
      <c r="D46" s="32">
        <v>131.66666666666669</v>
      </c>
      <c r="E46" s="1">
        <v>186.06870229007635</v>
      </c>
      <c r="F46" s="14">
        <v>19.70984</v>
      </c>
      <c r="G46" s="14">
        <v>12</v>
      </c>
      <c r="H46" s="14">
        <f>G46*'FeilLønnskost og Tidsbruk'!$C$15</f>
        <v>50.629497916666665</v>
      </c>
      <c r="I46" s="32">
        <f t="shared" si="0"/>
        <v>11411.096475429395</v>
      </c>
      <c r="J46" s="32">
        <f t="shared" si="1"/>
        <v>3667.3843511450382</v>
      </c>
    </row>
    <row r="47" spans="1:10">
      <c r="A47">
        <v>43</v>
      </c>
      <c r="B47" t="s">
        <v>150</v>
      </c>
      <c r="D47" s="32">
        <v>131.66666666666669</v>
      </c>
      <c r="E47" s="1">
        <v>318.46374045801525</v>
      </c>
      <c r="F47" s="14">
        <v>28.058949999999999</v>
      </c>
      <c r="G47" s="14">
        <v>12</v>
      </c>
      <c r="H47" s="14">
        <f>G47*'FeilLønnskost og Tidsbruk'!$C$15</f>
        <v>50.629497916666665</v>
      </c>
      <c r="I47" s="32">
        <f t="shared" si="0"/>
        <v>16871.641705927967</v>
      </c>
      <c r="J47" s="32">
        <f t="shared" si="1"/>
        <v>8935.7581703244268</v>
      </c>
    </row>
    <row r="48" spans="1:10">
      <c r="A48">
        <v>44</v>
      </c>
      <c r="B48" t="s">
        <v>151</v>
      </c>
      <c r="D48" s="32">
        <v>150</v>
      </c>
      <c r="E48" s="1">
        <v>53.673664122137403</v>
      </c>
      <c r="F48" s="14">
        <v>30.906199999999998</v>
      </c>
      <c r="G48" s="14">
        <v>12</v>
      </c>
      <c r="H48" s="14">
        <f>G48*'FeilLønnskost og Tidsbruk'!$C$15</f>
        <v>50.629497916666665</v>
      </c>
      <c r="I48" s="32">
        <f t="shared" si="0"/>
        <v>3674.7299543773856</v>
      </c>
      <c r="J48" s="32">
        <f t="shared" si="1"/>
        <v>1658.8489980916029</v>
      </c>
    </row>
    <row r="49" spans="1:10">
      <c r="A49">
        <v>45</v>
      </c>
      <c r="B49" t="s">
        <v>131</v>
      </c>
      <c r="D49" s="32">
        <v>175</v>
      </c>
      <c r="E49" s="1">
        <v>93.034351145038173</v>
      </c>
      <c r="F49" s="14">
        <v>28.741074999999999</v>
      </c>
      <c r="G49" s="14">
        <v>17</v>
      </c>
      <c r="H49" s="14">
        <f>G49*'FeilLønnskost og Tidsbruk'!$C$15</f>
        <v>71.725122048611112</v>
      </c>
      <c r="I49" s="32">
        <f t="shared" si="0"/>
        <v>6934.2039959545964</v>
      </c>
      <c r="J49" s="32">
        <f t="shared" si="1"/>
        <v>2673.907263835878</v>
      </c>
    </row>
    <row r="50" spans="1:10">
      <c r="A50">
        <v>46</v>
      </c>
      <c r="B50" t="s">
        <v>132</v>
      </c>
      <c r="D50" s="32">
        <v>225</v>
      </c>
      <c r="E50" s="1">
        <v>14.31297709923664</v>
      </c>
      <c r="F50" s="14">
        <v>33.777634999999997</v>
      </c>
      <c r="G50" s="14">
        <v>21</v>
      </c>
      <c r="H50" s="14">
        <f>G50*'FeilLønnskost og Tidsbruk'!$C$15</f>
        <v>88.601621354166667</v>
      </c>
      <c r="I50" s="32">
        <f t="shared" si="0"/>
        <v>1468.8083537094465</v>
      </c>
      <c r="J50" s="32">
        <f t="shared" si="1"/>
        <v>483.45851622137394</v>
      </c>
    </row>
    <row r="51" spans="1:10">
      <c r="A51">
        <v>47</v>
      </c>
      <c r="B51" t="s">
        <v>21</v>
      </c>
      <c r="D51" s="32">
        <v>249.16666666666669</v>
      </c>
      <c r="E51" s="1">
        <v>100.19083969465649</v>
      </c>
      <c r="F51" s="14">
        <v>51.7575</v>
      </c>
      <c r="G51" s="14">
        <v>17</v>
      </c>
      <c r="H51" s="14">
        <f>G51*'FeilLønnskost og Tidsbruk'!$C$15</f>
        <v>71.725122048611112</v>
      </c>
      <c r="I51" s="32">
        <f t="shared" si="0"/>
        <v>12592.389966503661</v>
      </c>
      <c r="J51" s="32">
        <f t="shared" si="1"/>
        <v>5185.6273854961837</v>
      </c>
    </row>
    <row r="52" spans="1:10">
      <c r="A52">
        <v>48</v>
      </c>
      <c r="B52" t="s">
        <v>133</v>
      </c>
      <c r="D52" s="32">
        <v>249.16666666666669</v>
      </c>
      <c r="E52" s="1">
        <v>164.59923664122135</v>
      </c>
      <c r="F52" s="14">
        <v>52.801499999999997</v>
      </c>
      <c r="G52" s="14">
        <v>17</v>
      </c>
      <c r="H52" s="14">
        <f>G52*'FeilLønnskost og Tidsbruk'!$C$15</f>
        <v>71.725122048611112</v>
      </c>
      <c r="I52" s="32">
        <f t="shared" si="0"/>
        <v>20515.656199059715</v>
      </c>
      <c r="J52" s="32">
        <f t="shared" si="1"/>
        <v>8691.0865935114489</v>
      </c>
    </row>
    <row r="53" spans="1:10">
      <c r="A53">
        <v>49</v>
      </c>
      <c r="B53" t="s">
        <v>188</v>
      </c>
      <c r="D53" s="32">
        <v>154.16666666666669</v>
      </c>
      <c r="E53" s="1">
        <v>46.517175572519086</v>
      </c>
      <c r="F53" s="14">
        <v>8.8664999999999985</v>
      </c>
      <c r="G53" s="14">
        <v>12</v>
      </c>
      <c r="H53" s="14">
        <f>G53*'FeilLønnskost og Tidsbruk'!$C$15</f>
        <v>50.629497916666665</v>
      </c>
      <c r="I53" s="32">
        <f>(D53-F53-H53)*E53</f>
        <v>4403.8121198115468</v>
      </c>
      <c r="J53" s="32">
        <f t="shared" si="1"/>
        <v>412.44453721374043</v>
      </c>
    </row>
    <row r="54" spans="1:10">
      <c r="A54">
        <v>50</v>
      </c>
      <c r="B54" t="s">
        <v>134</v>
      </c>
      <c r="D54" s="32">
        <v>154.16666666666669</v>
      </c>
      <c r="E54" s="1">
        <v>128.81679389312978</v>
      </c>
      <c r="F54" s="14">
        <v>31.761949999999999</v>
      </c>
      <c r="G54" s="14">
        <v>12</v>
      </c>
      <c r="H54" s="14">
        <f>G54*'FeilLønnskost og Tidsbruk'!$C$15</f>
        <v>50.629497916666665</v>
      </c>
      <c r="I54" s="32">
        <f t="shared" si="0"/>
        <v>9245.8535603530563</v>
      </c>
      <c r="J54" s="32">
        <f t="shared" si="1"/>
        <v>4091.4725667938933</v>
      </c>
    </row>
    <row r="55" spans="1:10">
      <c r="A55">
        <v>51</v>
      </c>
      <c r="B55" t="s">
        <v>135</v>
      </c>
      <c r="D55" s="32">
        <v>150</v>
      </c>
      <c r="E55" s="1">
        <v>118.08206106870227</v>
      </c>
      <c r="F55" s="14">
        <v>26.756499999999999</v>
      </c>
      <c r="G55" s="14">
        <v>15</v>
      </c>
      <c r="H55" s="14">
        <f>G55*'FeilLønnskost og Tidsbruk'!$C$15</f>
        <v>63.286872395833328</v>
      </c>
      <c r="I55" s="32">
        <f t="shared" si="0"/>
        <v>7079.8021622286487</v>
      </c>
      <c r="J55" s="32">
        <f t="shared" si="1"/>
        <v>3159.4626669847321</v>
      </c>
    </row>
    <row r="56" spans="1:10">
      <c r="A56">
        <v>52</v>
      </c>
      <c r="B56" t="s">
        <v>136</v>
      </c>
      <c r="D56" s="32">
        <v>137.5</v>
      </c>
      <c r="E56" s="1">
        <v>35.782442748091604</v>
      </c>
      <c r="F56" s="14">
        <v>12.736500000000001</v>
      </c>
      <c r="G56" s="14">
        <v>25</v>
      </c>
      <c r="H56" s="14">
        <f>G56*'FeilLønnskost og Tidsbruk'!$C$15</f>
        <v>105.47812065972222</v>
      </c>
      <c r="I56" s="32">
        <f t="shared" si="0"/>
        <v>690.07798211871796</v>
      </c>
      <c r="J56" s="32">
        <f t="shared" si="1"/>
        <v>455.74308206106878</v>
      </c>
    </row>
    <row r="57" spans="1:10">
      <c r="A57">
        <v>53</v>
      </c>
      <c r="B57" t="s">
        <v>186</v>
      </c>
      <c r="D57" s="32">
        <v>137.5</v>
      </c>
      <c r="E57" s="1">
        <v>14.31297709923664</v>
      </c>
      <c r="F57" s="14">
        <v>20.781499999999998</v>
      </c>
      <c r="G57" s="14">
        <v>12</v>
      </c>
      <c r="H57" s="14">
        <f>G57*'FeilLønnskost og Tidsbruk'!$C$15</f>
        <v>50.629497916666665</v>
      </c>
      <c r="I57" s="32">
        <f t="shared" si="0"/>
        <v>945.93037333015275</v>
      </c>
      <c r="J57" s="32">
        <f t="shared" si="1"/>
        <v>297.44513358778619</v>
      </c>
    </row>
    <row r="58" spans="1:10">
      <c r="A58">
        <v>54</v>
      </c>
      <c r="B58" t="s">
        <v>140</v>
      </c>
      <c r="D58" s="32">
        <v>308.33333333333337</v>
      </c>
      <c r="E58" s="1">
        <v>21.46946564885496</v>
      </c>
      <c r="F58" s="14">
        <v>62.413849999999996</v>
      </c>
      <c r="G58" s="14">
        <v>18</v>
      </c>
      <c r="H58" s="14">
        <f>G58*'FeilLønnskost og Tidsbruk'!$C$15</f>
        <v>75.944246875000005</v>
      </c>
      <c r="I58" s="32">
        <f t="shared" si="0"/>
        <v>3649.2775002981875</v>
      </c>
      <c r="J58" s="32">
        <f t="shared" si="1"/>
        <v>1339.9920085877861</v>
      </c>
    </row>
    <row r="59" spans="1:10">
      <c r="A59">
        <v>55</v>
      </c>
      <c r="B59" t="s">
        <v>141</v>
      </c>
      <c r="D59" s="32">
        <v>382.5</v>
      </c>
      <c r="E59" s="1">
        <v>35.782442748091604</v>
      </c>
      <c r="F59" s="14">
        <v>82.123689999999996</v>
      </c>
      <c r="G59" s="14">
        <v>22</v>
      </c>
      <c r="H59" s="14">
        <f>G59*'FeilLønnskost og Tidsbruk'!$C$15</f>
        <v>92.820746180555545</v>
      </c>
      <c r="I59" s="32">
        <f t="shared" si="0"/>
        <v>7426.845079417144</v>
      </c>
      <c r="J59" s="32">
        <f t="shared" si="1"/>
        <v>2938.586235687023</v>
      </c>
    </row>
    <row r="60" spans="1:10">
      <c r="A60">
        <v>56</v>
      </c>
      <c r="B60" t="s">
        <v>142</v>
      </c>
      <c r="D60" s="32">
        <v>308.33333333333337</v>
      </c>
      <c r="E60" s="1">
        <v>14.31297709923664</v>
      </c>
      <c r="F60" s="14">
        <v>62.663849999999996</v>
      </c>
      <c r="G60" s="14">
        <v>18</v>
      </c>
      <c r="H60" s="14">
        <f>G60*'FeilLønnskost og Tidsbruk'!$C$15</f>
        <v>75.944246875000005</v>
      </c>
      <c r="I60" s="32">
        <f t="shared" si="0"/>
        <v>2429.2734225906493</v>
      </c>
      <c r="J60" s="32">
        <f t="shared" si="1"/>
        <v>896.90624999999989</v>
      </c>
    </row>
    <row r="61" spans="1:10">
      <c r="A61">
        <v>57</v>
      </c>
      <c r="D61" s="32"/>
      <c r="E61" s="1"/>
      <c r="F61" s="14"/>
      <c r="G61" s="14"/>
      <c r="H61" s="14"/>
      <c r="I61" s="32"/>
      <c r="J61" s="32"/>
    </row>
    <row r="62" spans="1:10">
      <c r="A62">
        <v>58</v>
      </c>
      <c r="B62" t="s">
        <v>137</v>
      </c>
      <c r="D62" s="32">
        <v>66.666666666666671</v>
      </c>
      <c r="E62" s="1">
        <v>53.673664122137403</v>
      </c>
      <c r="F62" s="14">
        <v>9.8506</v>
      </c>
      <c r="G62" s="14">
        <v>6</v>
      </c>
      <c r="H62" s="14">
        <f>G62*'FeilLønnskost og Tidsbruk'!$C$15</f>
        <v>25.314748958333332</v>
      </c>
      <c r="I62" s="32">
        <f t="shared" si="0"/>
        <v>1690.7911460818227</v>
      </c>
      <c r="J62" s="32">
        <f t="shared" si="1"/>
        <v>528.71779580152668</v>
      </c>
    </row>
    <row r="63" spans="1:10">
      <c r="A63">
        <v>59</v>
      </c>
      <c r="B63" t="s">
        <v>138</v>
      </c>
      <c r="D63" s="32">
        <v>66.666666666666671</v>
      </c>
      <c r="E63" s="1">
        <v>39.360687022900763</v>
      </c>
      <c r="F63" s="14">
        <v>13.507600000000002</v>
      </c>
      <c r="G63" s="14">
        <v>6</v>
      </c>
      <c r="H63" s="14">
        <f>G63*'FeilLønnskost og Tidsbruk'!$C$15</f>
        <v>25.314748958333332</v>
      </c>
      <c r="I63" s="32">
        <f t="shared" si="0"/>
        <v>1095.9714746839218</v>
      </c>
      <c r="J63" s="32">
        <f t="shared" si="1"/>
        <v>531.66841603053444</v>
      </c>
    </row>
    <row r="64" spans="1:10">
      <c r="A64">
        <v>60</v>
      </c>
      <c r="B64" t="s">
        <v>59</v>
      </c>
      <c r="D64" s="32">
        <v>75</v>
      </c>
      <c r="E64" s="1">
        <v>53.673664122137403</v>
      </c>
      <c r="F64" s="14">
        <v>13.807599999999999</v>
      </c>
      <c r="G64" s="14">
        <v>12</v>
      </c>
      <c r="H64" s="14">
        <f>G64*'FeilLønnskost og Tidsbruk'!$C$15</f>
        <v>50.629497916666665</v>
      </c>
      <c r="I64" s="32">
        <f t="shared" si="0"/>
        <v>566.94965857585885</v>
      </c>
      <c r="J64" s="32">
        <f t="shared" si="1"/>
        <v>741.1044847328244</v>
      </c>
    </row>
    <row r="65" spans="1:10">
      <c r="A65">
        <v>61</v>
      </c>
      <c r="B65" t="s">
        <v>259</v>
      </c>
      <c r="D65" s="32">
        <v>82.5</v>
      </c>
      <c r="E65" s="1">
        <v>28.625954198473281</v>
      </c>
      <c r="F65" s="14">
        <v>14.015999999999998</v>
      </c>
      <c r="G65" s="14">
        <v>12</v>
      </c>
      <c r="H65" s="14">
        <f>G65*'FeilLønnskost og Tidsbruk'!$C$15</f>
        <v>50.629497916666665</v>
      </c>
      <c r="I65" s="32">
        <f t="shared" si="0"/>
        <v>511.1021588740461</v>
      </c>
      <c r="J65" s="32">
        <f t="shared" si="1"/>
        <v>401.22137404580144</v>
      </c>
    </row>
    <row r="66" spans="1:10">
      <c r="A66">
        <v>62</v>
      </c>
      <c r="D66" s="32"/>
      <c r="E66" s="1"/>
      <c r="F66" s="14"/>
      <c r="G66" s="14"/>
      <c r="H66" s="14"/>
      <c r="I66" s="32"/>
      <c r="J66" s="32"/>
    </row>
    <row r="67" spans="1:10">
      <c r="A67">
        <v>63</v>
      </c>
      <c r="B67" t="s">
        <v>145</v>
      </c>
      <c r="D67" s="32">
        <v>66.666666666666671</v>
      </c>
      <c r="E67" s="1">
        <v>103.76908396946565</v>
      </c>
      <c r="F67" s="14">
        <v>4.29</v>
      </c>
      <c r="G67" s="14">
        <v>5</v>
      </c>
      <c r="H67" s="14">
        <f>G67*'FeilLønnskost og Tidsbruk'!$C$15</f>
        <v>21.095624131944444</v>
      </c>
      <c r="I67" s="32">
        <f t="shared" si="0"/>
        <v>4283.6959691326747</v>
      </c>
      <c r="J67" s="32">
        <f t="shared" si="1"/>
        <v>445.16937022900765</v>
      </c>
    </row>
    <row r="68" spans="1:10">
      <c r="A68">
        <v>64</v>
      </c>
      <c r="B68" t="s">
        <v>146</v>
      </c>
      <c r="D68" s="32">
        <v>66.666666666666671</v>
      </c>
      <c r="E68" s="1">
        <v>243.32061068702288</v>
      </c>
      <c r="F68" s="14">
        <v>5.2951000000000006</v>
      </c>
      <c r="G68" s="14">
        <v>5</v>
      </c>
      <c r="H68" s="14">
        <f>G68*'FeilLønnskost og Tidsbruk'!$C$15</f>
        <v>21.095624131944444</v>
      </c>
      <c r="I68" s="32">
        <f t="shared" si="0"/>
        <v>9799.966933544054</v>
      </c>
      <c r="J68" s="32">
        <f t="shared" si="1"/>
        <v>1288.406965648855</v>
      </c>
    </row>
    <row r="69" spans="1:10">
      <c r="A69">
        <v>65</v>
      </c>
      <c r="B69" t="s">
        <v>149</v>
      </c>
      <c r="D69" s="32">
        <v>66.666666666666671</v>
      </c>
      <c r="E69" s="1">
        <v>153.8645038167939</v>
      </c>
      <c r="F69" s="14">
        <v>5.95</v>
      </c>
      <c r="G69" s="14">
        <v>5</v>
      </c>
      <c r="H69" s="14">
        <f>G69*'FeilLønnskost og Tidsbruk'!$C$15</f>
        <v>21.095624131944444</v>
      </c>
      <c r="I69" s="32">
        <f t="shared" si="0"/>
        <v>6096.2720503091205</v>
      </c>
      <c r="J69" s="32">
        <f t="shared" si="1"/>
        <v>915.49379770992368</v>
      </c>
    </row>
    <row r="70" spans="1:10">
      <c r="A70">
        <v>66</v>
      </c>
      <c r="B70" t="s">
        <v>147</v>
      </c>
      <c r="D70" s="32">
        <v>66.666666666666671</v>
      </c>
      <c r="E70" s="1">
        <v>67.986641221374043</v>
      </c>
      <c r="F70" s="14">
        <v>5.8100000000000005</v>
      </c>
      <c r="G70" s="14">
        <v>5</v>
      </c>
      <c r="H70" s="14">
        <f>G70*'FeilLønnskost og Tidsbruk'!$C$15</f>
        <v>21.095624131944444</v>
      </c>
      <c r="I70" s="32">
        <f t="shared" si="0"/>
        <v>2703.2197333959525</v>
      </c>
      <c r="J70" s="32">
        <f t="shared" si="1"/>
        <v>395.00238549618325</v>
      </c>
    </row>
    <row r="71" spans="1:10">
      <c r="A71">
        <v>67</v>
      </c>
      <c r="B71" t="s">
        <v>148</v>
      </c>
      <c r="D71" s="32">
        <v>18.333333333333336</v>
      </c>
      <c r="E71" s="1">
        <v>128.81679389312978</v>
      </c>
      <c r="F71" s="14">
        <v>3.3600000000000003</v>
      </c>
      <c r="G71" s="14">
        <v>1</v>
      </c>
      <c r="H71" s="14">
        <f>G71*'FeilLønnskost og Tidsbruk'!$C$15</f>
        <v>4.2191248263888887</v>
      </c>
      <c r="I71" s="32">
        <f t="shared" ref="I71:I73" si="2">(D71-F71-H71)*E71</f>
        <v>1385.3226607228059</v>
      </c>
      <c r="J71" s="32">
        <f t="shared" ref="J71:J73" si="3">E71*F71</f>
        <v>432.82442748091614</v>
      </c>
    </row>
    <row r="72" spans="1:10">
      <c r="A72">
        <v>68</v>
      </c>
      <c r="D72" s="32"/>
      <c r="E72" s="1"/>
      <c r="F72" s="14"/>
      <c r="G72" s="14"/>
      <c r="H72" s="14"/>
      <c r="I72" s="32"/>
      <c r="J72" s="32"/>
    </row>
    <row r="73" spans="1:10">
      <c r="A73">
        <v>69</v>
      </c>
      <c r="B73" t="s">
        <v>143</v>
      </c>
      <c r="D73" s="32">
        <v>74.166666666666671</v>
      </c>
      <c r="E73" s="1">
        <v>518.84541984732823</v>
      </c>
      <c r="F73" s="14">
        <v>13.7</v>
      </c>
      <c r="G73" s="14">
        <v>8</v>
      </c>
      <c r="H73" s="14">
        <f>G73*'FeilLønnskost og Tidsbruk'!$C$15</f>
        <v>33.75299861111111</v>
      </c>
      <c r="I73" s="32">
        <f t="shared" si="2"/>
        <v>13860.264317946883</v>
      </c>
      <c r="J73" s="32">
        <f t="shared" si="3"/>
        <v>7108.1822519083962</v>
      </c>
    </row>
    <row r="74" spans="1:10">
      <c r="I74" s="32"/>
      <c r="J74" s="32"/>
    </row>
    <row r="75" spans="1:10">
      <c r="E75" s="1">
        <f>SUM(E6:E73)</f>
        <v>7500.0000000000009</v>
      </c>
      <c r="G75" s="14">
        <f>SUM(G6:G73)</f>
        <v>619</v>
      </c>
      <c r="I75" s="32">
        <f>SUM(I6:I73)</f>
        <v>503270.27145261812</v>
      </c>
      <c r="J75" s="32">
        <f>SUM(J6:J73)</f>
        <v>166792.07566316795</v>
      </c>
    </row>
    <row r="77" spans="1:10">
      <c r="D77" s="32">
        <f>SUM(D6:D73)/64</f>
        <v>140.95052083333331</v>
      </c>
    </row>
    <row r="81" spans="7:9">
      <c r="G81" t="s">
        <v>431</v>
      </c>
    </row>
    <row r="83" spans="7:9">
      <c r="G83" t="s">
        <v>437</v>
      </c>
      <c r="I83">
        <f>G75/65</f>
        <v>9.523076923076923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:I37"/>
  <sheetViews>
    <sheetView topLeftCell="C1" workbookViewId="0">
      <selection activeCell="M36" sqref="M36"/>
    </sheetView>
  </sheetViews>
  <sheetFormatPr baseColWidth="10" defaultRowHeight="15" x14ac:dyDescent="0"/>
  <cols>
    <col min="8" max="8" width="61" bestFit="1" customWidth="1"/>
  </cols>
  <sheetData>
    <row r="1" spans="7:9">
      <c r="G1" s="80"/>
      <c r="H1" s="80"/>
      <c r="I1" s="80"/>
    </row>
    <row r="2" spans="7:9" ht="17" thickBot="1">
      <c r="G2" s="80"/>
      <c r="H2" s="80"/>
      <c r="I2" s="80"/>
    </row>
    <row r="3" spans="7:9" ht="17" thickBot="1">
      <c r="G3" s="80"/>
      <c r="H3" s="138" t="s">
        <v>388</v>
      </c>
      <c r="I3" s="80"/>
    </row>
    <row r="4" spans="7:9">
      <c r="G4" s="80"/>
      <c r="H4" s="136" t="s">
        <v>389</v>
      </c>
      <c r="I4" s="80"/>
    </row>
    <row r="5" spans="7:9">
      <c r="G5" s="80"/>
      <c r="H5" s="136" t="s">
        <v>390</v>
      </c>
      <c r="I5" s="80"/>
    </row>
    <row r="6" spans="7:9">
      <c r="G6" s="80"/>
      <c r="H6" s="136" t="s">
        <v>391</v>
      </c>
      <c r="I6" s="80"/>
    </row>
    <row r="7" spans="7:9">
      <c r="G7" s="80"/>
      <c r="H7" s="136" t="s">
        <v>392</v>
      </c>
      <c r="I7" s="80"/>
    </row>
    <row r="8" spans="7:9">
      <c r="G8" s="80"/>
      <c r="H8" s="136" t="s">
        <v>393</v>
      </c>
      <c r="I8" s="80"/>
    </row>
    <row r="9" spans="7:9">
      <c r="G9" s="80"/>
      <c r="H9" s="136" t="s">
        <v>394</v>
      </c>
      <c r="I9" s="80"/>
    </row>
    <row r="10" spans="7:9">
      <c r="G10" s="80"/>
      <c r="H10" s="136" t="s">
        <v>395</v>
      </c>
      <c r="I10" s="80"/>
    </row>
    <row r="11" spans="7:9">
      <c r="G11" s="80"/>
      <c r="H11" s="136" t="s">
        <v>396</v>
      </c>
      <c r="I11" s="80"/>
    </row>
    <row r="12" spans="7:9">
      <c r="G12" s="80"/>
      <c r="H12" s="136" t="s">
        <v>397</v>
      </c>
      <c r="I12" s="80"/>
    </row>
    <row r="13" spans="7:9">
      <c r="G13" s="80"/>
      <c r="H13" s="136" t="s">
        <v>398</v>
      </c>
      <c r="I13" s="80"/>
    </row>
    <row r="14" spans="7:9">
      <c r="G14" s="80"/>
      <c r="H14" s="136" t="s">
        <v>399</v>
      </c>
      <c r="I14" s="80"/>
    </row>
    <row r="15" spans="7:9">
      <c r="G15" s="80"/>
      <c r="H15" s="136" t="s">
        <v>400</v>
      </c>
      <c r="I15" s="80"/>
    </row>
    <row r="16" spans="7:9">
      <c r="G16" s="80"/>
      <c r="H16" s="136" t="s">
        <v>401</v>
      </c>
      <c r="I16" s="80"/>
    </row>
    <row r="17" spans="7:9">
      <c r="G17" s="80"/>
      <c r="H17" s="136" t="s">
        <v>402</v>
      </c>
      <c r="I17" s="80"/>
    </row>
    <row r="18" spans="7:9">
      <c r="G18" s="80"/>
      <c r="H18" s="136" t="s">
        <v>403</v>
      </c>
      <c r="I18" s="80"/>
    </row>
    <row r="19" spans="7:9">
      <c r="G19" s="80"/>
      <c r="H19" s="136" t="s">
        <v>404</v>
      </c>
      <c r="I19" s="80"/>
    </row>
    <row r="20" spans="7:9">
      <c r="G20" s="80"/>
      <c r="H20" s="136" t="s">
        <v>405</v>
      </c>
      <c r="I20" s="80"/>
    </row>
    <row r="21" spans="7:9">
      <c r="G21" s="80"/>
      <c r="H21" s="136" t="s">
        <v>406</v>
      </c>
      <c r="I21" s="80"/>
    </row>
    <row r="22" spans="7:9">
      <c r="G22" s="80"/>
      <c r="H22" s="136" t="s">
        <v>407</v>
      </c>
      <c r="I22" s="80"/>
    </row>
    <row r="23" spans="7:9">
      <c r="G23" s="80"/>
      <c r="H23" s="136" t="s">
        <v>408</v>
      </c>
      <c r="I23" s="80"/>
    </row>
    <row r="24" spans="7:9">
      <c r="G24" s="80"/>
      <c r="H24" s="136" t="s">
        <v>409</v>
      </c>
      <c r="I24" s="80"/>
    </row>
    <row r="25" spans="7:9">
      <c r="G25" s="80"/>
      <c r="H25" s="136" t="s">
        <v>410</v>
      </c>
      <c r="I25" s="80"/>
    </row>
    <row r="26" spans="7:9">
      <c r="G26" s="80"/>
      <c r="H26" s="136" t="s">
        <v>411</v>
      </c>
      <c r="I26" s="80"/>
    </row>
    <row r="27" spans="7:9">
      <c r="G27" s="80"/>
      <c r="H27" s="136" t="s">
        <v>412</v>
      </c>
      <c r="I27" s="80"/>
    </row>
    <row r="28" spans="7:9">
      <c r="G28" s="80"/>
      <c r="H28" s="136" t="s">
        <v>413</v>
      </c>
      <c r="I28" s="80"/>
    </row>
    <row r="29" spans="7:9">
      <c r="G29" s="80"/>
      <c r="H29" s="136" t="s">
        <v>414</v>
      </c>
      <c r="I29" s="80"/>
    </row>
    <row r="30" spans="7:9">
      <c r="G30" s="80"/>
      <c r="H30" s="136" t="s">
        <v>415</v>
      </c>
      <c r="I30" s="80"/>
    </row>
    <row r="31" spans="7:9">
      <c r="G31" s="80"/>
      <c r="H31" s="136" t="s">
        <v>416</v>
      </c>
      <c r="I31" s="80"/>
    </row>
    <row r="32" spans="7:9">
      <c r="G32" s="80"/>
      <c r="H32" s="136" t="s">
        <v>417</v>
      </c>
      <c r="I32" s="80"/>
    </row>
    <row r="33" spans="7:9" ht="17" thickBot="1">
      <c r="G33" s="80"/>
      <c r="H33" s="137" t="s">
        <v>418</v>
      </c>
      <c r="I33" s="80"/>
    </row>
    <row r="34" spans="7:9">
      <c r="G34" s="80"/>
      <c r="H34" s="80"/>
      <c r="I34" s="80"/>
    </row>
    <row r="35" spans="7:9">
      <c r="G35" s="80"/>
      <c r="H35" s="80"/>
      <c r="I35" s="80"/>
    </row>
    <row r="36" spans="7:9">
      <c r="G36" s="80"/>
      <c r="H36" s="80"/>
      <c r="I36" s="80"/>
    </row>
    <row r="37" spans="7:9">
      <c r="G37" s="80"/>
      <c r="H37" s="80"/>
      <c r="I37" s="80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49"/>
  <sheetViews>
    <sheetView workbookViewId="0">
      <selection activeCell="D98" sqref="D98"/>
    </sheetView>
  </sheetViews>
  <sheetFormatPr baseColWidth="10" defaultRowHeight="15" x14ac:dyDescent="0"/>
  <cols>
    <col min="1" max="1" width="20.6640625" bestFit="1" customWidth="1"/>
    <col min="3" max="3" width="26.1640625" bestFit="1" customWidth="1"/>
    <col min="5" max="5" width="12.83203125" bestFit="1" customWidth="1"/>
    <col min="8" max="8" width="24.6640625" bestFit="1" customWidth="1"/>
    <col min="9" max="9" width="11.6640625" bestFit="1" customWidth="1"/>
    <col min="10" max="10" width="16.6640625" bestFit="1" customWidth="1"/>
    <col min="13" max="13" width="26.1640625" bestFit="1" customWidth="1"/>
    <col min="14" max="14" width="24.6640625" bestFit="1" customWidth="1"/>
    <col min="17" max="17" width="26.1640625" bestFit="1" customWidth="1"/>
  </cols>
  <sheetData>
    <row r="1" spans="1:14" ht="17">
      <c r="A1" s="3" t="s">
        <v>45</v>
      </c>
      <c r="B1" s="149"/>
      <c r="C1" s="4"/>
      <c r="D1" s="4"/>
      <c r="E1" s="4"/>
    </row>
    <row r="2" spans="1:14" ht="17">
      <c r="A2" s="4"/>
      <c r="B2" s="4"/>
      <c r="C2" s="4"/>
      <c r="D2" s="4"/>
      <c r="E2" s="4"/>
      <c r="G2" t="s">
        <v>207</v>
      </c>
      <c r="I2" t="s">
        <v>192</v>
      </c>
      <c r="J2" s="115" t="s">
        <v>365</v>
      </c>
    </row>
    <row r="3" spans="1:14" ht="17">
      <c r="A3" s="3" t="s">
        <v>46</v>
      </c>
      <c r="B3" s="3" t="s">
        <v>47</v>
      </c>
      <c r="C3" s="3" t="s">
        <v>48</v>
      </c>
      <c r="D3" s="3" t="s">
        <v>49</v>
      </c>
      <c r="E3" s="3" t="s">
        <v>50</v>
      </c>
      <c r="G3" s="3" t="s">
        <v>92</v>
      </c>
      <c r="I3" s="3" t="s">
        <v>364</v>
      </c>
      <c r="L3" t="s">
        <v>194</v>
      </c>
    </row>
    <row r="4" spans="1:14" ht="17">
      <c r="A4" s="3">
        <v>1</v>
      </c>
      <c r="B4" s="3">
        <v>40797</v>
      </c>
      <c r="C4" s="3">
        <v>262</v>
      </c>
      <c r="D4" s="3">
        <v>121</v>
      </c>
      <c r="E4" s="3">
        <v>141</v>
      </c>
      <c r="G4" s="3">
        <v>1</v>
      </c>
      <c r="H4" t="s">
        <v>95</v>
      </c>
      <c r="I4" s="3">
        <v>153</v>
      </c>
      <c r="J4" s="17">
        <f>I4/$I$73</f>
        <v>7.2996183206106874E-2</v>
      </c>
      <c r="L4" t="s">
        <v>152</v>
      </c>
      <c r="M4" t="s">
        <v>95</v>
      </c>
      <c r="N4" s="17">
        <v>0.64556962025316456</v>
      </c>
    </row>
    <row r="5" spans="1:14" ht="17">
      <c r="A5" s="3">
        <v>2</v>
      </c>
      <c r="B5" s="3">
        <v>12484</v>
      </c>
      <c r="C5" s="3">
        <v>90</v>
      </c>
      <c r="D5" s="3">
        <v>55</v>
      </c>
      <c r="E5" s="3">
        <v>35</v>
      </c>
      <c r="G5" s="3">
        <v>2</v>
      </c>
      <c r="H5" t="s">
        <v>96</v>
      </c>
      <c r="I5" s="18">
        <v>19</v>
      </c>
      <c r="J5" s="17">
        <f t="shared" ref="J5:J68" si="0">I5/$I$73</f>
        <v>9.0648854961832056E-3</v>
      </c>
      <c r="L5" t="s">
        <v>156</v>
      </c>
      <c r="M5" t="s">
        <v>101</v>
      </c>
      <c r="N5" s="17">
        <v>0.19831223628691982</v>
      </c>
    </row>
    <row r="6" spans="1:14" ht="17">
      <c r="A6" s="3">
        <v>3</v>
      </c>
      <c r="B6" s="3">
        <v>14626</v>
      </c>
      <c r="C6" s="3">
        <v>106</v>
      </c>
      <c r="D6" s="3">
        <v>49</v>
      </c>
      <c r="E6" s="3">
        <v>57</v>
      </c>
      <c r="G6" s="3">
        <v>3</v>
      </c>
      <c r="H6" t="s">
        <v>97</v>
      </c>
      <c r="I6" s="3">
        <v>9</v>
      </c>
      <c r="J6" s="17">
        <f t="shared" si="0"/>
        <v>4.2938931297709926E-3</v>
      </c>
      <c r="L6" t="s">
        <v>155</v>
      </c>
      <c r="M6" t="s">
        <v>96</v>
      </c>
      <c r="N6" s="17">
        <v>8.0168776371308023E-2</v>
      </c>
    </row>
    <row r="7" spans="1:14" ht="17">
      <c r="A7" s="3">
        <v>4</v>
      </c>
      <c r="B7" s="3">
        <v>14223</v>
      </c>
      <c r="C7" s="3">
        <v>107</v>
      </c>
      <c r="D7" s="3">
        <v>56</v>
      </c>
      <c r="E7" s="3">
        <v>51</v>
      </c>
      <c r="G7" s="3">
        <v>4</v>
      </c>
      <c r="H7" t="s">
        <v>98</v>
      </c>
      <c r="I7" s="18">
        <v>5</v>
      </c>
      <c r="J7" s="17">
        <f t="shared" si="0"/>
        <v>2.3854961832061069E-3</v>
      </c>
      <c r="L7" t="s">
        <v>154</v>
      </c>
      <c r="M7" t="s">
        <v>97</v>
      </c>
      <c r="N7" s="17">
        <v>3.7974683544303799E-2</v>
      </c>
    </row>
    <row r="8" spans="1:14" ht="17">
      <c r="A8" s="3">
        <v>5</v>
      </c>
      <c r="B8" s="3">
        <v>21153</v>
      </c>
      <c r="C8" s="3">
        <v>145</v>
      </c>
      <c r="D8" s="3">
        <v>113</v>
      </c>
      <c r="E8" s="3">
        <v>32</v>
      </c>
      <c r="G8" s="3">
        <v>5</v>
      </c>
      <c r="H8" t="s">
        <v>99</v>
      </c>
      <c r="I8" s="18">
        <v>2</v>
      </c>
      <c r="J8" s="17">
        <f t="shared" si="0"/>
        <v>9.5419847328244271E-4</v>
      </c>
      <c r="L8" t="s">
        <v>157</v>
      </c>
      <c r="M8" t="s">
        <v>98</v>
      </c>
      <c r="N8" s="17">
        <v>2.1097046413502109E-2</v>
      </c>
    </row>
    <row r="9" spans="1:14" ht="17">
      <c r="A9" s="3">
        <v>6</v>
      </c>
      <c r="B9" s="3">
        <v>12405</v>
      </c>
      <c r="C9" s="3">
        <v>86</v>
      </c>
      <c r="D9" s="3">
        <v>25</v>
      </c>
      <c r="E9" s="3">
        <v>61</v>
      </c>
      <c r="G9" s="3">
        <v>6</v>
      </c>
      <c r="H9" t="s">
        <v>100</v>
      </c>
      <c r="I9" s="18">
        <v>2</v>
      </c>
      <c r="J9" s="17">
        <f t="shared" si="0"/>
        <v>9.5419847328244271E-4</v>
      </c>
      <c r="L9" t="s">
        <v>153</v>
      </c>
      <c r="M9" t="s">
        <v>100</v>
      </c>
      <c r="N9" s="17">
        <v>8.4388185654008432E-3</v>
      </c>
    </row>
    <row r="10" spans="1:14" ht="17">
      <c r="A10" s="3">
        <v>7</v>
      </c>
      <c r="B10" s="3">
        <v>8395</v>
      </c>
      <c r="C10" s="3">
        <v>65</v>
      </c>
      <c r="D10" s="3">
        <v>23</v>
      </c>
      <c r="E10" s="3">
        <v>42</v>
      </c>
      <c r="G10" s="3">
        <v>7</v>
      </c>
      <c r="H10" t="s">
        <v>101</v>
      </c>
      <c r="I10" s="18">
        <v>47</v>
      </c>
      <c r="J10" s="17">
        <f t="shared" si="0"/>
        <v>2.2423664122137404E-2</v>
      </c>
      <c r="L10" t="s">
        <v>158</v>
      </c>
      <c r="M10" t="s">
        <v>99</v>
      </c>
      <c r="N10" s="17">
        <v>8.4388185654008432E-3</v>
      </c>
    </row>
    <row r="11" spans="1:14" ht="17">
      <c r="A11" s="3">
        <v>8</v>
      </c>
      <c r="B11" s="3">
        <v>23699</v>
      </c>
      <c r="C11" s="3">
        <v>163</v>
      </c>
      <c r="D11" s="3">
        <v>58</v>
      </c>
      <c r="E11" s="3">
        <v>105</v>
      </c>
      <c r="G11" t="s">
        <v>93</v>
      </c>
      <c r="J11" s="17"/>
      <c r="M11" t="s">
        <v>44</v>
      </c>
      <c r="N11" s="17">
        <f>SUM(N4:N10)</f>
        <v>1</v>
      </c>
    </row>
    <row r="12" spans="1:14" ht="17">
      <c r="A12" s="3">
        <v>9</v>
      </c>
      <c r="B12" s="3">
        <v>8643</v>
      </c>
      <c r="C12" s="3">
        <v>62</v>
      </c>
      <c r="D12" s="3">
        <v>30</v>
      </c>
      <c r="E12" s="3">
        <v>32</v>
      </c>
      <c r="G12" s="3">
        <v>9</v>
      </c>
      <c r="H12" t="s">
        <v>102</v>
      </c>
      <c r="I12" s="3">
        <v>7</v>
      </c>
      <c r="J12" s="17">
        <f t="shared" si="0"/>
        <v>3.3396946564885495E-3</v>
      </c>
    </row>
    <row r="13" spans="1:14" ht="17">
      <c r="A13" s="3">
        <v>10</v>
      </c>
      <c r="B13" s="3">
        <v>12361</v>
      </c>
      <c r="C13" s="3">
        <v>88</v>
      </c>
      <c r="D13" s="3">
        <v>51</v>
      </c>
      <c r="E13" s="3">
        <v>37</v>
      </c>
      <c r="G13" s="3">
        <v>10</v>
      </c>
      <c r="H13" t="s">
        <v>103</v>
      </c>
      <c r="I13" s="18">
        <v>13</v>
      </c>
      <c r="J13" s="17">
        <f t="shared" si="0"/>
        <v>6.2022900763358778E-3</v>
      </c>
      <c r="L13" t="s">
        <v>162</v>
      </c>
    </row>
    <row r="14" spans="1:14" ht="17">
      <c r="A14" s="3">
        <v>11</v>
      </c>
      <c r="B14" s="3">
        <v>10629</v>
      </c>
      <c r="C14" s="3">
        <v>76</v>
      </c>
      <c r="D14" s="3">
        <v>45</v>
      </c>
      <c r="E14" s="3">
        <v>31</v>
      </c>
      <c r="G14" s="3">
        <v>11</v>
      </c>
      <c r="H14" t="s">
        <v>104</v>
      </c>
      <c r="I14" s="18">
        <v>7</v>
      </c>
      <c r="J14" s="17">
        <f t="shared" si="0"/>
        <v>3.3396946564885495E-3</v>
      </c>
      <c r="L14" t="s">
        <v>152</v>
      </c>
      <c r="M14" t="s">
        <v>122</v>
      </c>
      <c r="N14" s="17">
        <v>0.10816326530612246</v>
      </c>
    </row>
    <row r="15" spans="1:14" ht="17">
      <c r="A15" s="3">
        <v>12</v>
      </c>
      <c r="B15" s="3">
        <v>16175</v>
      </c>
      <c r="C15" s="3">
        <v>111</v>
      </c>
      <c r="D15" s="3">
        <v>50</v>
      </c>
      <c r="E15" s="3">
        <v>61</v>
      </c>
      <c r="G15" s="3">
        <v>12</v>
      </c>
      <c r="H15" t="s">
        <v>105</v>
      </c>
      <c r="I15" s="3">
        <v>20</v>
      </c>
      <c r="J15" s="17">
        <f t="shared" si="0"/>
        <v>9.5419847328244278E-3</v>
      </c>
      <c r="L15" t="s">
        <v>156</v>
      </c>
      <c r="M15" t="s">
        <v>114</v>
      </c>
      <c r="N15" s="17">
        <v>6.5986394557823125E-2</v>
      </c>
    </row>
    <row r="16" spans="1:14" ht="17">
      <c r="A16" s="3">
        <v>13</v>
      </c>
      <c r="B16" s="3">
        <v>23954</v>
      </c>
      <c r="C16" s="3">
        <v>172</v>
      </c>
      <c r="D16" s="3">
        <v>105</v>
      </c>
      <c r="E16" s="3">
        <v>67</v>
      </c>
      <c r="G16" s="3">
        <v>13</v>
      </c>
      <c r="H16" t="s">
        <v>106</v>
      </c>
      <c r="I16" s="3">
        <v>36</v>
      </c>
      <c r="J16" s="17">
        <f t="shared" si="0"/>
        <v>1.717557251908397E-2</v>
      </c>
      <c r="L16" t="s">
        <v>155</v>
      </c>
      <c r="M16" t="s">
        <v>111</v>
      </c>
      <c r="N16" s="17">
        <v>6.3265306122448975E-2</v>
      </c>
    </row>
    <row r="17" spans="1:16" ht="17">
      <c r="A17" s="3">
        <v>14</v>
      </c>
      <c r="B17" s="3">
        <v>11718</v>
      </c>
      <c r="C17" s="3">
        <v>90</v>
      </c>
      <c r="D17" s="3">
        <v>40</v>
      </c>
      <c r="E17" s="3">
        <v>50</v>
      </c>
      <c r="G17" s="3">
        <v>14</v>
      </c>
      <c r="H17" t="s">
        <v>107</v>
      </c>
      <c r="I17" s="3">
        <v>10</v>
      </c>
      <c r="J17" s="17">
        <f t="shared" si="0"/>
        <v>4.7709923664122139E-3</v>
      </c>
      <c r="L17" t="s">
        <v>154</v>
      </c>
      <c r="M17" t="s">
        <v>163</v>
      </c>
      <c r="N17" s="17">
        <v>6.0544217687074832E-2</v>
      </c>
    </row>
    <row r="18" spans="1:16" ht="17">
      <c r="A18" s="3">
        <v>15</v>
      </c>
      <c r="B18" s="3">
        <v>17158</v>
      </c>
      <c r="C18" s="3">
        <v>115</v>
      </c>
      <c r="D18" s="3">
        <v>59</v>
      </c>
      <c r="E18" s="3">
        <v>56</v>
      </c>
      <c r="G18" s="3">
        <v>15</v>
      </c>
      <c r="H18" t="s">
        <v>108</v>
      </c>
      <c r="I18" s="3">
        <v>13</v>
      </c>
      <c r="J18" s="17">
        <f t="shared" si="0"/>
        <v>6.2022900763358778E-3</v>
      </c>
      <c r="L18" t="s">
        <v>157</v>
      </c>
      <c r="M18" t="s">
        <v>125</v>
      </c>
      <c r="N18" s="17">
        <v>4.8299319727891157E-2</v>
      </c>
    </row>
    <row r="19" spans="1:16" ht="17">
      <c r="A19" s="3">
        <v>16</v>
      </c>
      <c r="B19" s="3">
        <v>17915</v>
      </c>
      <c r="C19" s="3">
        <v>123</v>
      </c>
      <c r="D19" s="3">
        <v>71</v>
      </c>
      <c r="E19" s="3">
        <v>52</v>
      </c>
      <c r="G19" s="3">
        <v>16</v>
      </c>
      <c r="H19" t="s">
        <v>109</v>
      </c>
      <c r="I19" s="18">
        <v>26</v>
      </c>
      <c r="J19" s="17">
        <f t="shared" si="0"/>
        <v>1.2404580152671756E-2</v>
      </c>
      <c r="L19" t="s">
        <v>153</v>
      </c>
      <c r="M19" t="s">
        <v>112</v>
      </c>
      <c r="N19" s="17">
        <v>4.2176870748299317E-2</v>
      </c>
    </row>
    <row r="20" spans="1:16" ht="17">
      <c r="A20" s="3">
        <v>17</v>
      </c>
      <c r="B20" s="3">
        <v>32187</v>
      </c>
      <c r="C20" s="3">
        <v>218</v>
      </c>
      <c r="D20" s="3">
        <v>194</v>
      </c>
      <c r="E20" s="3">
        <v>24</v>
      </c>
      <c r="G20" s="3">
        <v>17</v>
      </c>
      <c r="H20" t="s">
        <v>110</v>
      </c>
      <c r="I20" s="3">
        <v>26</v>
      </c>
      <c r="J20" s="17">
        <f t="shared" si="0"/>
        <v>1.2404580152671756E-2</v>
      </c>
      <c r="L20" t="s">
        <v>158</v>
      </c>
      <c r="M20" t="s">
        <v>20</v>
      </c>
      <c r="N20" s="17">
        <v>3.9455782312925167E-2</v>
      </c>
    </row>
    <row r="21" spans="1:16" ht="17">
      <c r="A21" s="3">
        <v>18</v>
      </c>
      <c r="B21" s="3">
        <v>5801</v>
      </c>
      <c r="C21" s="3">
        <v>40</v>
      </c>
      <c r="D21" s="3">
        <v>6</v>
      </c>
      <c r="E21" s="3">
        <v>34</v>
      </c>
      <c r="G21" s="3">
        <v>18</v>
      </c>
      <c r="H21" t="s">
        <v>111</v>
      </c>
      <c r="I21" s="3">
        <v>93</v>
      </c>
      <c r="J21" s="17">
        <f t="shared" si="0"/>
        <v>4.4370229007633585E-2</v>
      </c>
      <c r="L21" t="s">
        <v>159</v>
      </c>
      <c r="M21" t="s">
        <v>121</v>
      </c>
      <c r="N21" s="17">
        <v>3.6054421768707483E-2</v>
      </c>
    </row>
    <row r="22" spans="1:16" ht="17">
      <c r="A22" s="3">
        <v>19</v>
      </c>
      <c r="B22" s="3">
        <v>14795</v>
      </c>
      <c r="C22" s="3">
        <v>120</v>
      </c>
      <c r="D22" s="3">
        <v>76</v>
      </c>
      <c r="E22" s="3">
        <v>44</v>
      </c>
      <c r="G22" s="3">
        <v>19</v>
      </c>
      <c r="H22" t="s">
        <v>185</v>
      </c>
      <c r="I22" s="3">
        <v>20</v>
      </c>
      <c r="J22" s="17">
        <f t="shared" si="0"/>
        <v>9.5419847328244278E-3</v>
      </c>
      <c r="L22" t="s">
        <v>160</v>
      </c>
      <c r="M22" t="s">
        <v>130</v>
      </c>
      <c r="N22" s="17">
        <v>3.5374149659863949E-2</v>
      </c>
    </row>
    <row r="23" spans="1:16" ht="17">
      <c r="A23" s="3">
        <v>20</v>
      </c>
      <c r="B23" s="3">
        <v>15860</v>
      </c>
      <c r="C23" s="3">
        <v>120</v>
      </c>
      <c r="D23" s="3">
        <v>58</v>
      </c>
      <c r="E23" s="3">
        <v>62</v>
      </c>
      <c r="G23" s="3">
        <v>20</v>
      </c>
      <c r="H23" t="s">
        <v>112</v>
      </c>
      <c r="I23" s="3">
        <v>62</v>
      </c>
      <c r="J23" s="17">
        <f t="shared" si="0"/>
        <v>2.9580152671755726E-2</v>
      </c>
      <c r="L23" t="s">
        <v>161</v>
      </c>
      <c r="M23" t="s">
        <v>118</v>
      </c>
      <c r="N23" s="17">
        <v>3.3333333333333333E-2</v>
      </c>
      <c r="O23" s="19"/>
    </row>
    <row r="24" spans="1:16" ht="17">
      <c r="A24" s="3">
        <v>21</v>
      </c>
      <c r="B24" s="3">
        <v>15194</v>
      </c>
      <c r="C24" s="3">
        <v>85</v>
      </c>
      <c r="D24" s="3">
        <v>45</v>
      </c>
      <c r="E24" s="3">
        <v>40</v>
      </c>
      <c r="G24" s="3">
        <v>21</v>
      </c>
      <c r="H24" t="s">
        <v>113</v>
      </c>
      <c r="I24" s="3">
        <v>37</v>
      </c>
      <c r="J24" s="17">
        <f t="shared" si="0"/>
        <v>1.7652671755725192E-2</v>
      </c>
      <c r="L24" t="s">
        <v>164</v>
      </c>
      <c r="M24" t="s">
        <v>133</v>
      </c>
      <c r="N24" s="17">
        <v>3.1292517006802724E-2</v>
      </c>
    </row>
    <row r="25" spans="1:16" ht="17">
      <c r="A25" s="3">
        <v>22</v>
      </c>
      <c r="B25" s="3">
        <v>30917</v>
      </c>
      <c r="C25" s="3">
        <v>231</v>
      </c>
      <c r="D25" s="3">
        <v>102</v>
      </c>
      <c r="E25" s="3">
        <v>129</v>
      </c>
      <c r="G25" s="3">
        <v>22</v>
      </c>
      <c r="H25" t="s">
        <v>114</v>
      </c>
      <c r="I25" s="3">
        <v>97</v>
      </c>
      <c r="J25" s="17">
        <f t="shared" si="0"/>
        <v>4.6278625954198474E-2</v>
      </c>
      <c r="L25" t="s">
        <v>165</v>
      </c>
      <c r="M25" t="s">
        <v>116</v>
      </c>
      <c r="N25" s="17">
        <v>2.7210884353741496E-2</v>
      </c>
    </row>
    <row r="26" spans="1:16" ht="17">
      <c r="A26" s="3">
        <v>23</v>
      </c>
      <c r="B26" s="3">
        <v>9088</v>
      </c>
      <c r="C26" s="3">
        <v>61</v>
      </c>
      <c r="D26" s="3">
        <v>19</v>
      </c>
      <c r="E26" s="3">
        <v>42</v>
      </c>
      <c r="G26" s="3">
        <v>23</v>
      </c>
      <c r="H26" t="s">
        <v>115</v>
      </c>
      <c r="I26" s="18">
        <v>36</v>
      </c>
      <c r="J26" s="17">
        <f t="shared" si="0"/>
        <v>1.717557251908397E-2</v>
      </c>
      <c r="L26" t="s">
        <v>166</v>
      </c>
      <c r="M26" t="s">
        <v>113</v>
      </c>
      <c r="N26" s="17">
        <v>2.5170068027210883E-2</v>
      </c>
    </row>
    <row r="27" spans="1:16" ht="17">
      <c r="A27" s="3">
        <v>24</v>
      </c>
      <c r="B27" s="3">
        <v>14153</v>
      </c>
      <c r="C27" s="3">
        <v>97</v>
      </c>
      <c r="D27" s="3">
        <v>55</v>
      </c>
      <c r="E27" s="3">
        <v>42</v>
      </c>
      <c r="G27" s="3">
        <v>24</v>
      </c>
      <c r="H27" t="s">
        <v>20</v>
      </c>
      <c r="I27" s="3">
        <v>58</v>
      </c>
      <c r="J27" s="17">
        <f t="shared" si="0"/>
        <v>2.7671755725190841E-2</v>
      </c>
      <c r="L27" t="s">
        <v>167</v>
      </c>
      <c r="M27" t="s">
        <v>115</v>
      </c>
      <c r="N27" s="17">
        <v>2.4489795918367346E-2</v>
      </c>
    </row>
    <row r="28" spans="1:16" ht="17">
      <c r="A28" s="3">
        <v>25</v>
      </c>
      <c r="B28" s="3">
        <v>16500</v>
      </c>
      <c r="C28" s="3">
        <v>112</v>
      </c>
      <c r="D28" s="3">
        <v>63</v>
      </c>
      <c r="E28" s="3">
        <v>49</v>
      </c>
      <c r="G28" s="3">
        <v>25</v>
      </c>
      <c r="H28" t="s">
        <v>116</v>
      </c>
      <c r="I28" s="3">
        <v>40</v>
      </c>
      <c r="J28" s="17">
        <f t="shared" si="0"/>
        <v>1.9083969465648856E-2</v>
      </c>
      <c r="L28" t="s">
        <v>167</v>
      </c>
      <c r="M28" t="s">
        <v>134</v>
      </c>
      <c r="N28" s="17">
        <v>2.4489795918367346E-2</v>
      </c>
    </row>
    <row r="29" spans="1:16" ht="17">
      <c r="A29" s="3">
        <v>26</v>
      </c>
      <c r="B29" s="3">
        <v>12160</v>
      </c>
      <c r="C29" s="3">
        <v>89</v>
      </c>
      <c r="D29" s="3">
        <v>34</v>
      </c>
      <c r="E29" s="3">
        <v>55</v>
      </c>
      <c r="G29" s="3">
        <v>26</v>
      </c>
      <c r="H29" t="s">
        <v>117</v>
      </c>
      <c r="I29" s="18">
        <v>10</v>
      </c>
      <c r="J29" s="17">
        <f t="shared" si="0"/>
        <v>4.7709923664122139E-3</v>
      </c>
      <c r="L29" t="s">
        <v>167</v>
      </c>
      <c r="M29" t="s">
        <v>106</v>
      </c>
      <c r="N29" s="17">
        <v>2.4489795918367346E-2</v>
      </c>
    </row>
    <row r="30" spans="1:16" ht="17">
      <c r="A30" s="3">
        <v>27</v>
      </c>
      <c r="B30" s="3">
        <v>13269</v>
      </c>
      <c r="C30" s="3">
        <v>97</v>
      </c>
      <c r="D30" s="3">
        <v>47</v>
      </c>
      <c r="E30" s="3">
        <v>50</v>
      </c>
      <c r="G30" s="3">
        <v>27</v>
      </c>
      <c r="H30" t="s">
        <v>118</v>
      </c>
      <c r="I30" s="3">
        <v>49</v>
      </c>
      <c r="J30" s="17">
        <f t="shared" si="0"/>
        <v>2.3377862595419848E-2</v>
      </c>
      <c r="L30" t="s">
        <v>168</v>
      </c>
      <c r="M30" t="s">
        <v>135</v>
      </c>
      <c r="N30" s="17">
        <v>2.2448979591836733E-2</v>
      </c>
      <c r="P30" s="17"/>
    </row>
    <row r="31" spans="1:16" ht="17">
      <c r="A31" s="3">
        <v>28</v>
      </c>
      <c r="B31" s="3">
        <v>15210</v>
      </c>
      <c r="C31" s="3">
        <v>122</v>
      </c>
      <c r="D31" s="3">
        <v>80</v>
      </c>
      <c r="E31" s="3">
        <v>42</v>
      </c>
      <c r="G31" s="3">
        <v>28</v>
      </c>
      <c r="H31" t="s">
        <v>119</v>
      </c>
      <c r="I31" s="3">
        <v>7</v>
      </c>
      <c r="J31" s="17">
        <f t="shared" si="0"/>
        <v>3.3396946564885495E-3</v>
      </c>
      <c r="L31" t="s">
        <v>169</v>
      </c>
      <c r="M31" t="s">
        <v>21</v>
      </c>
      <c r="N31" s="17">
        <v>1.9047619047619049E-2</v>
      </c>
    </row>
    <row r="32" spans="1:16" ht="17">
      <c r="A32" s="3">
        <v>29</v>
      </c>
      <c r="B32" s="3">
        <v>33185</v>
      </c>
      <c r="C32" s="3">
        <v>238</v>
      </c>
      <c r="D32" s="3">
        <v>67</v>
      </c>
      <c r="E32" s="3">
        <v>171</v>
      </c>
      <c r="G32" s="3">
        <v>29</v>
      </c>
      <c r="H32" t="s">
        <v>120</v>
      </c>
      <c r="I32" s="18">
        <v>9</v>
      </c>
      <c r="J32" s="17">
        <f t="shared" si="0"/>
        <v>4.2938931297709926E-3</v>
      </c>
      <c r="L32" t="s">
        <v>170</v>
      </c>
      <c r="M32" t="s">
        <v>22</v>
      </c>
      <c r="N32" s="17">
        <v>1.8367346938775512E-2</v>
      </c>
    </row>
    <row r="33" spans="1:14" ht="17">
      <c r="A33" s="3">
        <v>30</v>
      </c>
      <c r="B33" s="3">
        <v>9245</v>
      </c>
      <c r="C33" s="3">
        <v>61</v>
      </c>
      <c r="D33" s="3">
        <v>34</v>
      </c>
      <c r="E33" s="3">
        <v>27</v>
      </c>
      <c r="G33" s="3">
        <v>30</v>
      </c>
      <c r="H33" t="s">
        <v>121</v>
      </c>
      <c r="I33" s="3">
        <v>53</v>
      </c>
      <c r="J33" s="17">
        <f t="shared" si="0"/>
        <v>2.5286259541984733E-2</v>
      </c>
      <c r="L33" t="s">
        <v>171</v>
      </c>
      <c r="M33" t="s">
        <v>109</v>
      </c>
      <c r="N33" s="17">
        <v>1.7687074829931974E-2</v>
      </c>
    </row>
    <row r="34" spans="1:14" ht="17">
      <c r="A34" s="3">
        <v>31</v>
      </c>
      <c r="B34" s="3">
        <v>9762</v>
      </c>
      <c r="C34" s="3">
        <v>83</v>
      </c>
      <c r="D34" s="3">
        <v>41</v>
      </c>
      <c r="E34" s="3">
        <v>42</v>
      </c>
      <c r="G34" s="3">
        <v>31</v>
      </c>
      <c r="H34" t="s">
        <v>122</v>
      </c>
      <c r="I34" s="3">
        <v>159</v>
      </c>
      <c r="J34" s="17">
        <f t="shared" si="0"/>
        <v>7.5858778625954193E-2</v>
      </c>
      <c r="L34" t="s">
        <v>171</v>
      </c>
      <c r="M34" t="s">
        <v>184</v>
      </c>
      <c r="N34" s="17">
        <v>1.7687074829931974E-2</v>
      </c>
    </row>
    <row r="35" spans="1:14" ht="17">
      <c r="A35" s="3" t="s">
        <v>51</v>
      </c>
      <c r="B35" s="3">
        <v>513661</v>
      </c>
      <c r="C35" s="3">
        <v>3635</v>
      </c>
      <c r="D35" s="3">
        <v>1872</v>
      </c>
      <c r="E35" s="3">
        <v>1763</v>
      </c>
      <c r="G35" s="3">
        <v>32</v>
      </c>
      <c r="H35" t="s">
        <v>187</v>
      </c>
      <c r="I35" s="3">
        <v>18</v>
      </c>
      <c r="J35" s="17">
        <f t="shared" si="0"/>
        <v>8.5877862595419852E-3</v>
      </c>
      <c r="L35" t="s">
        <v>171</v>
      </c>
      <c r="M35" t="s">
        <v>131</v>
      </c>
      <c r="N35" s="17">
        <v>1.7687074829931974E-2</v>
      </c>
    </row>
    <row r="36" spans="1:14" ht="17">
      <c r="G36" s="3">
        <v>33</v>
      </c>
      <c r="H36" t="s">
        <v>123</v>
      </c>
      <c r="I36" s="18">
        <v>25</v>
      </c>
      <c r="J36" s="17">
        <f t="shared" si="0"/>
        <v>1.1927480916030535E-2</v>
      </c>
      <c r="L36" t="s">
        <v>172</v>
      </c>
      <c r="M36" t="s">
        <v>123</v>
      </c>
      <c r="N36" s="17">
        <v>1.7006802721088437E-2</v>
      </c>
    </row>
    <row r="37" spans="1:14" ht="17">
      <c r="A37" t="s">
        <v>204</v>
      </c>
      <c r="B37" t="s">
        <v>47</v>
      </c>
      <c r="C37" t="s">
        <v>205</v>
      </c>
      <c r="D37" t="s">
        <v>49</v>
      </c>
      <c r="E37" t="s">
        <v>50</v>
      </c>
      <c r="G37" s="3">
        <v>34</v>
      </c>
      <c r="H37" t="s">
        <v>124</v>
      </c>
      <c r="I37" s="18">
        <v>9</v>
      </c>
      <c r="J37" s="17">
        <f t="shared" si="0"/>
        <v>4.2938931297709926E-3</v>
      </c>
      <c r="L37" t="s">
        <v>173</v>
      </c>
      <c r="M37" t="s">
        <v>127</v>
      </c>
      <c r="N37" s="17">
        <v>1.4285714285714285E-2</v>
      </c>
    </row>
    <row r="38" spans="1:14" ht="17">
      <c r="A38">
        <v>1</v>
      </c>
      <c r="B38" s="3">
        <v>10123</v>
      </c>
      <c r="C38">
        <f>D38+E38</f>
        <v>72</v>
      </c>
      <c r="D38" s="3">
        <v>36</v>
      </c>
      <c r="E38" s="3">
        <v>36</v>
      </c>
      <c r="G38" s="3">
        <v>35</v>
      </c>
      <c r="H38" t="s">
        <v>22</v>
      </c>
      <c r="I38" s="3">
        <v>27</v>
      </c>
      <c r="J38" s="17">
        <f t="shared" si="0"/>
        <v>1.2881679389312978E-2</v>
      </c>
      <c r="L38" t="s">
        <v>174</v>
      </c>
      <c r="M38" t="s">
        <v>185</v>
      </c>
      <c r="N38" s="17">
        <v>1.3605442176870748E-2</v>
      </c>
    </row>
    <row r="39" spans="1:14" ht="17">
      <c r="A39">
        <v>2</v>
      </c>
      <c r="B39" s="3">
        <v>12350</v>
      </c>
      <c r="C39">
        <f t="shared" ref="C39:C67" si="1">D39+E39</f>
        <v>86</v>
      </c>
      <c r="D39" s="3">
        <v>47</v>
      </c>
      <c r="E39" s="3">
        <v>39</v>
      </c>
      <c r="G39" s="3">
        <v>36</v>
      </c>
      <c r="H39" t="s">
        <v>125</v>
      </c>
      <c r="I39">
        <v>71</v>
      </c>
      <c r="J39" s="17">
        <f t="shared" si="0"/>
        <v>3.3874045801526718E-2</v>
      </c>
      <c r="L39" t="s">
        <v>174</v>
      </c>
      <c r="M39" t="s">
        <v>105</v>
      </c>
      <c r="N39" s="17">
        <v>1.3605442176870748E-2</v>
      </c>
    </row>
    <row r="40" spans="1:14" ht="17">
      <c r="A40">
        <v>3</v>
      </c>
      <c r="B40" s="3">
        <v>17523</v>
      </c>
      <c r="C40">
        <f t="shared" si="1"/>
        <v>129</v>
      </c>
      <c r="D40" s="3">
        <v>45</v>
      </c>
      <c r="E40" s="3">
        <v>84</v>
      </c>
      <c r="G40" s="3">
        <v>37</v>
      </c>
      <c r="H40" t="s">
        <v>126</v>
      </c>
      <c r="I40" s="18">
        <v>11</v>
      </c>
      <c r="J40" s="17">
        <f t="shared" si="0"/>
        <v>5.2480916030534352E-3</v>
      </c>
      <c r="L40" t="s">
        <v>175</v>
      </c>
      <c r="M40" t="s">
        <v>187</v>
      </c>
      <c r="N40" s="17">
        <v>1.2244897959183673E-2</v>
      </c>
    </row>
    <row r="41" spans="1:14" ht="17">
      <c r="A41">
        <v>4</v>
      </c>
      <c r="B41" s="3">
        <v>12980</v>
      </c>
      <c r="C41">
        <f t="shared" si="1"/>
        <v>96</v>
      </c>
      <c r="D41" s="3">
        <v>66</v>
      </c>
      <c r="E41" s="3">
        <v>30</v>
      </c>
      <c r="G41" s="3">
        <v>38</v>
      </c>
      <c r="H41" t="s">
        <v>127</v>
      </c>
      <c r="I41">
        <v>21</v>
      </c>
      <c r="J41" s="17">
        <f t="shared" si="0"/>
        <v>1.0019083969465648E-2</v>
      </c>
      <c r="L41" t="s">
        <v>175</v>
      </c>
      <c r="M41" t="s">
        <v>129</v>
      </c>
      <c r="N41" s="17">
        <v>1.2244897959183673E-2</v>
      </c>
    </row>
    <row r="42" spans="1:14" ht="17">
      <c r="A42">
        <v>5</v>
      </c>
      <c r="B42" s="3">
        <v>22034</v>
      </c>
      <c r="C42">
        <f t="shared" si="1"/>
        <v>118</v>
      </c>
      <c r="D42" s="3">
        <v>36</v>
      </c>
      <c r="E42" s="3">
        <v>82</v>
      </c>
      <c r="G42" s="3">
        <v>39</v>
      </c>
      <c r="H42" t="s">
        <v>128</v>
      </c>
      <c r="I42">
        <v>6</v>
      </c>
      <c r="J42" s="17">
        <f t="shared" si="0"/>
        <v>2.8625954198473282E-3</v>
      </c>
      <c r="L42" t="s">
        <v>176</v>
      </c>
      <c r="M42" t="s">
        <v>151</v>
      </c>
      <c r="N42" s="17">
        <v>1.020408163265306E-2</v>
      </c>
    </row>
    <row r="43" spans="1:14" ht="17">
      <c r="A43">
        <v>6</v>
      </c>
      <c r="B43" s="3">
        <v>9215</v>
      </c>
      <c r="C43">
        <f t="shared" si="1"/>
        <v>64</v>
      </c>
      <c r="D43" s="3">
        <v>29</v>
      </c>
      <c r="E43" s="3">
        <v>35</v>
      </c>
      <c r="G43" s="3">
        <v>40</v>
      </c>
      <c r="H43" t="s">
        <v>129</v>
      </c>
      <c r="I43">
        <v>18</v>
      </c>
      <c r="J43" s="17">
        <f t="shared" si="0"/>
        <v>8.5877862595419852E-3</v>
      </c>
      <c r="L43" t="s">
        <v>177</v>
      </c>
      <c r="M43" s="19" t="s">
        <v>188</v>
      </c>
      <c r="N43" s="17">
        <v>8.8435374149659872E-3</v>
      </c>
    </row>
    <row r="44" spans="1:14" ht="17">
      <c r="A44">
        <v>7</v>
      </c>
      <c r="B44" s="3">
        <v>10779</v>
      </c>
      <c r="C44">
        <f t="shared" si="1"/>
        <v>77</v>
      </c>
      <c r="D44" s="3">
        <v>29</v>
      </c>
      <c r="E44" s="3">
        <v>48</v>
      </c>
      <c r="G44" s="3">
        <v>41</v>
      </c>
      <c r="H44" t="s">
        <v>130</v>
      </c>
      <c r="I44">
        <v>52</v>
      </c>
      <c r="J44" s="17">
        <f t="shared" si="0"/>
        <v>2.4809160305343511E-2</v>
      </c>
      <c r="L44" t="s">
        <v>177</v>
      </c>
      <c r="M44" t="s">
        <v>108</v>
      </c>
      <c r="N44" s="17">
        <v>8.8435374149659872E-3</v>
      </c>
    </row>
    <row r="45" spans="1:14" ht="17">
      <c r="A45">
        <v>8</v>
      </c>
      <c r="B45" s="3">
        <v>10907</v>
      </c>
      <c r="C45">
        <f t="shared" si="1"/>
        <v>84</v>
      </c>
      <c r="D45" s="3">
        <v>47</v>
      </c>
      <c r="E45" s="3">
        <v>37</v>
      </c>
      <c r="G45" s="3">
        <v>42</v>
      </c>
      <c r="H45" t="s">
        <v>150</v>
      </c>
      <c r="I45">
        <v>89</v>
      </c>
      <c r="J45" s="17">
        <f t="shared" si="0"/>
        <v>4.2461832061068704E-2</v>
      </c>
      <c r="L45" t="s">
        <v>177</v>
      </c>
      <c r="M45" t="s">
        <v>103</v>
      </c>
      <c r="N45" s="17">
        <v>8.8435374149659872E-3</v>
      </c>
    </row>
    <row r="46" spans="1:14" ht="17">
      <c r="A46">
        <v>9</v>
      </c>
      <c r="B46" s="3">
        <v>14285</v>
      </c>
      <c r="C46">
        <f t="shared" si="1"/>
        <v>115</v>
      </c>
      <c r="D46" s="3">
        <v>66</v>
      </c>
      <c r="E46" s="3">
        <v>49</v>
      </c>
      <c r="G46" s="3">
        <v>43</v>
      </c>
      <c r="H46" t="s">
        <v>151</v>
      </c>
      <c r="I46">
        <v>15</v>
      </c>
      <c r="J46" s="17">
        <f t="shared" si="0"/>
        <v>7.1564885496183204E-3</v>
      </c>
      <c r="L46" t="s">
        <v>178</v>
      </c>
      <c r="M46" t="s">
        <v>126</v>
      </c>
      <c r="N46" s="17">
        <v>7.4829931972789114E-3</v>
      </c>
    </row>
    <row r="47" spans="1:14" ht="17">
      <c r="A47">
        <v>10</v>
      </c>
      <c r="B47" s="3">
        <v>20377</v>
      </c>
      <c r="C47">
        <f t="shared" si="1"/>
        <v>136</v>
      </c>
      <c r="D47" s="3">
        <v>54</v>
      </c>
      <c r="E47" s="3">
        <v>82</v>
      </c>
      <c r="G47" s="3">
        <v>44</v>
      </c>
      <c r="H47" t="s">
        <v>131</v>
      </c>
      <c r="I47">
        <v>26</v>
      </c>
      <c r="J47" s="17">
        <f t="shared" si="0"/>
        <v>1.2404580152671756E-2</v>
      </c>
      <c r="L47" t="s">
        <v>179</v>
      </c>
      <c r="M47" t="s">
        <v>189</v>
      </c>
      <c r="N47" s="17">
        <v>6.8027210884353739E-3</v>
      </c>
    </row>
    <row r="48" spans="1:14" ht="17">
      <c r="A48">
        <v>11</v>
      </c>
      <c r="B48" s="3">
        <v>18556</v>
      </c>
      <c r="C48">
        <f t="shared" si="1"/>
        <v>132</v>
      </c>
      <c r="D48" s="3">
        <v>79</v>
      </c>
      <c r="E48" s="3">
        <v>53</v>
      </c>
      <c r="G48" s="3">
        <v>45</v>
      </c>
      <c r="H48" t="s">
        <v>132</v>
      </c>
      <c r="I48">
        <v>4</v>
      </c>
      <c r="J48" s="17">
        <f t="shared" si="0"/>
        <v>1.9083969465648854E-3</v>
      </c>
      <c r="L48" t="s">
        <v>179</v>
      </c>
      <c r="M48" t="s">
        <v>136</v>
      </c>
      <c r="N48" s="17">
        <v>6.8027210884353739E-3</v>
      </c>
    </row>
    <row r="49" spans="1:14" ht="17">
      <c r="A49">
        <v>12</v>
      </c>
      <c r="B49" s="3">
        <v>30056</v>
      </c>
      <c r="C49">
        <f t="shared" si="1"/>
        <v>197</v>
      </c>
      <c r="D49" s="3">
        <v>100</v>
      </c>
      <c r="E49" s="3">
        <v>97</v>
      </c>
      <c r="G49" s="3">
        <v>46</v>
      </c>
      <c r="H49" t="s">
        <v>21</v>
      </c>
      <c r="I49">
        <v>28</v>
      </c>
      <c r="J49" s="17">
        <f t="shared" si="0"/>
        <v>1.3358778625954198E-2</v>
      </c>
      <c r="L49" t="s">
        <v>179</v>
      </c>
      <c r="M49" t="s">
        <v>190</v>
      </c>
      <c r="N49" s="17">
        <v>6.8027210884353739E-3</v>
      </c>
    </row>
    <row r="50" spans="1:14" ht="17">
      <c r="A50">
        <v>13</v>
      </c>
      <c r="B50" s="3">
        <v>9166</v>
      </c>
      <c r="C50">
        <f t="shared" si="1"/>
        <v>68</v>
      </c>
      <c r="D50" s="3">
        <v>17</v>
      </c>
      <c r="E50" s="3">
        <v>51</v>
      </c>
      <c r="G50" s="3">
        <v>47</v>
      </c>
      <c r="H50" t="s">
        <v>133</v>
      </c>
      <c r="I50">
        <v>46</v>
      </c>
      <c r="J50" s="17">
        <f t="shared" si="0"/>
        <v>2.1946564885496182E-2</v>
      </c>
      <c r="L50" t="s">
        <v>179</v>
      </c>
      <c r="M50" t="s">
        <v>117</v>
      </c>
      <c r="N50" s="17">
        <v>6.8027210884353739E-3</v>
      </c>
    </row>
    <row r="51" spans="1:14" ht="17">
      <c r="A51">
        <v>14</v>
      </c>
      <c r="B51" s="3">
        <v>14856</v>
      </c>
      <c r="C51">
        <f t="shared" si="1"/>
        <v>113</v>
      </c>
      <c r="D51" s="3">
        <v>50</v>
      </c>
      <c r="E51" s="3">
        <v>63</v>
      </c>
      <c r="G51" s="3">
        <v>48</v>
      </c>
      <c r="H51" t="s">
        <v>188</v>
      </c>
      <c r="I51">
        <v>13</v>
      </c>
      <c r="J51" s="17">
        <f t="shared" si="0"/>
        <v>6.2022900763358778E-3</v>
      </c>
      <c r="L51" t="s">
        <v>180</v>
      </c>
      <c r="M51" t="s">
        <v>120</v>
      </c>
      <c r="N51" s="17">
        <v>6.1224489795918364E-3</v>
      </c>
    </row>
    <row r="52" spans="1:14" ht="17">
      <c r="A52">
        <v>15</v>
      </c>
      <c r="B52" s="3">
        <v>20103</v>
      </c>
      <c r="C52">
        <f t="shared" si="1"/>
        <v>137</v>
      </c>
      <c r="D52" s="3">
        <v>86</v>
      </c>
      <c r="E52" s="3">
        <v>51</v>
      </c>
      <c r="G52" s="3">
        <v>49</v>
      </c>
      <c r="H52" t="s">
        <v>134</v>
      </c>
      <c r="I52">
        <v>36</v>
      </c>
      <c r="J52" s="17">
        <f t="shared" si="0"/>
        <v>1.717557251908397E-2</v>
      </c>
      <c r="L52" t="s">
        <v>180</v>
      </c>
      <c r="M52" t="s">
        <v>191</v>
      </c>
      <c r="N52" s="17">
        <v>6.1224489795918364E-3</v>
      </c>
    </row>
    <row r="53" spans="1:14" ht="17">
      <c r="A53">
        <v>16</v>
      </c>
      <c r="B53" s="3">
        <v>15166</v>
      </c>
      <c r="C53">
        <f t="shared" si="1"/>
        <v>107</v>
      </c>
      <c r="D53" s="3">
        <v>51</v>
      </c>
      <c r="E53" s="3">
        <v>56</v>
      </c>
      <c r="G53" s="3">
        <v>50</v>
      </c>
      <c r="H53" t="s">
        <v>135</v>
      </c>
      <c r="I53">
        <v>33</v>
      </c>
      <c r="J53" s="17">
        <f t="shared" si="0"/>
        <v>1.5744274809160304E-2</v>
      </c>
      <c r="L53" t="s">
        <v>181</v>
      </c>
      <c r="M53" t="s">
        <v>104</v>
      </c>
      <c r="N53" s="17">
        <v>4.7619047619047623E-3</v>
      </c>
    </row>
    <row r="54" spans="1:14" ht="17">
      <c r="A54">
        <v>17</v>
      </c>
      <c r="B54" s="3">
        <v>26344</v>
      </c>
      <c r="C54">
        <f t="shared" si="1"/>
        <v>173</v>
      </c>
      <c r="D54" s="3">
        <v>86</v>
      </c>
      <c r="E54" s="3">
        <v>87</v>
      </c>
      <c r="G54" s="3">
        <v>51</v>
      </c>
      <c r="H54" t="s">
        <v>136</v>
      </c>
      <c r="I54">
        <v>10</v>
      </c>
      <c r="J54" s="17">
        <f t="shared" si="0"/>
        <v>4.7709923664122139E-3</v>
      </c>
      <c r="L54" t="s">
        <v>181</v>
      </c>
      <c r="M54" t="s">
        <v>102</v>
      </c>
      <c r="N54" s="17">
        <v>4.7619047619047623E-3</v>
      </c>
    </row>
    <row r="55" spans="1:14" ht="17">
      <c r="A55">
        <v>18</v>
      </c>
      <c r="B55" s="3">
        <v>18826</v>
      </c>
      <c r="C55">
        <f t="shared" si="1"/>
        <v>135</v>
      </c>
      <c r="D55" s="3">
        <v>83</v>
      </c>
      <c r="E55" s="3">
        <v>52</v>
      </c>
      <c r="G55" s="3">
        <v>52</v>
      </c>
      <c r="H55" t="s">
        <v>186</v>
      </c>
      <c r="I55">
        <v>4</v>
      </c>
      <c r="J55" s="17">
        <f t="shared" si="0"/>
        <v>1.9083969465648854E-3</v>
      </c>
      <c r="L55" t="s">
        <v>181</v>
      </c>
      <c r="M55" t="s">
        <v>119</v>
      </c>
      <c r="N55" s="17">
        <v>4.7619047619047623E-3</v>
      </c>
    </row>
    <row r="56" spans="1:14" ht="17">
      <c r="A56">
        <v>19</v>
      </c>
      <c r="B56" s="3">
        <v>30405</v>
      </c>
      <c r="C56">
        <f t="shared" si="1"/>
        <v>195</v>
      </c>
      <c r="D56" s="3">
        <v>55</v>
      </c>
      <c r="E56" s="3">
        <v>140</v>
      </c>
      <c r="H56" t="s">
        <v>140</v>
      </c>
      <c r="I56">
        <v>6</v>
      </c>
      <c r="J56" s="17">
        <f t="shared" si="0"/>
        <v>2.8625954198473282E-3</v>
      </c>
      <c r="L56" t="s">
        <v>182</v>
      </c>
      <c r="M56" t="s">
        <v>139</v>
      </c>
      <c r="N56" s="17">
        <v>4.0816326530612249E-3</v>
      </c>
    </row>
    <row r="57" spans="1:14" ht="17">
      <c r="A57">
        <v>20</v>
      </c>
      <c r="B57" s="3">
        <v>16041</v>
      </c>
      <c r="C57">
        <f t="shared" si="1"/>
        <v>115</v>
      </c>
      <c r="D57" s="3">
        <v>59</v>
      </c>
      <c r="E57" s="3">
        <v>56</v>
      </c>
      <c r="H57" t="s">
        <v>141</v>
      </c>
      <c r="I57">
        <v>10</v>
      </c>
      <c r="J57" s="17">
        <f t="shared" si="0"/>
        <v>4.7709923664122139E-3</v>
      </c>
      <c r="L57" t="s">
        <v>182</v>
      </c>
      <c r="M57" t="s">
        <v>128</v>
      </c>
      <c r="N57" s="17">
        <v>4.0816326530612249E-3</v>
      </c>
    </row>
    <row r="58" spans="1:14" ht="17">
      <c r="A58">
        <v>21</v>
      </c>
      <c r="B58" s="3">
        <v>20177</v>
      </c>
      <c r="C58">
        <f t="shared" si="1"/>
        <v>144</v>
      </c>
      <c r="D58" s="3">
        <v>87</v>
      </c>
      <c r="E58" s="3">
        <v>57</v>
      </c>
      <c r="H58" t="s">
        <v>142</v>
      </c>
      <c r="I58">
        <v>4</v>
      </c>
      <c r="J58" s="17">
        <f t="shared" si="0"/>
        <v>1.9083969465648854E-3</v>
      </c>
      <c r="L58" t="s">
        <v>183</v>
      </c>
      <c r="M58" t="s">
        <v>142</v>
      </c>
      <c r="N58" s="17">
        <v>2.7210884353741495E-3</v>
      </c>
    </row>
    <row r="59" spans="1:14" ht="17">
      <c r="A59">
        <v>22</v>
      </c>
      <c r="B59" s="3">
        <v>22984</v>
      </c>
      <c r="C59">
        <f t="shared" si="1"/>
        <v>171</v>
      </c>
      <c r="D59" s="3">
        <v>87</v>
      </c>
      <c r="E59" s="3">
        <v>84</v>
      </c>
      <c r="G59" t="s">
        <v>94</v>
      </c>
      <c r="J59" s="17"/>
      <c r="L59" t="s">
        <v>183</v>
      </c>
      <c r="M59" t="s">
        <v>186</v>
      </c>
      <c r="N59" s="17">
        <v>2.7210884353741495E-3</v>
      </c>
    </row>
    <row r="60" spans="1:14" ht="17">
      <c r="A60">
        <v>23</v>
      </c>
      <c r="B60" s="3">
        <v>20265</v>
      </c>
      <c r="C60">
        <f t="shared" si="1"/>
        <v>136</v>
      </c>
      <c r="D60" s="3">
        <v>76</v>
      </c>
      <c r="E60" s="3">
        <v>60</v>
      </c>
      <c r="G60" s="3">
        <v>53</v>
      </c>
      <c r="H60" t="s">
        <v>137</v>
      </c>
      <c r="I60">
        <v>15</v>
      </c>
      <c r="J60" s="17">
        <f t="shared" si="0"/>
        <v>7.1564885496183204E-3</v>
      </c>
      <c r="L60" t="s">
        <v>183</v>
      </c>
      <c r="M60" t="s">
        <v>132</v>
      </c>
      <c r="N60" s="17">
        <v>2.7210884353741495E-3</v>
      </c>
    </row>
    <row r="61" spans="1:14" ht="17">
      <c r="A61">
        <v>24</v>
      </c>
      <c r="B61" s="3">
        <v>26107</v>
      </c>
      <c r="C61">
        <f t="shared" si="1"/>
        <v>171</v>
      </c>
      <c r="D61" s="3">
        <v>68</v>
      </c>
      <c r="E61" s="3">
        <v>103</v>
      </c>
      <c r="G61" s="3">
        <v>54</v>
      </c>
      <c r="H61" t="s">
        <v>138</v>
      </c>
      <c r="I61">
        <v>11</v>
      </c>
      <c r="J61" s="17">
        <f t="shared" si="0"/>
        <v>5.2480916030534352E-3</v>
      </c>
      <c r="M61" t="s">
        <v>44</v>
      </c>
      <c r="N61" s="17">
        <f>SUM(N14:N60)</f>
        <v>1</v>
      </c>
    </row>
    <row r="62" spans="1:14" ht="17">
      <c r="A62">
        <v>25</v>
      </c>
      <c r="B62" s="3">
        <v>13484</v>
      </c>
      <c r="C62">
        <f t="shared" si="1"/>
        <v>103</v>
      </c>
      <c r="D62" s="3">
        <v>78</v>
      </c>
      <c r="E62" s="3">
        <v>25</v>
      </c>
      <c r="G62" s="3">
        <v>55</v>
      </c>
      <c r="H62" t="s">
        <v>59</v>
      </c>
      <c r="I62">
        <v>15</v>
      </c>
      <c r="J62" s="17">
        <f t="shared" si="0"/>
        <v>7.1564885496183204E-3</v>
      </c>
    </row>
    <row r="63" spans="1:14" ht="17">
      <c r="A63">
        <v>26</v>
      </c>
      <c r="B63" s="3">
        <v>41724</v>
      </c>
      <c r="C63">
        <f t="shared" si="1"/>
        <v>296</v>
      </c>
      <c r="D63" s="3">
        <v>121</v>
      </c>
      <c r="E63" s="3">
        <v>175</v>
      </c>
      <c r="G63" s="3">
        <v>56</v>
      </c>
      <c r="H63" t="s">
        <v>135</v>
      </c>
      <c r="I63">
        <v>8</v>
      </c>
      <c r="J63" s="17">
        <f t="shared" si="0"/>
        <v>3.8167938931297708E-3</v>
      </c>
      <c r="L63" t="s">
        <v>195</v>
      </c>
    </row>
    <row r="64" spans="1:14" ht="17">
      <c r="A64">
        <v>27</v>
      </c>
      <c r="B64" s="3">
        <v>14969</v>
      </c>
      <c r="C64">
        <f t="shared" si="1"/>
        <v>112</v>
      </c>
      <c r="D64" s="3">
        <v>61</v>
      </c>
      <c r="E64" s="3">
        <v>51</v>
      </c>
      <c r="G64" t="s">
        <v>144</v>
      </c>
      <c r="J64" s="17"/>
      <c r="L64" t="s">
        <v>152</v>
      </c>
      <c r="M64" t="s">
        <v>196</v>
      </c>
      <c r="N64" s="17">
        <v>0.30612244897959184</v>
      </c>
    </row>
    <row r="65" spans="1:14" ht="17">
      <c r="A65">
        <v>28</v>
      </c>
      <c r="B65" s="3">
        <v>18267</v>
      </c>
      <c r="C65">
        <f t="shared" si="1"/>
        <v>128</v>
      </c>
      <c r="D65" s="3">
        <v>70</v>
      </c>
      <c r="E65" s="3">
        <v>58</v>
      </c>
      <c r="G65">
        <v>57</v>
      </c>
      <c r="H65" t="s">
        <v>145</v>
      </c>
      <c r="I65">
        <v>29</v>
      </c>
      <c r="J65" s="17">
        <f t="shared" si="0"/>
        <v>1.383587786259542E-2</v>
      </c>
      <c r="L65" t="s">
        <v>156</v>
      </c>
      <c r="M65" t="s">
        <v>59</v>
      </c>
      <c r="N65" s="17">
        <v>0.30612244897959184</v>
      </c>
    </row>
    <row r="66" spans="1:14" ht="17">
      <c r="A66">
        <v>29</v>
      </c>
      <c r="B66" s="3">
        <v>20023</v>
      </c>
      <c r="C66">
        <f t="shared" si="1"/>
        <v>142</v>
      </c>
      <c r="D66" s="3">
        <v>71</v>
      </c>
      <c r="E66" s="3">
        <v>71</v>
      </c>
      <c r="G66">
        <v>58</v>
      </c>
      <c r="H66" t="s">
        <v>146</v>
      </c>
      <c r="I66">
        <v>68</v>
      </c>
      <c r="J66" s="17">
        <f t="shared" si="0"/>
        <v>3.2442748091603052E-2</v>
      </c>
      <c r="L66" t="s">
        <v>155</v>
      </c>
      <c r="M66" t="s">
        <v>138</v>
      </c>
      <c r="N66" s="17">
        <v>0.22448979591836735</v>
      </c>
    </row>
    <row r="67" spans="1:14" ht="17">
      <c r="A67">
        <v>30</v>
      </c>
      <c r="B67" s="3">
        <v>16316</v>
      </c>
      <c r="C67">
        <f t="shared" si="1"/>
        <v>113</v>
      </c>
      <c r="D67" s="3">
        <v>49</v>
      </c>
      <c r="E67" s="3">
        <v>64</v>
      </c>
      <c r="G67">
        <v>59</v>
      </c>
      <c r="H67" t="s">
        <v>149</v>
      </c>
      <c r="I67">
        <v>43</v>
      </c>
      <c r="J67" s="17">
        <f t="shared" si="0"/>
        <v>2.0515267175572519E-2</v>
      </c>
      <c r="L67" t="s">
        <v>154</v>
      </c>
      <c r="M67" t="s">
        <v>135</v>
      </c>
      <c r="N67" s="17">
        <v>0.16326530612244897</v>
      </c>
    </row>
    <row r="68" spans="1:14">
      <c r="A68" t="s">
        <v>206</v>
      </c>
      <c r="B68">
        <f>SUM(B38:B67)</f>
        <v>554408</v>
      </c>
      <c r="C68">
        <f>SUM(C38:C67)</f>
        <v>3865</v>
      </c>
      <c r="D68">
        <f>SUM(D38:D67)</f>
        <v>1889</v>
      </c>
      <c r="E68">
        <f>SUM(E38:E67)</f>
        <v>1976</v>
      </c>
      <c r="G68">
        <v>60</v>
      </c>
      <c r="H68" t="s">
        <v>147</v>
      </c>
      <c r="I68">
        <v>19</v>
      </c>
      <c r="J68" s="17">
        <f t="shared" si="0"/>
        <v>9.0648854961832056E-3</v>
      </c>
      <c r="M68" t="s">
        <v>44</v>
      </c>
      <c r="N68" s="17">
        <f>SUM(N64:N67)</f>
        <v>1</v>
      </c>
    </row>
    <row r="69" spans="1:14">
      <c r="G69">
        <v>61</v>
      </c>
      <c r="H69" t="s">
        <v>148</v>
      </c>
      <c r="I69">
        <v>36</v>
      </c>
      <c r="J69" s="17">
        <f t="shared" ref="J69:J71" si="2">I69/$I$73</f>
        <v>1.717557251908397E-2</v>
      </c>
    </row>
    <row r="70" spans="1:14">
      <c r="A70" t="s">
        <v>210</v>
      </c>
      <c r="C70">
        <f>C68+C35</f>
        <v>7500</v>
      </c>
      <c r="J70" s="17"/>
    </row>
    <row r="71" spans="1:14">
      <c r="H71" t="s">
        <v>143</v>
      </c>
      <c r="I71">
        <v>145</v>
      </c>
      <c r="J71" s="17">
        <f t="shared" si="2"/>
        <v>6.9179389312977096E-2</v>
      </c>
      <c r="L71" t="s">
        <v>197</v>
      </c>
    </row>
    <row r="72" spans="1:14">
      <c r="J72" s="17"/>
      <c r="L72" t="s">
        <v>198</v>
      </c>
      <c r="M72" t="s">
        <v>146</v>
      </c>
      <c r="N72" s="17">
        <v>0.3487179487179487</v>
      </c>
    </row>
    <row r="73" spans="1:14">
      <c r="H73" t="s">
        <v>193</v>
      </c>
      <c r="I73">
        <f>SUM(I4:I71)</f>
        <v>2096</v>
      </c>
      <c r="J73" s="17">
        <f>SUM(J4:J71)</f>
        <v>1</v>
      </c>
      <c r="L73" t="s">
        <v>199</v>
      </c>
      <c r="M73" t="s">
        <v>149</v>
      </c>
      <c r="N73" s="17">
        <v>0.22051282051282051</v>
      </c>
    </row>
    <row r="74" spans="1:14">
      <c r="J74" s="17"/>
      <c r="L74" t="s">
        <v>200</v>
      </c>
      <c r="M74" t="s">
        <v>148</v>
      </c>
      <c r="N74" s="17">
        <v>0.18461538461538463</v>
      </c>
    </row>
    <row r="75" spans="1:14">
      <c r="J75" s="17"/>
      <c r="L75" t="s">
        <v>201</v>
      </c>
      <c r="M75" t="s">
        <v>145</v>
      </c>
      <c r="N75" s="17">
        <v>0.14871794871794872</v>
      </c>
    </row>
    <row r="76" spans="1:14">
      <c r="J76" s="17"/>
      <c r="L76" t="s">
        <v>202</v>
      </c>
      <c r="M76" t="s">
        <v>147</v>
      </c>
      <c r="N76" s="17">
        <v>9.7435897435897437E-2</v>
      </c>
    </row>
    <row r="77" spans="1:14">
      <c r="J77" s="17"/>
      <c r="M77" t="s">
        <v>44</v>
      </c>
      <c r="N77" s="17">
        <f>SUM(N72:N76)</f>
        <v>1</v>
      </c>
    </row>
    <row r="78" spans="1:14" ht="17" thickBot="1">
      <c r="C78" s="115" t="s">
        <v>260</v>
      </c>
      <c r="D78" t="s">
        <v>366</v>
      </c>
    </row>
    <row r="79" spans="1:14" ht="17">
      <c r="B79" s="22">
        <v>1</v>
      </c>
      <c r="C79" s="23" t="s">
        <v>95</v>
      </c>
      <c r="D79" s="24">
        <f>$C$70*$J4</f>
        <v>547.47137404580155</v>
      </c>
      <c r="G79" s="50"/>
      <c r="H79" s="26"/>
      <c r="I79" s="64"/>
    </row>
    <row r="80" spans="1:14" ht="17">
      <c r="B80" s="25">
        <v>2</v>
      </c>
      <c r="C80" s="26" t="s">
        <v>96</v>
      </c>
      <c r="D80" s="27">
        <f t="shared" ref="D80:D143" si="3">$C$70*$J5</f>
        <v>67.986641221374043</v>
      </c>
      <c r="G80" s="50"/>
      <c r="H80" s="26"/>
      <c r="I80" s="64"/>
    </row>
    <row r="81" spans="2:9" ht="17">
      <c r="B81" s="25">
        <v>3</v>
      </c>
      <c r="C81" s="26" t="s">
        <v>97</v>
      </c>
      <c r="D81" s="27">
        <f t="shared" si="3"/>
        <v>32.204198473282446</v>
      </c>
      <c r="G81" s="50"/>
      <c r="H81" s="26"/>
      <c r="I81" s="64"/>
    </row>
    <row r="82" spans="2:9" ht="17">
      <c r="B82" s="25">
        <v>4</v>
      </c>
      <c r="C82" s="26" t="s">
        <v>98</v>
      </c>
      <c r="D82" s="27">
        <f t="shared" si="3"/>
        <v>17.891221374045802</v>
      </c>
      <c r="G82" s="50"/>
      <c r="H82" s="26"/>
      <c r="I82" s="64"/>
    </row>
    <row r="83" spans="2:9" ht="17">
      <c r="B83" s="25">
        <v>5</v>
      </c>
      <c r="C83" s="26" t="s">
        <v>99</v>
      </c>
      <c r="D83" s="27">
        <f t="shared" si="3"/>
        <v>7.1564885496183201</v>
      </c>
      <c r="G83" s="50"/>
      <c r="H83" s="26"/>
      <c r="I83" s="64"/>
    </row>
    <row r="84" spans="2:9" ht="17">
      <c r="B84" s="25">
        <v>6</v>
      </c>
      <c r="C84" s="26" t="s">
        <v>100</v>
      </c>
      <c r="D84" s="27">
        <f t="shared" si="3"/>
        <v>7.1564885496183201</v>
      </c>
      <c r="G84" s="50"/>
      <c r="H84" s="26"/>
      <c r="I84" s="64"/>
    </row>
    <row r="85" spans="2:9" ht="18" thickBot="1">
      <c r="B85" s="25">
        <v>7</v>
      </c>
      <c r="C85" s="26" t="s">
        <v>101</v>
      </c>
      <c r="D85" s="27">
        <f t="shared" si="3"/>
        <v>168.17748091603053</v>
      </c>
      <c r="G85" s="50"/>
      <c r="H85" s="26"/>
      <c r="I85" s="64"/>
    </row>
    <row r="86" spans="2:9" ht="17" thickBot="1">
      <c r="B86" s="28" t="s">
        <v>93</v>
      </c>
      <c r="C86" s="69" t="s">
        <v>332</v>
      </c>
      <c r="D86" s="70">
        <f>SUM(D79:D85)</f>
        <v>848.04389312977094</v>
      </c>
      <c r="G86" s="26"/>
      <c r="H86" s="74"/>
      <c r="I86" s="26"/>
    </row>
    <row r="87" spans="2:9" ht="17">
      <c r="B87" s="25">
        <v>9</v>
      </c>
      <c r="C87" s="26" t="s">
        <v>102</v>
      </c>
      <c r="D87" s="27">
        <f t="shared" si="3"/>
        <v>25.047709923664122</v>
      </c>
      <c r="G87" s="50"/>
      <c r="H87" s="26"/>
      <c r="I87" s="64"/>
    </row>
    <row r="88" spans="2:9" ht="17">
      <c r="B88" s="25">
        <v>10</v>
      </c>
      <c r="C88" s="26" t="s">
        <v>103</v>
      </c>
      <c r="D88" s="27">
        <f t="shared" si="3"/>
        <v>46.517175572519086</v>
      </c>
      <c r="G88" s="50"/>
      <c r="H88" s="26"/>
      <c r="I88" s="64"/>
    </row>
    <row r="89" spans="2:9" ht="17">
      <c r="B89" s="25">
        <v>11</v>
      </c>
      <c r="C89" s="26" t="s">
        <v>104</v>
      </c>
      <c r="D89" s="27">
        <f>$C$70*$J14</f>
        <v>25.047709923664122</v>
      </c>
      <c r="G89" s="50"/>
      <c r="H89" s="26"/>
      <c r="I89" s="64"/>
    </row>
    <row r="90" spans="2:9" ht="17">
      <c r="B90" s="25">
        <v>12</v>
      </c>
      <c r="C90" s="26" t="s">
        <v>105</v>
      </c>
      <c r="D90" s="27">
        <f t="shared" si="3"/>
        <v>71.564885496183209</v>
      </c>
      <c r="G90" s="50"/>
      <c r="H90" s="26"/>
      <c r="I90" s="64"/>
    </row>
    <row r="91" spans="2:9" ht="17">
      <c r="B91" s="25">
        <v>13</v>
      </c>
      <c r="C91" s="26" t="s">
        <v>106</v>
      </c>
      <c r="D91" s="27">
        <f t="shared" si="3"/>
        <v>128.81679389312978</v>
      </c>
      <c r="G91" s="50"/>
      <c r="H91" s="26"/>
      <c r="I91" s="64"/>
    </row>
    <row r="92" spans="2:9" ht="17">
      <c r="B92" s="25">
        <v>14</v>
      </c>
      <c r="C92" s="26" t="s">
        <v>107</v>
      </c>
      <c r="D92" s="27">
        <f t="shared" si="3"/>
        <v>35.782442748091604</v>
      </c>
      <c r="G92" s="50"/>
      <c r="H92" s="26"/>
      <c r="I92" s="64"/>
    </row>
    <row r="93" spans="2:9" ht="17">
      <c r="B93" s="25">
        <v>15</v>
      </c>
      <c r="C93" s="26" t="s">
        <v>108</v>
      </c>
      <c r="D93" s="27">
        <f t="shared" si="3"/>
        <v>46.517175572519086</v>
      </c>
      <c r="G93" s="50"/>
      <c r="H93" s="26"/>
      <c r="I93" s="64"/>
    </row>
    <row r="94" spans="2:9" ht="17">
      <c r="B94" s="25">
        <v>16</v>
      </c>
      <c r="C94" s="26" t="s">
        <v>109</v>
      </c>
      <c r="D94" s="27">
        <f t="shared" si="3"/>
        <v>93.034351145038173</v>
      </c>
      <c r="G94" s="50"/>
      <c r="H94" s="26"/>
      <c r="I94" s="64"/>
    </row>
    <row r="95" spans="2:9" ht="17">
      <c r="B95" s="25">
        <v>17</v>
      </c>
      <c r="C95" s="26" t="s">
        <v>110</v>
      </c>
      <c r="D95" s="27">
        <f t="shared" si="3"/>
        <v>93.034351145038173</v>
      </c>
      <c r="G95" s="50"/>
      <c r="H95" s="26"/>
      <c r="I95" s="64"/>
    </row>
    <row r="96" spans="2:9" ht="17">
      <c r="B96" s="25">
        <v>18</v>
      </c>
      <c r="C96" s="26" t="s">
        <v>111</v>
      </c>
      <c r="D96" s="27">
        <f t="shared" si="3"/>
        <v>332.77671755725191</v>
      </c>
      <c r="G96" s="50"/>
      <c r="H96" s="26"/>
      <c r="I96" s="64"/>
    </row>
    <row r="97" spans="2:9" ht="17">
      <c r="B97" s="25">
        <v>19</v>
      </c>
      <c r="C97" s="26" t="s">
        <v>185</v>
      </c>
      <c r="D97" s="27">
        <f t="shared" si="3"/>
        <v>71.564885496183209</v>
      </c>
      <c r="G97" s="50"/>
      <c r="H97" s="26"/>
      <c r="I97" s="64"/>
    </row>
    <row r="98" spans="2:9" ht="17">
      <c r="B98" s="25">
        <v>20</v>
      </c>
      <c r="C98" s="26" t="s">
        <v>112</v>
      </c>
      <c r="D98" s="27">
        <f t="shared" si="3"/>
        <v>221.85114503816794</v>
      </c>
      <c r="G98" s="50"/>
      <c r="H98" s="26"/>
      <c r="I98" s="64"/>
    </row>
    <row r="99" spans="2:9" ht="17">
      <c r="B99" s="25">
        <v>21</v>
      </c>
      <c r="C99" s="26" t="s">
        <v>113</v>
      </c>
      <c r="D99" s="27">
        <f t="shared" si="3"/>
        <v>132.39503816793894</v>
      </c>
      <c r="G99" s="50"/>
      <c r="H99" s="26"/>
      <c r="I99" s="64"/>
    </row>
    <row r="100" spans="2:9" ht="17">
      <c r="B100" s="25">
        <v>22</v>
      </c>
      <c r="C100" s="26" t="s">
        <v>114</v>
      </c>
      <c r="D100" s="27">
        <f t="shared" si="3"/>
        <v>347.08969465648858</v>
      </c>
      <c r="G100" s="50"/>
      <c r="H100" s="26"/>
      <c r="I100" s="64"/>
    </row>
    <row r="101" spans="2:9" ht="17">
      <c r="B101" s="25">
        <v>23</v>
      </c>
      <c r="C101" s="26" t="s">
        <v>115</v>
      </c>
      <c r="D101" s="27">
        <f t="shared" si="3"/>
        <v>128.81679389312978</v>
      </c>
      <c r="G101" s="50"/>
      <c r="H101" s="26"/>
      <c r="I101" s="64"/>
    </row>
    <row r="102" spans="2:9" ht="17">
      <c r="B102" s="25">
        <v>24</v>
      </c>
      <c r="C102" s="26" t="s">
        <v>20</v>
      </c>
      <c r="D102" s="27">
        <f t="shared" si="3"/>
        <v>207.53816793893131</v>
      </c>
      <c r="G102" s="50"/>
      <c r="H102" s="26"/>
      <c r="I102" s="64"/>
    </row>
    <row r="103" spans="2:9" ht="17">
      <c r="B103" s="25">
        <v>25</v>
      </c>
      <c r="C103" s="26" t="s">
        <v>116</v>
      </c>
      <c r="D103" s="27">
        <f t="shared" si="3"/>
        <v>143.12977099236642</v>
      </c>
      <c r="G103" s="50"/>
      <c r="H103" s="26"/>
      <c r="I103" s="64"/>
    </row>
    <row r="104" spans="2:9" ht="17">
      <c r="B104" s="25">
        <v>26</v>
      </c>
      <c r="C104" s="26" t="s">
        <v>117</v>
      </c>
      <c r="D104" s="27">
        <f t="shared" si="3"/>
        <v>35.782442748091604</v>
      </c>
      <c r="G104" s="50"/>
      <c r="H104" s="26"/>
      <c r="I104" s="64"/>
    </row>
    <row r="105" spans="2:9" ht="17">
      <c r="B105" s="25">
        <v>27</v>
      </c>
      <c r="C105" s="26" t="s">
        <v>118</v>
      </c>
      <c r="D105" s="27">
        <f t="shared" si="3"/>
        <v>175.33396946564886</v>
      </c>
      <c r="G105" s="50"/>
      <c r="H105" s="26"/>
      <c r="I105" s="64"/>
    </row>
    <row r="106" spans="2:9" ht="17">
      <c r="B106" s="25">
        <v>28</v>
      </c>
      <c r="C106" s="26" t="s">
        <v>119</v>
      </c>
      <c r="D106" s="27">
        <f t="shared" si="3"/>
        <v>25.047709923664122</v>
      </c>
      <c r="G106" s="50"/>
      <c r="H106" s="26"/>
      <c r="I106" s="64"/>
    </row>
    <row r="107" spans="2:9" ht="17">
      <c r="B107" s="25">
        <v>29</v>
      </c>
      <c r="C107" s="26" t="s">
        <v>120</v>
      </c>
      <c r="D107" s="27">
        <f t="shared" si="3"/>
        <v>32.204198473282446</v>
      </c>
      <c r="G107" s="50"/>
      <c r="H107" s="26"/>
      <c r="I107" s="64"/>
    </row>
    <row r="108" spans="2:9" ht="17">
      <c r="B108" s="25">
        <v>30</v>
      </c>
      <c r="C108" s="26" t="s">
        <v>121</v>
      </c>
      <c r="D108" s="27">
        <f t="shared" si="3"/>
        <v>189.6469465648855</v>
      </c>
      <c r="G108" s="50"/>
      <c r="H108" s="26"/>
      <c r="I108" s="64"/>
    </row>
    <row r="109" spans="2:9" ht="17">
      <c r="B109" s="25">
        <v>31</v>
      </c>
      <c r="C109" s="26" t="s">
        <v>122</v>
      </c>
      <c r="D109" s="27">
        <f t="shared" si="3"/>
        <v>568.94083969465646</v>
      </c>
      <c r="G109" s="50"/>
      <c r="H109" s="26"/>
      <c r="I109" s="64"/>
    </row>
    <row r="110" spans="2:9" ht="17">
      <c r="B110" s="25">
        <v>32</v>
      </c>
      <c r="C110" s="26" t="s">
        <v>187</v>
      </c>
      <c r="D110" s="27">
        <f t="shared" si="3"/>
        <v>64.408396946564892</v>
      </c>
      <c r="G110" s="50"/>
      <c r="H110" s="26"/>
      <c r="I110" s="64"/>
    </row>
    <row r="111" spans="2:9" ht="17">
      <c r="B111" s="25">
        <v>33</v>
      </c>
      <c r="C111" s="26" t="s">
        <v>123</v>
      </c>
      <c r="D111" s="27">
        <f t="shared" si="3"/>
        <v>89.456106870229007</v>
      </c>
      <c r="G111" s="50"/>
      <c r="H111" s="26"/>
      <c r="I111" s="64"/>
    </row>
    <row r="112" spans="2:9" ht="17">
      <c r="B112" s="25">
        <v>34</v>
      </c>
      <c r="C112" s="26" t="s">
        <v>124</v>
      </c>
      <c r="D112" s="27">
        <f t="shared" si="3"/>
        <v>32.204198473282446</v>
      </c>
      <c r="G112" s="50"/>
      <c r="H112" s="26"/>
      <c r="I112" s="64"/>
    </row>
    <row r="113" spans="2:9" ht="17">
      <c r="B113" s="25">
        <v>35</v>
      </c>
      <c r="C113" s="26" t="s">
        <v>22</v>
      </c>
      <c r="D113" s="27">
        <f t="shared" si="3"/>
        <v>96.612595419847338</v>
      </c>
      <c r="G113" s="50"/>
      <c r="H113" s="26"/>
      <c r="I113" s="64"/>
    </row>
    <row r="114" spans="2:9" ht="17">
      <c r="B114" s="25">
        <v>36</v>
      </c>
      <c r="C114" s="26" t="s">
        <v>125</v>
      </c>
      <c r="D114" s="27">
        <f t="shared" si="3"/>
        <v>254.05534351145039</v>
      </c>
      <c r="G114" s="50"/>
      <c r="H114" s="26"/>
      <c r="I114" s="64"/>
    </row>
    <row r="115" spans="2:9" ht="17">
      <c r="B115" s="25">
        <v>37</v>
      </c>
      <c r="C115" s="26" t="s">
        <v>126</v>
      </c>
      <c r="D115" s="27">
        <f t="shared" si="3"/>
        <v>39.360687022900763</v>
      </c>
      <c r="G115" s="50"/>
      <c r="H115" s="26"/>
      <c r="I115" s="64"/>
    </row>
    <row r="116" spans="2:9" ht="17">
      <c r="B116" s="25">
        <v>38</v>
      </c>
      <c r="C116" s="26" t="s">
        <v>127</v>
      </c>
      <c r="D116" s="27">
        <f t="shared" si="3"/>
        <v>75.14312977099236</v>
      </c>
      <c r="G116" s="50"/>
      <c r="H116" s="26"/>
      <c r="I116" s="64"/>
    </row>
    <row r="117" spans="2:9" ht="17">
      <c r="B117" s="25">
        <v>39</v>
      </c>
      <c r="C117" s="26" t="s">
        <v>128</v>
      </c>
      <c r="D117" s="27">
        <f t="shared" si="3"/>
        <v>21.46946564885496</v>
      </c>
      <c r="G117" s="50"/>
      <c r="H117" s="26"/>
      <c r="I117" s="64"/>
    </row>
    <row r="118" spans="2:9" ht="17">
      <c r="B118" s="25">
        <v>40</v>
      </c>
      <c r="C118" s="26" t="s">
        <v>129</v>
      </c>
      <c r="D118" s="27">
        <f t="shared" si="3"/>
        <v>64.408396946564892</v>
      </c>
      <c r="G118" s="50"/>
      <c r="H118" s="26"/>
      <c r="I118" s="64"/>
    </row>
    <row r="119" spans="2:9" ht="17">
      <c r="B119" s="25">
        <v>41</v>
      </c>
      <c r="C119" s="26" t="s">
        <v>130</v>
      </c>
      <c r="D119" s="27">
        <f t="shared" si="3"/>
        <v>186.06870229007635</v>
      </c>
      <c r="G119" s="50"/>
      <c r="H119" s="26"/>
      <c r="I119" s="64"/>
    </row>
    <row r="120" spans="2:9" ht="17">
      <c r="B120" s="25">
        <v>42</v>
      </c>
      <c r="C120" s="26" t="s">
        <v>150</v>
      </c>
      <c r="D120" s="27">
        <f t="shared" si="3"/>
        <v>318.46374045801525</v>
      </c>
      <c r="G120" s="50"/>
      <c r="H120" s="26"/>
      <c r="I120" s="64"/>
    </row>
    <row r="121" spans="2:9" ht="17">
      <c r="B121" s="25">
        <v>43</v>
      </c>
      <c r="C121" s="26" t="s">
        <v>151</v>
      </c>
      <c r="D121" s="27">
        <f t="shared" si="3"/>
        <v>53.673664122137403</v>
      </c>
      <c r="G121" s="50"/>
      <c r="H121" s="26"/>
      <c r="I121" s="64"/>
    </row>
    <row r="122" spans="2:9" ht="17">
      <c r="B122" s="25">
        <v>44</v>
      </c>
      <c r="C122" s="26" t="s">
        <v>131</v>
      </c>
      <c r="D122" s="27">
        <f t="shared" si="3"/>
        <v>93.034351145038173</v>
      </c>
      <c r="G122" s="50"/>
      <c r="H122" s="26"/>
      <c r="I122" s="64"/>
    </row>
    <row r="123" spans="2:9" ht="17">
      <c r="B123" s="25">
        <v>45</v>
      </c>
      <c r="C123" s="26" t="s">
        <v>132</v>
      </c>
      <c r="D123" s="27">
        <f t="shared" si="3"/>
        <v>14.31297709923664</v>
      </c>
      <c r="G123" s="50"/>
      <c r="H123" s="26"/>
      <c r="I123" s="64"/>
    </row>
    <row r="124" spans="2:9" ht="17">
      <c r="B124" s="25">
        <v>46</v>
      </c>
      <c r="C124" s="26" t="s">
        <v>21</v>
      </c>
      <c r="D124" s="27">
        <f t="shared" si="3"/>
        <v>100.19083969465649</v>
      </c>
      <c r="G124" s="50"/>
      <c r="H124" s="26"/>
      <c r="I124" s="64"/>
    </row>
    <row r="125" spans="2:9" ht="17">
      <c r="B125" s="25">
        <v>47</v>
      </c>
      <c r="C125" s="26" t="s">
        <v>133</v>
      </c>
      <c r="D125" s="27">
        <f t="shared" si="3"/>
        <v>164.59923664122135</v>
      </c>
      <c r="G125" s="50"/>
      <c r="H125" s="26"/>
      <c r="I125" s="64"/>
    </row>
    <row r="126" spans="2:9" ht="17">
      <c r="B126" s="25">
        <v>48</v>
      </c>
      <c r="C126" s="26" t="s">
        <v>188</v>
      </c>
      <c r="D126" s="27">
        <f t="shared" si="3"/>
        <v>46.517175572519086</v>
      </c>
      <c r="G126" s="50"/>
      <c r="H126" s="26"/>
      <c r="I126" s="64"/>
    </row>
    <row r="127" spans="2:9" ht="17">
      <c r="B127" s="25">
        <v>49</v>
      </c>
      <c r="C127" s="26" t="s">
        <v>134</v>
      </c>
      <c r="D127" s="27">
        <f t="shared" si="3"/>
        <v>128.81679389312978</v>
      </c>
      <c r="G127" s="50"/>
      <c r="H127" s="26"/>
      <c r="I127" s="64"/>
    </row>
    <row r="128" spans="2:9" ht="17">
      <c r="B128" s="25">
        <v>50</v>
      </c>
      <c r="C128" s="26" t="s">
        <v>135</v>
      </c>
      <c r="D128" s="27">
        <f t="shared" si="3"/>
        <v>118.08206106870227</v>
      </c>
      <c r="G128" s="50"/>
      <c r="H128" s="26"/>
      <c r="I128" s="64"/>
    </row>
    <row r="129" spans="2:9" ht="17">
      <c r="B129" s="25">
        <v>51</v>
      </c>
      <c r="C129" s="26" t="s">
        <v>136</v>
      </c>
      <c r="D129" s="27">
        <f t="shared" si="3"/>
        <v>35.782442748091604</v>
      </c>
      <c r="G129" s="50"/>
      <c r="H129" s="26"/>
      <c r="I129" s="64"/>
    </row>
    <row r="130" spans="2:9" ht="17">
      <c r="B130" s="25">
        <v>52</v>
      </c>
      <c r="C130" s="26" t="s">
        <v>186</v>
      </c>
      <c r="D130" s="27">
        <f t="shared" si="3"/>
        <v>14.31297709923664</v>
      </c>
      <c r="G130" s="50"/>
      <c r="H130" s="26"/>
      <c r="I130" s="64"/>
    </row>
    <row r="131" spans="2:9">
      <c r="B131" s="28"/>
      <c r="C131" s="26" t="s">
        <v>140</v>
      </c>
      <c r="D131" s="27">
        <f t="shared" si="3"/>
        <v>21.46946564885496</v>
      </c>
      <c r="G131" s="26"/>
      <c r="H131" s="26"/>
      <c r="I131" s="64"/>
    </row>
    <row r="132" spans="2:9">
      <c r="B132" s="28"/>
      <c r="C132" s="26" t="s">
        <v>141</v>
      </c>
      <c r="D132" s="27">
        <f t="shared" si="3"/>
        <v>35.782442748091604</v>
      </c>
      <c r="G132" s="26"/>
      <c r="H132" s="26"/>
      <c r="I132" s="64"/>
    </row>
    <row r="133" spans="2:9" ht="17" thickBot="1">
      <c r="B133" s="28"/>
      <c r="C133" s="26" t="s">
        <v>142</v>
      </c>
      <c r="D133" s="27">
        <f t="shared" si="3"/>
        <v>14.31297709923664</v>
      </c>
      <c r="G133" s="26"/>
      <c r="H133" s="26"/>
      <c r="I133" s="64"/>
    </row>
    <row r="134" spans="2:9" ht="17" thickBot="1">
      <c r="B134" s="28" t="s">
        <v>94</v>
      </c>
      <c r="C134" s="69" t="s">
        <v>333</v>
      </c>
      <c r="D134" s="70">
        <f>SUM(D87:D133)</f>
        <v>5260.0190839694651</v>
      </c>
      <c r="G134" s="26"/>
      <c r="H134" s="74"/>
      <c r="I134" s="26"/>
    </row>
    <row r="135" spans="2:9" ht="17">
      <c r="B135" s="25">
        <v>53</v>
      </c>
      <c r="C135" s="26" t="s">
        <v>137</v>
      </c>
      <c r="D135" s="27">
        <f t="shared" si="3"/>
        <v>53.673664122137403</v>
      </c>
      <c r="G135" s="50"/>
      <c r="H135" s="26"/>
      <c r="I135" s="64"/>
    </row>
    <row r="136" spans="2:9" ht="17">
      <c r="B136" s="25">
        <v>54</v>
      </c>
      <c r="C136" s="26" t="s">
        <v>138</v>
      </c>
      <c r="D136" s="27">
        <f t="shared" si="3"/>
        <v>39.360687022900763</v>
      </c>
      <c r="G136" s="50"/>
      <c r="H136" s="26"/>
      <c r="I136" s="64"/>
    </row>
    <row r="137" spans="2:9" ht="17">
      <c r="B137" s="25">
        <v>55</v>
      </c>
      <c r="C137" s="26" t="s">
        <v>59</v>
      </c>
      <c r="D137" s="27">
        <f t="shared" si="3"/>
        <v>53.673664122137403</v>
      </c>
      <c r="G137" s="50"/>
      <c r="H137" s="26"/>
      <c r="I137" s="64"/>
    </row>
    <row r="138" spans="2:9" ht="18" thickBot="1">
      <c r="B138" s="25">
        <v>56</v>
      </c>
      <c r="C138" s="26" t="s">
        <v>135</v>
      </c>
      <c r="D138" s="27">
        <f t="shared" si="3"/>
        <v>28.625954198473281</v>
      </c>
      <c r="G138" s="50"/>
      <c r="H138" s="26"/>
      <c r="I138" s="64"/>
    </row>
    <row r="139" spans="2:9" ht="17" thickBot="1">
      <c r="B139" s="28" t="s">
        <v>144</v>
      </c>
      <c r="C139" s="69" t="s">
        <v>334</v>
      </c>
      <c r="D139" s="70">
        <f>SUM(D135:D138)</f>
        <v>175.33396946564886</v>
      </c>
      <c r="G139" s="26"/>
      <c r="H139" s="74"/>
      <c r="I139" s="26"/>
    </row>
    <row r="140" spans="2:9">
      <c r="B140" s="28">
        <v>57</v>
      </c>
      <c r="C140" s="26" t="s">
        <v>145</v>
      </c>
      <c r="D140" s="27">
        <f t="shared" si="3"/>
        <v>103.76908396946565</v>
      </c>
      <c r="G140" s="26"/>
      <c r="H140" s="26"/>
      <c r="I140" s="64"/>
    </row>
    <row r="141" spans="2:9">
      <c r="B141" s="28">
        <v>58</v>
      </c>
      <c r="C141" s="26" t="s">
        <v>146</v>
      </c>
      <c r="D141" s="27">
        <f t="shared" si="3"/>
        <v>243.32061068702288</v>
      </c>
      <c r="G141" s="26"/>
      <c r="H141" s="26"/>
      <c r="I141" s="64"/>
    </row>
    <row r="142" spans="2:9">
      <c r="B142" s="28">
        <v>59</v>
      </c>
      <c r="C142" s="26" t="s">
        <v>149</v>
      </c>
      <c r="D142" s="27">
        <f t="shared" si="3"/>
        <v>153.8645038167939</v>
      </c>
      <c r="G142" s="26"/>
      <c r="H142" s="26"/>
      <c r="I142" s="64"/>
    </row>
    <row r="143" spans="2:9">
      <c r="B143" s="28">
        <v>60</v>
      </c>
      <c r="C143" s="26" t="s">
        <v>147</v>
      </c>
      <c r="D143" s="27">
        <f t="shared" si="3"/>
        <v>67.986641221374043</v>
      </c>
      <c r="G143" s="26"/>
      <c r="H143" s="26"/>
      <c r="I143" s="64"/>
    </row>
    <row r="144" spans="2:9" ht="17" thickBot="1">
      <c r="B144" s="28">
        <v>61</v>
      </c>
      <c r="C144" s="26" t="s">
        <v>148</v>
      </c>
      <c r="D144" s="27">
        <f t="shared" ref="D144:D146" si="4">$C$70*$J69</f>
        <v>128.81679389312978</v>
      </c>
      <c r="G144" s="26"/>
      <c r="H144" s="26"/>
      <c r="I144" s="64"/>
    </row>
    <row r="145" spans="2:9" ht="17" thickBot="1">
      <c r="B145" s="28"/>
      <c r="C145" s="69" t="s">
        <v>335</v>
      </c>
      <c r="D145" s="70">
        <f>SUM(D140:D144)</f>
        <v>697.75763358778624</v>
      </c>
      <c r="G145" s="26"/>
      <c r="H145" s="74"/>
      <c r="I145" s="26"/>
    </row>
    <row r="146" spans="2:9" ht="17" thickBot="1">
      <c r="B146" s="29"/>
      <c r="C146" s="30" t="s">
        <v>143</v>
      </c>
      <c r="D146" s="31">
        <f t="shared" si="4"/>
        <v>518.84541984732823</v>
      </c>
      <c r="G146" s="26"/>
      <c r="H146" s="26"/>
      <c r="I146" s="64"/>
    </row>
    <row r="147" spans="2:9">
      <c r="G147" s="26"/>
      <c r="H147" s="26"/>
      <c r="I147" s="64"/>
    </row>
    <row r="149" spans="2:9">
      <c r="D149" s="1">
        <f>D145+D139+D146+D134+D86</f>
        <v>7500</v>
      </c>
    </row>
  </sheetData>
  <sortState ref="N72:N76">
    <sortCondition descending="1" ref="N72"/>
  </sortState>
  <pageMargins left="0.7" right="0.7" top="0.75" bottom="0.75" header="0.3" footer="0.3"/>
  <pageSetup paperSize="9"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72"/>
  <sheetViews>
    <sheetView zoomScale="50" zoomScaleNormal="50" zoomScalePageLayoutView="50" workbookViewId="0">
      <selection activeCell="I75" sqref="I75"/>
    </sheetView>
  </sheetViews>
  <sheetFormatPr baseColWidth="10" defaultRowHeight="15" x14ac:dyDescent="0"/>
  <cols>
    <col min="2" max="2" width="23.33203125" bestFit="1" customWidth="1"/>
    <col min="3" max="3" width="12.33203125" bestFit="1" customWidth="1"/>
    <col min="4" max="5" width="11.1640625" bestFit="1" customWidth="1"/>
    <col min="6" max="6" width="15.1640625" bestFit="1" customWidth="1"/>
    <col min="7" max="7" width="12.1640625" bestFit="1" customWidth="1"/>
    <col min="8" max="8" width="17.1640625" bestFit="1" customWidth="1"/>
    <col min="9" max="9" width="12" bestFit="1" customWidth="1"/>
    <col min="10" max="12" width="11.1640625" bestFit="1" customWidth="1"/>
    <col min="13" max="13" width="18.33203125" bestFit="1" customWidth="1"/>
    <col min="14" max="14" width="18.1640625" bestFit="1" customWidth="1"/>
    <col min="15" max="15" width="11.1640625" bestFit="1" customWidth="1"/>
    <col min="17" max="17" width="11.1640625" bestFit="1" customWidth="1"/>
    <col min="18" max="18" width="7.1640625" bestFit="1" customWidth="1"/>
    <col min="19" max="19" width="15.6640625" bestFit="1" customWidth="1"/>
    <col min="20" max="20" width="7.1640625" bestFit="1" customWidth="1"/>
    <col min="21" max="21" width="12.5" bestFit="1" customWidth="1"/>
    <col min="22" max="22" width="13.6640625" bestFit="1" customWidth="1"/>
    <col min="23" max="23" width="22.1640625" bestFit="1" customWidth="1"/>
    <col min="24" max="24" width="13.1640625" bestFit="1" customWidth="1"/>
    <col min="25" max="25" width="9.5" bestFit="1" customWidth="1"/>
    <col min="26" max="26" width="7.6640625" bestFit="1" customWidth="1"/>
    <col min="27" max="27" width="13.6640625" bestFit="1" customWidth="1"/>
    <col min="28" max="28" width="7.1640625" bestFit="1" customWidth="1"/>
    <col min="29" max="29" width="9.33203125" bestFit="1" customWidth="1"/>
    <col min="30" max="30" width="15.1640625" bestFit="1" customWidth="1"/>
    <col min="31" max="31" width="11" bestFit="1" customWidth="1"/>
    <col min="32" max="32" width="14.6640625" bestFit="1" customWidth="1"/>
    <col min="33" max="33" width="14.6640625" customWidth="1"/>
    <col min="34" max="34" width="11.1640625" bestFit="1" customWidth="1"/>
    <col min="35" max="35" width="11.6640625" bestFit="1" customWidth="1"/>
    <col min="36" max="36" width="15.6640625" bestFit="1" customWidth="1"/>
    <col min="37" max="37" width="13.1640625" bestFit="1" customWidth="1"/>
    <col min="38" max="38" width="11.1640625" bestFit="1" customWidth="1"/>
    <col min="39" max="39" width="12.33203125" bestFit="1" customWidth="1"/>
    <col min="40" max="40" width="7.1640625" bestFit="1" customWidth="1"/>
    <col min="41" max="41" width="6.83203125" bestFit="1" customWidth="1"/>
    <col min="42" max="42" width="7.6640625" bestFit="1" customWidth="1"/>
    <col min="43" max="43" width="13.1640625" bestFit="1" customWidth="1"/>
    <col min="44" max="46" width="13.1640625" customWidth="1"/>
  </cols>
  <sheetData>
    <row r="1" spans="1:47">
      <c r="A1" s="115" t="s">
        <v>367</v>
      </c>
    </row>
    <row r="2" spans="1:47" ht="19">
      <c r="A2" t="s">
        <v>92</v>
      </c>
      <c r="C2" s="5" t="s">
        <v>218</v>
      </c>
      <c r="D2" s="5" t="s">
        <v>53</v>
      </c>
      <c r="E2" s="20" t="s">
        <v>219</v>
      </c>
      <c r="F2" s="5" t="s">
        <v>217</v>
      </c>
      <c r="G2" s="5" t="s">
        <v>54</v>
      </c>
      <c r="H2" s="5" t="s">
        <v>55</v>
      </c>
      <c r="I2" s="5" t="s">
        <v>56</v>
      </c>
      <c r="J2" s="5" t="s">
        <v>32</v>
      </c>
      <c r="K2" s="5" t="s">
        <v>57</v>
      </c>
      <c r="L2" s="5" t="s">
        <v>58</v>
      </c>
      <c r="M2" s="20" t="s">
        <v>221</v>
      </c>
      <c r="N2" s="20" t="s">
        <v>220</v>
      </c>
      <c r="O2" s="5" t="s">
        <v>60</v>
      </c>
      <c r="P2" s="5" t="s">
        <v>61</v>
      </c>
      <c r="Q2" s="5" t="s">
        <v>62</v>
      </c>
      <c r="R2" s="5" t="s">
        <v>35</v>
      </c>
      <c r="S2" s="5" t="s">
        <v>63</v>
      </c>
      <c r="T2" s="5" t="s">
        <v>64</v>
      </c>
      <c r="U2" s="5" t="s">
        <v>65</v>
      </c>
      <c r="V2" s="5" t="s">
        <v>66</v>
      </c>
      <c r="W2" s="5" t="s">
        <v>67</v>
      </c>
      <c r="X2" s="5" t="s">
        <v>213</v>
      </c>
      <c r="Y2" s="5" t="s">
        <v>75</v>
      </c>
      <c r="Z2" s="5" t="s">
        <v>76</v>
      </c>
      <c r="AA2" s="5" t="s">
        <v>77</v>
      </c>
      <c r="AB2" s="5" t="s">
        <v>78</v>
      </c>
      <c r="AC2" s="5" t="s">
        <v>212</v>
      </c>
      <c r="AD2" s="5" t="s">
        <v>82</v>
      </c>
      <c r="AE2" s="5" t="s">
        <v>27</v>
      </c>
      <c r="AF2" s="5" t="s">
        <v>83</v>
      </c>
      <c r="AG2" s="5" t="s">
        <v>237</v>
      </c>
      <c r="AH2" s="5" t="s">
        <v>79</v>
      </c>
      <c r="AI2" s="5" t="s">
        <v>214</v>
      </c>
      <c r="AJ2" s="5" t="s">
        <v>26</v>
      </c>
      <c r="AK2" s="5" t="s">
        <v>25</v>
      </c>
      <c r="AL2" s="5" t="s">
        <v>80</v>
      </c>
      <c r="AM2" s="5" t="s">
        <v>86</v>
      </c>
      <c r="AN2" s="5" t="s">
        <v>81</v>
      </c>
      <c r="AO2" s="5" t="s">
        <v>215</v>
      </c>
      <c r="AP2" s="5" t="s">
        <v>84</v>
      </c>
      <c r="AQ2" s="5" t="s">
        <v>85</v>
      </c>
      <c r="AR2" s="20" t="s">
        <v>149</v>
      </c>
      <c r="AS2" s="20" t="s">
        <v>225</v>
      </c>
      <c r="AT2" s="20" t="s">
        <v>234</v>
      </c>
      <c r="AU2" s="5" t="s">
        <v>211</v>
      </c>
    </row>
    <row r="3" spans="1:47" ht="17">
      <c r="A3" s="3">
        <v>1</v>
      </c>
      <c r="B3" t="s">
        <v>95</v>
      </c>
      <c r="C3" s="21"/>
      <c r="D3" s="21"/>
      <c r="E3" s="21"/>
      <c r="F3" s="21">
        <v>0.03</v>
      </c>
      <c r="G3" s="21"/>
      <c r="H3" s="21">
        <v>0.01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>
        <v>1</v>
      </c>
      <c r="Y3" s="21"/>
      <c r="Z3" s="21">
        <v>1E-3</v>
      </c>
      <c r="AA3" s="21"/>
      <c r="AB3" s="21">
        <v>1E-3</v>
      </c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>
        <v>0.02</v>
      </c>
      <c r="AN3" s="21"/>
      <c r="AO3" s="21">
        <v>1E-3</v>
      </c>
      <c r="AP3" s="21"/>
      <c r="AQ3" s="21"/>
      <c r="AR3" s="21"/>
      <c r="AS3" s="21"/>
      <c r="AT3" s="21"/>
      <c r="AU3" s="21" t="s">
        <v>216</v>
      </c>
    </row>
    <row r="4" spans="1:47" ht="17">
      <c r="A4" s="3">
        <v>2</v>
      </c>
      <c r="B4" t="s">
        <v>96</v>
      </c>
      <c r="C4" s="21"/>
      <c r="D4" s="21"/>
      <c r="E4" s="21"/>
      <c r="F4" s="21"/>
      <c r="G4" s="21"/>
      <c r="H4" s="21"/>
      <c r="I4" s="21"/>
      <c r="J4" s="21">
        <v>0.06</v>
      </c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>
        <v>0.02</v>
      </c>
      <c r="AN4" s="21"/>
      <c r="AO4" s="21">
        <v>1E-3</v>
      </c>
      <c r="AP4" s="21"/>
      <c r="AQ4" s="21"/>
      <c r="AR4" s="21"/>
      <c r="AS4" s="21"/>
      <c r="AT4" s="21"/>
      <c r="AU4" s="21" t="s">
        <v>216</v>
      </c>
    </row>
    <row r="5" spans="1:47" ht="17">
      <c r="A5" s="3">
        <v>3</v>
      </c>
      <c r="B5" t="s">
        <v>97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>
        <v>0.04</v>
      </c>
      <c r="P5" s="21"/>
      <c r="Q5" s="21"/>
      <c r="R5" s="21"/>
      <c r="S5" s="21"/>
      <c r="T5" s="21">
        <v>0.05</v>
      </c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>
        <v>1E-3</v>
      </c>
      <c r="AJ5" s="21"/>
      <c r="AK5" s="21"/>
      <c r="AL5" s="21"/>
      <c r="AM5" s="21">
        <v>0.02</v>
      </c>
      <c r="AN5" s="21">
        <v>1E-3</v>
      </c>
      <c r="AO5" s="21">
        <v>1E-3</v>
      </c>
      <c r="AP5" s="21"/>
      <c r="AQ5" s="21"/>
      <c r="AR5" s="21"/>
      <c r="AS5" s="21"/>
      <c r="AT5" s="21"/>
      <c r="AU5" s="21" t="s">
        <v>216</v>
      </c>
    </row>
    <row r="6" spans="1:47" ht="17">
      <c r="A6" s="3">
        <v>4</v>
      </c>
      <c r="B6" t="s">
        <v>98</v>
      </c>
      <c r="C6" s="21">
        <v>0.06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>
        <v>0.04</v>
      </c>
      <c r="AH6" s="21"/>
      <c r="AI6" s="21"/>
      <c r="AJ6" s="21"/>
      <c r="AK6" s="21"/>
      <c r="AL6" s="21"/>
      <c r="AM6" s="21">
        <v>0.02</v>
      </c>
      <c r="AN6" s="21"/>
      <c r="AO6" s="21"/>
      <c r="AP6" s="21"/>
      <c r="AQ6" s="21"/>
      <c r="AR6" s="21"/>
      <c r="AS6" s="21"/>
      <c r="AT6" s="21"/>
      <c r="AU6" s="21" t="s">
        <v>216</v>
      </c>
    </row>
    <row r="7" spans="1:47" ht="17">
      <c r="A7" s="3">
        <v>5</v>
      </c>
      <c r="B7" t="s">
        <v>99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>
        <v>7.0000000000000007E-2</v>
      </c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>
        <v>0.02</v>
      </c>
      <c r="AN7" s="21"/>
      <c r="AO7" s="21"/>
      <c r="AP7" s="21"/>
      <c r="AQ7" s="21"/>
      <c r="AR7" s="21"/>
      <c r="AS7" s="21"/>
      <c r="AT7" s="21"/>
      <c r="AU7" s="21" t="s">
        <v>216</v>
      </c>
    </row>
    <row r="8" spans="1:47" ht="17">
      <c r="A8" s="3">
        <v>6</v>
      </c>
      <c r="B8" t="s">
        <v>100</v>
      </c>
      <c r="C8" s="21"/>
      <c r="D8" s="21"/>
      <c r="E8" s="21"/>
      <c r="F8" s="21"/>
      <c r="G8" s="21"/>
      <c r="H8" s="21"/>
      <c r="I8" s="21">
        <v>0.02</v>
      </c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>
        <v>1E-3</v>
      </c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 t="s">
        <v>216</v>
      </c>
    </row>
    <row r="9" spans="1:47" ht="17">
      <c r="A9" s="3">
        <v>7</v>
      </c>
      <c r="B9" t="s">
        <v>101</v>
      </c>
      <c r="C9" s="21"/>
      <c r="D9" s="21"/>
      <c r="E9" s="21"/>
      <c r="F9" s="21"/>
      <c r="G9" s="21"/>
      <c r="H9" s="21"/>
      <c r="I9" s="21">
        <v>0.02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>
        <v>0.02</v>
      </c>
      <c r="V9" s="21"/>
      <c r="W9" s="21"/>
      <c r="X9" s="21"/>
      <c r="Y9" s="21"/>
      <c r="Z9" s="21">
        <v>1E-3</v>
      </c>
      <c r="AA9" s="21"/>
      <c r="AB9" s="21"/>
      <c r="AC9" s="21"/>
      <c r="AD9" s="21"/>
      <c r="AE9" s="21"/>
      <c r="AF9" s="21"/>
      <c r="AG9" s="21"/>
      <c r="AH9" s="21">
        <v>1E-3</v>
      </c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 t="s">
        <v>216</v>
      </c>
    </row>
    <row r="10" spans="1:47">
      <c r="A10" t="s">
        <v>93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</row>
    <row r="11" spans="1:47" ht="17">
      <c r="A11" s="3">
        <v>9</v>
      </c>
      <c r="B11" t="s">
        <v>102</v>
      </c>
      <c r="C11" s="21"/>
      <c r="D11" s="21"/>
      <c r="E11" s="21"/>
      <c r="F11" s="21"/>
      <c r="G11" s="21"/>
      <c r="H11" s="21"/>
      <c r="I11" s="21"/>
      <c r="J11" s="21"/>
      <c r="K11" s="21"/>
      <c r="L11" s="21">
        <v>0.25</v>
      </c>
      <c r="M11" s="21"/>
      <c r="N11" s="21"/>
      <c r="O11" s="21"/>
      <c r="P11" s="21"/>
      <c r="Q11" s="21"/>
      <c r="R11" s="21">
        <v>0.13</v>
      </c>
      <c r="S11" s="21"/>
      <c r="T11" s="21"/>
      <c r="U11" s="21"/>
      <c r="V11" s="21"/>
      <c r="W11" s="21"/>
      <c r="X11" s="21"/>
      <c r="Y11" s="21">
        <v>0.02</v>
      </c>
      <c r="Z11" s="21">
        <v>0.02</v>
      </c>
      <c r="AA11" s="21"/>
      <c r="AB11" s="21"/>
      <c r="AC11" s="21">
        <v>0.02</v>
      </c>
      <c r="AD11" s="21"/>
      <c r="AE11" s="21">
        <v>0.15</v>
      </c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 t="s">
        <v>216</v>
      </c>
    </row>
    <row r="12" spans="1:47" ht="17">
      <c r="A12" s="3">
        <v>10</v>
      </c>
      <c r="B12" t="s">
        <v>103</v>
      </c>
      <c r="C12" s="21">
        <v>0.05</v>
      </c>
      <c r="D12" s="21"/>
      <c r="E12" s="21"/>
      <c r="F12" s="21"/>
      <c r="G12" s="21"/>
      <c r="H12" s="21"/>
      <c r="I12" s="21"/>
      <c r="J12" s="21">
        <v>0.05</v>
      </c>
      <c r="K12" s="21">
        <v>0.05</v>
      </c>
      <c r="L12" s="21">
        <v>0.05</v>
      </c>
      <c r="M12" s="21"/>
      <c r="N12" s="21"/>
      <c r="O12" s="21"/>
      <c r="P12" s="21"/>
      <c r="Q12" s="21"/>
      <c r="R12" s="21">
        <v>0.13</v>
      </c>
      <c r="S12" s="21"/>
      <c r="T12" s="21"/>
      <c r="U12" s="21"/>
      <c r="V12" s="21"/>
      <c r="W12" s="21"/>
      <c r="X12" s="21"/>
      <c r="Y12" s="21">
        <v>0.02</v>
      </c>
      <c r="Z12" s="21">
        <v>0.02</v>
      </c>
      <c r="AA12" s="21">
        <v>0.02</v>
      </c>
      <c r="AB12" s="21">
        <v>0.02</v>
      </c>
      <c r="AC12" s="21">
        <v>0.02</v>
      </c>
      <c r="AD12" s="21">
        <v>0.02</v>
      </c>
      <c r="AE12" s="21">
        <v>0.15</v>
      </c>
      <c r="AF12" s="21">
        <v>2.5000000000000001E-2</v>
      </c>
      <c r="AG12" s="21"/>
      <c r="AH12" s="21"/>
      <c r="AI12" s="21"/>
      <c r="AJ12" s="21">
        <v>0.01</v>
      </c>
      <c r="AK12" s="21">
        <v>0.01</v>
      </c>
      <c r="AL12" s="21"/>
      <c r="AM12" s="21"/>
      <c r="AN12" s="21"/>
      <c r="AO12" s="21"/>
      <c r="AP12" s="21"/>
      <c r="AQ12" s="21"/>
      <c r="AR12" s="21"/>
      <c r="AS12" s="21"/>
      <c r="AT12" s="21"/>
      <c r="AU12" s="21" t="s">
        <v>216</v>
      </c>
    </row>
    <row r="13" spans="1:47" ht="17">
      <c r="A13" s="3">
        <v>11</v>
      </c>
      <c r="B13" t="s">
        <v>104</v>
      </c>
      <c r="C13" s="21"/>
      <c r="D13" s="21"/>
      <c r="E13" s="21"/>
      <c r="F13" s="21"/>
      <c r="G13" s="21"/>
      <c r="H13" s="21"/>
      <c r="I13" s="21"/>
      <c r="J13" s="21">
        <v>0.17499999999999999</v>
      </c>
      <c r="K13" s="21"/>
      <c r="L13" s="21"/>
      <c r="M13" s="21"/>
      <c r="N13" s="21"/>
      <c r="O13" s="21"/>
      <c r="P13" s="21"/>
      <c r="Q13" s="21"/>
      <c r="R13" s="21">
        <v>0.13</v>
      </c>
      <c r="S13" s="21"/>
      <c r="T13" s="21"/>
      <c r="U13" s="21"/>
      <c r="V13" s="21"/>
      <c r="W13" s="21"/>
      <c r="X13" s="21"/>
      <c r="Y13" s="21">
        <v>0.04</v>
      </c>
      <c r="Z13" s="21">
        <v>0.04</v>
      </c>
      <c r="AA13" s="21"/>
      <c r="AB13" s="21"/>
      <c r="AC13" s="21"/>
      <c r="AD13" s="21"/>
      <c r="AE13" s="21">
        <v>0.02</v>
      </c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 t="s">
        <v>216</v>
      </c>
    </row>
    <row r="14" spans="1:47" ht="17">
      <c r="A14" s="3">
        <v>12</v>
      </c>
      <c r="B14" t="s">
        <v>105</v>
      </c>
      <c r="C14" s="21"/>
      <c r="D14" s="21"/>
      <c r="E14" s="21"/>
      <c r="F14" s="21"/>
      <c r="G14" s="21"/>
      <c r="H14" s="21"/>
      <c r="I14" s="21"/>
      <c r="J14" s="21">
        <v>0.17499999999999999</v>
      </c>
      <c r="K14" s="21"/>
      <c r="L14" s="21"/>
      <c r="M14" s="21"/>
      <c r="N14" s="21"/>
      <c r="O14" s="21"/>
      <c r="P14" s="21"/>
      <c r="Q14" s="21"/>
      <c r="R14" s="21">
        <v>0.13</v>
      </c>
      <c r="S14" s="21"/>
      <c r="T14" s="21"/>
      <c r="U14" s="21"/>
      <c r="V14" s="21"/>
      <c r="W14" s="21"/>
      <c r="X14" s="21"/>
      <c r="Y14" s="21">
        <v>0.02</v>
      </c>
      <c r="Z14" s="21">
        <v>0.02</v>
      </c>
      <c r="AA14" s="21">
        <v>0.02</v>
      </c>
      <c r="AB14" s="21">
        <v>0.02</v>
      </c>
      <c r="AC14" s="21">
        <v>0.02</v>
      </c>
      <c r="AD14" s="21">
        <v>0.02</v>
      </c>
      <c r="AE14" s="21">
        <v>0.15</v>
      </c>
      <c r="AF14" s="21">
        <v>2.5000000000000001E-2</v>
      </c>
      <c r="AG14" s="21"/>
      <c r="AH14" s="21"/>
      <c r="AI14" s="21"/>
      <c r="AJ14" s="21">
        <v>0.01</v>
      </c>
      <c r="AK14" s="21">
        <v>0.01</v>
      </c>
      <c r="AL14" s="21"/>
      <c r="AM14" s="21"/>
      <c r="AN14" s="21"/>
      <c r="AO14" s="21"/>
      <c r="AP14" s="21"/>
      <c r="AQ14" s="21"/>
      <c r="AR14" s="21"/>
      <c r="AS14" s="21"/>
      <c r="AT14" s="21"/>
      <c r="AU14" s="21" t="s">
        <v>216</v>
      </c>
    </row>
    <row r="15" spans="1:47" ht="17">
      <c r="A15" s="3">
        <v>13</v>
      </c>
      <c r="B15" t="s">
        <v>106</v>
      </c>
      <c r="C15" s="21"/>
      <c r="D15" s="21"/>
      <c r="E15" s="21"/>
      <c r="F15" s="21"/>
      <c r="G15" s="21"/>
      <c r="H15" s="21"/>
      <c r="I15" s="21"/>
      <c r="J15" s="21">
        <v>0.17499999999999999</v>
      </c>
      <c r="K15" s="21"/>
      <c r="L15" s="21"/>
      <c r="M15" s="21"/>
      <c r="N15" s="21"/>
      <c r="O15" s="21"/>
      <c r="P15" s="21"/>
      <c r="Q15" s="21"/>
      <c r="R15" s="21">
        <v>0.13</v>
      </c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>
        <v>0.02</v>
      </c>
      <c r="AN15" s="21"/>
      <c r="AO15" s="21"/>
      <c r="AP15" s="21"/>
      <c r="AQ15" s="21"/>
      <c r="AR15" s="21"/>
      <c r="AS15" s="21"/>
      <c r="AT15" s="21"/>
      <c r="AU15" s="21" t="s">
        <v>216</v>
      </c>
    </row>
    <row r="16" spans="1:47" ht="17">
      <c r="A16" s="3">
        <v>14</v>
      </c>
      <c r="B16" t="s">
        <v>107</v>
      </c>
      <c r="C16" s="21"/>
      <c r="D16" s="21"/>
      <c r="E16" s="21"/>
      <c r="F16" s="21"/>
      <c r="G16" s="21"/>
      <c r="H16" s="21"/>
      <c r="I16" s="21"/>
      <c r="J16" s="21"/>
      <c r="K16" s="21">
        <v>0.17499999999999999</v>
      </c>
      <c r="L16" s="21"/>
      <c r="M16" s="21"/>
      <c r="N16" s="21"/>
      <c r="O16" s="21"/>
      <c r="P16" s="21"/>
      <c r="Q16" s="21"/>
      <c r="R16" s="21">
        <v>0.13</v>
      </c>
      <c r="S16" s="21"/>
      <c r="T16" s="21"/>
      <c r="U16" s="21"/>
      <c r="V16" s="21"/>
      <c r="W16" s="21"/>
      <c r="X16" s="21"/>
      <c r="Y16" s="21">
        <v>0.02</v>
      </c>
      <c r="Z16" s="21">
        <v>0.02</v>
      </c>
      <c r="AA16" s="21">
        <v>0.02</v>
      </c>
      <c r="AB16" s="21">
        <v>0.02</v>
      </c>
      <c r="AC16" s="21">
        <v>0.02</v>
      </c>
      <c r="AD16" s="21">
        <v>0.02</v>
      </c>
      <c r="AE16" s="21">
        <v>0.15</v>
      </c>
      <c r="AF16" s="21">
        <v>2.5000000000000001E-2</v>
      </c>
      <c r="AG16" s="21"/>
      <c r="AH16" s="21"/>
      <c r="AI16" s="21"/>
      <c r="AJ16" s="21">
        <v>0.01</v>
      </c>
      <c r="AK16" s="21">
        <v>0.01</v>
      </c>
      <c r="AL16" s="21"/>
      <c r="AM16" s="21"/>
      <c r="AN16" s="21"/>
      <c r="AO16" s="21"/>
      <c r="AP16" s="21"/>
      <c r="AQ16" s="21"/>
      <c r="AR16" s="21"/>
      <c r="AS16" s="21"/>
      <c r="AT16" s="21"/>
      <c r="AU16" s="21" t="s">
        <v>216</v>
      </c>
    </row>
    <row r="17" spans="1:47" ht="17">
      <c r="A17" s="3">
        <v>15</v>
      </c>
      <c r="B17" t="s">
        <v>108</v>
      </c>
      <c r="C17" s="21"/>
      <c r="D17" s="21">
        <v>0.17499999999999999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>
        <v>0.13</v>
      </c>
      <c r="S17" s="21"/>
      <c r="T17" s="21"/>
      <c r="U17" s="21"/>
      <c r="V17" s="21"/>
      <c r="W17" s="21"/>
      <c r="X17" s="21"/>
      <c r="Y17" s="21"/>
      <c r="Z17" s="21"/>
      <c r="AA17" s="21">
        <v>0.04</v>
      </c>
      <c r="AB17" s="21"/>
      <c r="AC17" s="21"/>
      <c r="AD17" s="21">
        <v>0.04</v>
      </c>
      <c r="AE17" s="21"/>
      <c r="AF17" s="21"/>
      <c r="AG17" s="21"/>
      <c r="AH17" s="21"/>
      <c r="AI17" s="21"/>
      <c r="AJ17" s="21"/>
      <c r="AK17" s="21"/>
      <c r="AL17" s="21"/>
      <c r="AM17" s="21">
        <v>0.04</v>
      </c>
      <c r="AN17" s="21"/>
      <c r="AO17" s="21"/>
      <c r="AP17" s="21"/>
      <c r="AQ17" s="21"/>
      <c r="AR17" s="21"/>
      <c r="AS17" s="21"/>
      <c r="AT17" s="21"/>
      <c r="AU17" s="21" t="s">
        <v>216</v>
      </c>
    </row>
    <row r="18" spans="1:47" ht="17">
      <c r="A18" s="3">
        <v>16</v>
      </c>
      <c r="B18" t="s">
        <v>109</v>
      </c>
      <c r="C18" s="21"/>
      <c r="D18" s="21">
        <v>0.17499999999999999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>
        <v>0.13</v>
      </c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>
        <v>0.02</v>
      </c>
      <c r="AN18" s="21"/>
      <c r="AO18" s="21"/>
      <c r="AP18" s="21"/>
      <c r="AQ18" s="21"/>
      <c r="AR18" s="21"/>
      <c r="AS18" s="21"/>
      <c r="AT18" s="21"/>
      <c r="AU18" s="21" t="s">
        <v>216</v>
      </c>
    </row>
    <row r="19" spans="1:47" ht="17">
      <c r="A19" s="3">
        <v>17</v>
      </c>
      <c r="B19" t="s">
        <v>110</v>
      </c>
      <c r="C19" s="21"/>
      <c r="D19" s="21">
        <v>0.17499999999999999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>
        <v>0.13</v>
      </c>
      <c r="S19" s="21"/>
      <c r="T19" s="21"/>
      <c r="U19" s="21"/>
      <c r="V19" s="21"/>
      <c r="W19" s="21"/>
      <c r="X19" s="21"/>
      <c r="Y19" s="21">
        <v>0.02</v>
      </c>
      <c r="Z19" s="21">
        <v>0.02</v>
      </c>
      <c r="AA19" s="21">
        <v>0.02</v>
      </c>
      <c r="AB19" s="21">
        <v>0.02</v>
      </c>
      <c r="AC19" s="21">
        <v>0.02</v>
      </c>
      <c r="AD19" s="21">
        <v>0.02</v>
      </c>
      <c r="AE19" s="21">
        <v>0.15</v>
      </c>
      <c r="AF19" s="21">
        <v>2.5000000000000001E-2</v>
      </c>
      <c r="AG19" s="21"/>
      <c r="AH19" s="21"/>
      <c r="AI19" s="21"/>
      <c r="AJ19" s="21">
        <v>0.01</v>
      </c>
      <c r="AK19" s="21">
        <v>0.01</v>
      </c>
      <c r="AL19" s="21"/>
      <c r="AM19" s="21"/>
      <c r="AN19" s="21"/>
      <c r="AO19" s="21"/>
      <c r="AP19" s="21"/>
      <c r="AQ19" s="21"/>
      <c r="AR19" s="21"/>
      <c r="AS19" s="21"/>
      <c r="AT19" s="21"/>
      <c r="AU19" s="21" t="s">
        <v>216</v>
      </c>
    </row>
    <row r="20" spans="1:47" ht="17">
      <c r="A20" s="3">
        <v>18</v>
      </c>
      <c r="B20" t="s">
        <v>111</v>
      </c>
      <c r="C20" s="21"/>
      <c r="D20" s="21"/>
      <c r="E20" s="21"/>
      <c r="F20" s="21"/>
      <c r="G20" s="21"/>
      <c r="H20" s="21"/>
      <c r="I20" s="21">
        <v>0.17499999999999999</v>
      </c>
      <c r="J20" s="21"/>
      <c r="K20" s="21"/>
      <c r="L20" s="21"/>
      <c r="M20" s="21"/>
      <c r="N20" s="21"/>
      <c r="O20" s="21"/>
      <c r="P20" s="21"/>
      <c r="Q20" s="21"/>
      <c r="R20" s="21">
        <v>0.13</v>
      </c>
      <c r="S20" s="21"/>
      <c r="T20" s="21"/>
      <c r="U20" s="21"/>
      <c r="V20" s="21"/>
      <c r="W20" s="21"/>
      <c r="X20" s="21"/>
      <c r="Y20" s="21">
        <v>0.02</v>
      </c>
      <c r="Z20" s="21">
        <v>0.02</v>
      </c>
      <c r="AA20" s="21">
        <v>0.02</v>
      </c>
      <c r="AB20" s="21">
        <v>0.02</v>
      </c>
      <c r="AC20" s="21">
        <v>0.02</v>
      </c>
      <c r="AD20" s="21">
        <v>0.02</v>
      </c>
      <c r="AE20" s="21">
        <v>0.15</v>
      </c>
      <c r="AF20" s="21">
        <v>2.5000000000000001E-2</v>
      </c>
      <c r="AG20" s="21"/>
      <c r="AH20" s="21"/>
      <c r="AI20" s="21"/>
      <c r="AJ20" s="21">
        <v>0.01</v>
      </c>
      <c r="AK20" s="21">
        <v>0.01</v>
      </c>
      <c r="AL20" s="21"/>
      <c r="AM20" s="21"/>
      <c r="AN20" s="21"/>
      <c r="AO20" s="21"/>
      <c r="AP20" s="21"/>
      <c r="AQ20" s="21"/>
      <c r="AR20" s="21"/>
      <c r="AS20" s="21"/>
      <c r="AT20" s="21"/>
      <c r="AU20" s="21" t="s">
        <v>216</v>
      </c>
    </row>
    <row r="21" spans="1:47" ht="17">
      <c r="A21" s="3">
        <v>19</v>
      </c>
      <c r="B21" t="s">
        <v>185</v>
      </c>
      <c r="C21" s="21"/>
      <c r="D21" s="21"/>
      <c r="E21" s="21"/>
      <c r="F21" s="21"/>
      <c r="G21" s="21"/>
      <c r="H21" s="21"/>
      <c r="I21" s="21">
        <v>0.17499999999999999</v>
      </c>
      <c r="J21" s="21"/>
      <c r="K21" s="21"/>
      <c r="L21" s="21"/>
      <c r="M21" s="21"/>
      <c r="N21" s="21"/>
      <c r="O21" s="21"/>
      <c r="P21" s="21"/>
      <c r="Q21" s="21"/>
      <c r="R21" s="21">
        <v>0.13</v>
      </c>
      <c r="S21" s="21"/>
      <c r="T21" s="21"/>
      <c r="U21" s="21"/>
      <c r="V21" s="21"/>
      <c r="W21" s="21"/>
      <c r="X21" s="21"/>
      <c r="Y21" s="21">
        <v>0.02</v>
      </c>
      <c r="Z21" s="21">
        <v>0.02</v>
      </c>
      <c r="AA21" s="21">
        <v>0.02</v>
      </c>
      <c r="AB21" s="21">
        <v>0.02</v>
      </c>
      <c r="AC21" s="21">
        <v>0.02</v>
      </c>
      <c r="AD21" s="21">
        <v>0.02</v>
      </c>
      <c r="AE21" s="21">
        <v>0.15</v>
      </c>
      <c r="AF21" s="21">
        <v>2.5000000000000001E-2</v>
      </c>
      <c r="AG21" s="21"/>
      <c r="AH21" s="21"/>
      <c r="AI21" s="21"/>
      <c r="AJ21" s="21">
        <v>0.01</v>
      </c>
      <c r="AK21" s="21">
        <v>0.01</v>
      </c>
      <c r="AL21" s="21"/>
      <c r="AM21" s="21"/>
      <c r="AN21" s="21"/>
      <c r="AO21" s="21"/>
      <c r="AP21" s="21"/>
      <c r="AQ21" s="21"/>
      <c r="AR21" s="21"/>
      <c r="AS21" s="21"/>
      <c r="AT21" s="21"/>
      <c r="AU21" s="21" t="s">
        <v>216</v>
      </c>
    </row>
    <row r="22" spans="1:47" ht="17">
      <c r="A22" s="3">
        <v>20</v>
      </c>
      <c r="B22" t="s">
        <v>112</v>
      </c>
      <c r="C22" s="21"/>
      <c r="D22" s="21"/>
      <c r="E22" s="21"/>
      <c r="F22" s="21"/>
      <c r="G22" s="21"/>
      <c r="H22" s="21"/>
      <c r="I22" s="21">
        <v>0.17499999999999999</v>
      </c>
      <c r="J22" s="21"/>
      <c r="K22" s="21"/>
      <c r="L22" s="21"/>
      <c r="M22" s="21"/>
      <c r="N22" s="21"/>
      <c r="O22" s="21"/>
      <c r="P22" s="21"/>
      <c r="Q22" s="21"/>
      <c r="R22" s="21">
        <v>0.13</v>
      </c>
      <c r="S22" s="21"/>
      <c r="T22" s="21"/>
      <c r="U22" s="21"/>
      <c r="V22" s="21"/>
      <c r="W22" s="21"/>
      <c r="X22" s="21"/>
      <c r="Y22" s="21">
        <v>0.02</v>
      </c>
      <c r="Z22" s="21">
        <v>0.02</v>
      </c>
      <c r="AA22" s="21">
        <v>0.02</v>
      </c>
      <c r="AB22" s="21">
        <v>0.02</v>
      </c>
      <c r="AC22" s="21">
        <v>0.02</v>
      </c>
      <c r="AD22" s="21">
        <v>0.02</v>
      </c>
      <c r="AE22" s="21">
        <v>0.15</v>
      </c>
      <c r="AF22" s="21">
        <v>2.5000000000000001E-2</v>
      </c>
      <c r="AG22" s="21"/>
      <c r="AH22" s="21"/>
      <c r="AI22" s="21"/>
      <c r="AJ22" s="21">
        <v>0.01</v>
      </c>
      <c r="AK22" s="21">
        <v>0.01</v>
      </c>
      <c r="AL22" s="21"/>
      <c r="AM22" s="21"/>
      <c r="AN22" s="21"/>
      <c r="AO22" s="21"/>
      <c r="AP22" s="21"/>
      <c r="AQ22" s="21"/>
      <c r="AR22" s="21"/>
      <c r="AS22" s="21"/>
      <c r="AT22" s="21"/>
      <c r="AU22" s="21" t="s">
        <v>216</v>
      </c>
    </row>
    <row r="23" spans="1:47" ht="17">
      <c r="A23" s="3">
        <v>21</v>
      </c>
      <c r="B23" t="s">
        <v>113</v>
      </c>
      <c r="C23" s="21"/>
      <c r="D23" s="21"/>
      <c r="E23" s="21"/>
      <c r="F23" s="21"/>
      <c r="G23" s="21"/>
      <c r="H23" s="21"/>
      <c r="I23" s="21">
        <v>0.17499999999999999</v>
      </c>
      <c r="J23" s="21"/>
      <c r="K23" s="21"/>
      <c r="L23" s="21"/>
      <c r="M23" s="21"/>
      <c r="N23" s="21"/>
      <c r="O23" s="21"/>
      <c r="P23" s="21"/>
      <c r="Q23" s="21"/>
      <c r="R23" s="21">
        <v>0.13</v>
      </c>
      <c r="S23" s="21"/>
      <c r="T23" s="21"/>
      <c r="U23" s="21"/>
      <c r="V23" s="21"/>
      <c r="W23" s="21"/>
      <c r="X23" s="21"/>
      <c r="Y23" s="21">
        <v>0.02</v>
      </c>
      <c r="Z23" s="21">
        <v>0.02</v>
      </c>
      <c r="AA23" s="21">
        <v>0.02</v>
      </c>
      <c r="AB23" s="21">
        <v>0.02</v>
      </c>
      <c r="AC23" s="21">
        <v>0.02</v>
      </c>
      <c r="AD23" s="21">
        <v>0.02</v>
      </c>
      <c r="AE23" s="21">
        <v>0.15</v>
      </c>
      <c r="AF23" s="21">
        <v>2.5000000000000001E-2</v>
      </c>
      <c r="AG23" s="21"/>
      <c r="AH23" s="21"/>
      <c r="AI23" s="21"/>
      <c r="AJ23" s="21">
        <v>0.01</v>
      </c>
      <c r="AK23" s="21">
        <v>0.01</v>
      </c>
      <c r="AL23" s="21"/>
      <c r="AM23" s="21"/>
      <c r="AN23" s="21"/>
      <c r="AO23" s="21"/>
      <c r="AP23" s="21"/>
      <c r="AQ23" s="21">
        <v>0.02</v>
      </c>
      <c r="AR23" s="21"/>
      <c r="AS23" s="21"/>
      <c r="AT23" s="21"/>
      <c r="AU23" s="21" t="s">
        <v>216</v>
      </c>
    </row>
    <row r="24" spans="1:47" ht="17">
      <c r="A24" s="3">
        <v>22</v>
      </c>
      <c r="B24" t="s">
        <v>114</v>
      </c>
      <c r="C24" s="21"/>
      <c r="D24" s="21"/>
      <c r="E24" s="21"/>
      <c r="F24" s="21"/>
      <c r="G24" s="21"/>
      <c r="H24" s="21"/>
      <c r="I24" s="21">
        <v>0.17499999999999999</v>
      </c>
      <c r="J24" s="21"/>
      <c r="K24" s="21"/>
      <c r="L24" s="21"/>
      <c r="M24" s="21"/>
      <c r="N24" s="21"/>
      <c r="O24" s="21"/>
      <c r="P24" s="21"/>
      <c r="Q24" s="21"/>
      <c r="R24" s="21">
        <v>0.13</v>
      </c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>
        <v>0.02</v>
      </c>
      <c r="AN24" s="21"/>
      <c r="AO24" s="21"/>
      <c r="AP24" s="21"/>
      <c r="AQ24" s="21"/>
      <c r="AR24" s="21"/>
      <c r="AS24" s="21"/>
      <c r="AT24" s="21"/>
      <c r="AU24" s="21" t="s">
        <v>216</v>
      </c>
    </row>
    <row r="25" spans="1:47" ht="17">
      <c r="A25" s="3">
        <v>23</v>
      </c>
      <c r="B25" t="s">
        <v>115</v>
      </c>
      <c r="C25" s="21"/>
      <c r="D25" s="21"/>
      <c r="E25" s="21"/>
      <c r="F25" s="21">
        <v>0.1</v>
      </c>
      <c r="G25" s="21"/>
      <c r="H25" s="21"/>
      <c r="I25" s="21">
        <v>0.1</v>
      </c>
      <c r="J25" s="21"/>
      <c r="K25" s="21"/>
      <c r="L25" s="21"/>
      <c r="M25" s="21"/>
      <c r="N25" s="21"/>
      <c r="O25" s="21"/>
      <c r="P25" s="21"/>
      <c r="Q25" s="21"/>
      <c r="R25" s="21">
        <v>0.13</v>
      </c>
      <c r="S25" s="21"/>
      <c r="T25" s="21"/>
      <c r="U25" s="21"/>
      <c r="V25" s="21"/>
      <c r="W25" s="21"/>
      <c r="X25" s="21"/>
      <c r="Y25" s="21">
        <v>0.02</v>
      </c>
      <c r="Z25" s="21">
        <v>0.02</v>
      </c>
      <c r="AA25" s="21">
        <v>0.02</v>
      </c>
      <c r="AB25" s="21">
        <v>0.02</v>
      </c>
      <c r="AC25" s="21">
        <v>0.02</v>
      </c>
      <c r="AD25" s="21">
        <v>0.02</v>
      </c>
      <c r="AE25" s="21">
        <v>0.15</v>
      </c>
      <c r="AF25" s="21">
        <v>2.5000000000000001E-2</v>
      </c>
      <c r="AG25" s="21"/>
      <c r="AH25" s="21"/>
      <c r="AI25" s="21"/>
      <c r="AJ25" s="21">
        <v>0.01</v>
      </c>
      <c r="AK25" s="21">
        <v>0.01</v>
      </c>
      <c r="AL25" s="21"/>
      <c r="AM25" s="21"/>
      <c r="AN25" s="21"/>
      <c r="AO25" s="21"/>
      <c r="AP25" s="21"/>
      <c r="AQ25" s="21"/>
      <c r="AR25" s="21"/>
      <c r="AS25" s="21"/>
      <c r="AT25" s="21"/>
      <c r="AU25" s="21" t="s">
        <v>216</v>
      </c>
    </row>
    <row r="26" spans="1:47" ht="17">
      <c r="A26" s="3">
        <v>24</v>
      </c>
      <c r="B26" t="s">
        <v>20</v>
      </c>
      <c r="C26" s="21"/>
      <c r="D26" s="21"/>
      <c r="E26" s="21"/>
      <c r="F26" s="21">
        <v>4.4999999999999998E-2</v>
      </c>
      <c r="G26" s="21"/>
      <c r="H26" s="21"/>
      <c r="I26" s="21">
        <v>5.5E-2</v>
      </c>
      <c r="J26" s="21">
        <v>4.4999999999999998E-2</v>
      </c>
      <c r="K26" s="21"/>
      <c r="L26" s="21"/>
      <c r="M26" s="21"/>
      <c r="N26" s="21"/>
      <c r="O26" s="21"/>
      <c r="P26" s="21"/>
      <c r="Q26" s="21"/>
      <c r="R26" s="21">
        <v>0.13</v>
      </c>
      <c r="S26" s="21"/>
      <c r="T26" s="21"/>
      <c r="U26" s="21"/>
      <c r="V26" s="21"/>
      <c r="W26" s="21"/>
      <c r="X26" s="21"/>
      <c r="Y26" s="21">
        <v>0.02</v>
      </c>
      <c r="Z26" s="21">
        <v>0.02</v>
      </c>
      <c r="AA26" s="21">
        <v>0.02</v>
      </c>
      <c r="AB26" s="21">
        <v>0.02</v>
      </c>
      <c r="AC26" s="21">
        <v>0.02</v>
      </c>
      <c r="AD26" s="21">
        <v>0.02</v>
      </c>
      <c r="AE26" s="21">
        <v>0.15</v>
      </c>
      <c r="AF26" s="21">
        <v>2.5000000000000001E-2</v>
      </c>
      <c r="AG26" s="21"/>
      <c r="AH26" s="21"/>
      <c r="AI26" s="21"/>
      <c r="AJ26" s="21">
        <v>0.01</v>
      </c>
      <c r="AK26" s="21">
        <v>0.01</v>
      </c>
      <c r="AL26" s="21"/>
      <c r="AM26" s="21"/>
      <c r="AN26" s="21"/>
      <c r="AO26" s="21"/>
      <c r="AP26" s="21"/>
      <c r="AQ26" s="21"/>
      <c r="AR26" s="21"/>
      <c r="AS26" s="21"/>
      <c r="AT26" s="21"/>
      <c r="AU26" s="21" t="s">
        <v>216</v>
      </c>
    </row>
    <row r="27" spans="1:47" ht="17">
      <c r="A27" s="3">
        <v>25</v>
      </c>
      <c r="B27" t="s">
        <v>116</v>
      </c>
      <c r="C27" s="21"/>
      <c r="D27" s="21"/>
      <c r="E27" s="21"/>
      <c r="F27" s="21"/>
      <c r="G27" s="21"/>
      <c r="H27" s="21">
        <v>4.4999999999999998E-2</v>
      </c>
      <c r="I27" s="21">
        <v>5.5E-2</v>
      </c>
      <c r="J27" s="21">
        <v>4.4999999999999998E-2</v>
      </c>
      <c r="K27" s="21"/>
      <c r="L27" s="21"/>
      <c r="M27" s="21"/>
      <c r="N27" s="21"/>
      <c r="O27" s="21"/>
      <c r="P27" s="21"/>
      <c r="Q27" s="21"/>
      <c r="R27" s="21">
        <v>0.13</v>
      </c>
      <c r="S27" s="21"/>
      <c r="T27" s="21"/>
      <c r="U27" s="21"/>
      <c r="V27" s="21"/>
      <c r="W27" s="21"/>
      <c r="X27" s="21"/>
      <c r="Y27" s="21"/>
      <c r="Z27" s="21"/>
      <c r="AA27" s="21"/>
      <c r="AB27" s="21">
        <v>0.04</v>
      </c>
      <c r="AC27" s="21"/>
      <c r="AD27" s="21"/>
      <c r="AE27" s="21"/>
      <c r="AF27" s="21"/>
      <c r="AG27" s="21"/>
      <c r="AH27" s="21"/>
      <c r="AI27" s="21"/>
      <c r="AJ27" s="21">
        <v>0.01</v>
      </c>
      <c r="AK27" s="21">
        <v>0.01</v>
      </c>
      <c r="AL27" s="21"/>
      <c r="AM27" s="21"/>
      <c r="AN27" s="21"/>
      <c r="AO27" s="21"/>
      <c r="AP27" s="21"/>
      <c r="AQ27" s="21"/>
      <c r="AR27" s="21"/>
      <c r="AS27" s="21"/>
      <c r="AT27" s="21"/>
      <c r="AU27" s="21" t="s">
        <v>216</v>
      </c>
    </row>
    <row r="28" spans="1:47" ht="17">
      <c r="A28" s="3">
        <v>26</v>
      </c>
      <c r="B28" t="s">
        <v>117</v>
      </c>
      <c r="C28" s="21"/>
      <c r="D28" s="21"/>
      <c r="E28" s="21"/>
      <c r="F28" s="21"/>
      <c r="G28" s="21"/>
      <c r="H28" s="21">
        <v>0.15</v>
      </c>
      <c r="I28" s="21"/>
      <c r="J28" s="21"/>
      <c r="K28" s="21"/>
      <c r="L28" s="21"/>
      <c r="M28" s="21"/>
      <c r="N28" s="21"/>
      <c r="O28" s="21"/>
      <c r="P28" s="21"/>
      <c r="Q28" s="21"/>
      <c r="R28" s="21">
        <v>0.13</v>
      </c>
      <c r="S28" s="21"/>
      <c r="T28" s="21"/>
      <c r="U28" s="21"/>
      <c r="V28" s="21"/>
      <c r="W28" s="21"/>
      <c r="X28" s="21"/>
      <c r="Y28" s="21">
        <v>0.02</v>
      </c>
      <c r="Z28" s="21">
        <v>0.02</v>
      </c>
      <c r="AA28" s="21">
        <v>0.02</v>
      </c>
      <c r="AB28" s="21">
        <v>0.02</v>
      </c>
      <c r="AC28" s="21">
        <v>0.02</v>
      </c>
      <c r="AD28" s="21">
        <v>0.02</v>
      </c>
      <c r="AE28" s="21">
        <v>0.15</v>
      </c>
      <c r="AF28" s="21">
        <v>2.5000000000000001E-2</v>
      </c>
      <c r="AG28" s="21"/>
      <c r="AH28" s="21"/>
      <c r="AI28" s="21"/>
      <c r="AJ28" s="21">
        <v>0.01</v>
      </c>
      <c r="AK28" s="21">
        <v>0.01</v>
      </c>
      <c r="AL28" s="21"/>
      <c r="AM28" s="21"/>
      <c r="AN28" s="21"/>
      <c r="AO28" s="21"/>
      <c r="AP28" s="21"/>
      <c r="AQ28" s="21"/>
      <c r="AR28" s="21"/>
      <c r="AS28" s="21"/>
      <c r="AT28" s="21"/>
      <c r="AU28" s="21" t="s">
        <v>216</v>
      </c>
    </row>
    <row r="29" spans="1:47" ht="17">
      <c r="A29" s="3">
        <v>27</v>
      </c>
      <c r="B29" t="s">
        <v>118</v>
      </c>
      <c r="C29" s="21"/>
      <c r="D29" s="21"/>
      <c r="E29" s="21"/>
      <c r="F29" s="21">
        <v>0.17499999999999999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>
        <v>0.13</v>
      </c>
      <c r="S29" s="21"/>
      <c r="T29" s="21"/>
      <c r="U29" s="21"/>
      <c r="V29" s="21"/>
      <c r="W29" s="21"/>
      <c r="X29" s="21"/>
      <c r="Y29" s="21">
        <v>0.02</v>
      </c>
      <c r="Z29" s="21">
        <v>0.02</v>
      </c>
      <c r="AA29" s="21">
        <v>0.02</v>
      </c>
      <c r="AB29" s="21">
        <v>0.02</v>
      </c>
      <c r="AC29" s="21">
        <v>0.02</v>
      </c>
      <c r="AD29" s="21">
        <v>0.02</v>
      </c>
      <c r="AE29" s="21">
        <v>0.15</v>
      </c>
      <c r="AF29" s="21">
        <v>2.5000000000000001E-2</v>
      </c>
      <c r="AG29" s="21"/>
      <c r="AH29" s="21"/>
      <c r="AI29" s="21"/>
      <c r="AJ29" s="21">
        <v>0.01</v>
      </c>
      <c r="AK29" s="21">
        <v>0.01</v>
      </c>
      <c r="AL29" s="21"/>
      <c r="AM29" s="21"/>
      <c r="AN29" s="21"/>
      <c r="AO29" s="21"/>
      <c r="AP29" s="21"/>
      <c r="AQ29" s="21"/>
      <c r="AR29" s="21"/>
      <c r="AS29" s="21"/>
      <c r="AT29" s="21"/>
      <c r="AU29" s="21" t="s">
        <v>216</v>
      </c>
    </row>
    <row r="30" spans="1:47" ht="17">
      <c r="A30" s="3">
        <v>28</v>
      </c>
      <c r="B30" t="s">
        <v>119</v>
      </c>
      <c r="C30" s="21"/>
      <c r="D30" s="21"/>
      <c r="E30" s="21"/>
      <c r="F30" s="21"/>
      <c r="G30" s="21"/>
      <c r="H30" s="21">
        <v>0.15</v>
      </c>
      <c r="I30" s="21"/>
      <c r="J30" s="21"/>
      <c r="K30" s="21"/>
      <c r="L30" s="21"/>
      <c r="M30" s="21"/>
      <c r="N30" s="21"/>
      <c r="O30" s="21"/>
      <c r="P30" s="21"/>
      <c r="Q30" s="21"/>
      <c r="R30" s="21">
        <v>0.13</v>
      </c>
      <c r="S30" s="21"/>
      <c r="T30" s="21"/>
      <c r="U30" s="21"/>
      <c r="V30" s="21"/>
      <c r="W30" s="21"/>
      <c r="X30" s="21"/>
      <c r="Y30" s="21">
        <v>0.02</v>
      </c>
      <c r="Z30" s="21">
        <v>0.02</v>
      </c>
      <c r="AA30" s="21">
        <v>0.02</v>
      </c>
      <c r="AB30" s="21">
        <v>0.02</v>
      </c>
      <c r="AC30" s="21">
        <v>0.02</v>
      </c>
      <c r="AD30" s="21">
        <v>0.02</v>
      </c>
      <c r="AE30" s="21">
        <v>0.15</v>
      </c>
      <c r="AF30" s="21">
        <v>2.5000000000000001E-2</v>
      </c>
      <c r="AG30" s="21"/>
      <c r="AH30" s="21"/>
      <c r="AI30" s="21"/>
      <c r="AJ30" s="21">
        <v>0.01</v>
      </c>
      <c r="AK30" s="21">
        <v>0.01</v>
      </c>
      <c r="AL30" s="21"/>
      <c r="AM30" s="21"/>
      <c r="AN30" s="21"/>
      <c r="AO30" s="21"/>
      <c r="AP30" s="21"/>
      <c r="AQ30" s="21"/>
      <c r="AR30" s="21"/>
      <c r="AS30" s="21"/>
      <c r="AT30" s="21"/>
      <c r="AU30" s="21" t="s">
        <v>216</v>
      </c>
    </row>
    <row r="31" spans="1:47" ht="17">
      <c r="A31" s="3">
        <v>29</v>
      </c>
      <c r="B31" t="s">
        <v>120</v>
      </c>
      <c r="C31" s="21"/>
      <c r="E31" s="21"/>
      <c r="F31" s="21">
        <v>0.09</v>
      </c>
      <c r="G31" s="21"/>
      <c r="H31" s="21"/>
      <c r="I31" s="21">
        <v>0.09</v>
      </c>
      <c r="J31" s="21"/>
      <c r="K31" s="21"/>
      <c r="L31" s="21"/>
      <c r="M31" s="21"/>
      <c r="N31" s="21"/>
      <c r="O31" s="21"/>
      <c r="P31" s="21"/>
      <c r="Q31" s="21"/>
      <c r="R31" s="21">
        <v>0.13</v>
      </c>
      <c r="S31" s="21"/>
      <c r="T31" s="21"/>
      <c r="U31" s="21"/>
      <c r="V31" s="21"/>
      <c r="W31" s="21"/>
      <c r="X31" s="21"/>
      <c r="Y31" s="21">
        <v>0.02</v>
      </c>
      <c r="Z31" s="21">
        <v>0.02</v>
      </c>
      <c r="AA31" s="21">
        <v>0.02</v>
      </c>
      <c r="AB31" s="21">
        <v>0.02</v>
      </c>
      <c r="AC31" s="21">
        <v>0.02</v>
      </c>
      <c r="AD31" s="21">
        <v>0.02</v>
      </c>
      <c r="AE31" s="21">
        <v>0.15</v>
      </c>
      <c r="AF31" s="21">
        <v>2.5000000000000001E-2</v>
      </c>
      <c r="AG31" s="21"/>
      <c r="AH31" s="21"/>
      <c r="AI31" s="21"/>
      <c r="AJ31" s="21">
        <v>0.01</v>
      </c>
      <c r="AK31" s="21">
        <v>0.01</v>
      </c>
      <c r="AL31" s="21"/>
      <c r="AM31" s="21"/>
      <c r="AN31" s="21"/>
      <c r="AO31" s="21"/>
      <c r="AP31" s="21"/>
      <c r="AQ31" s="21"/>
      <c r="AR31" s="21"/>
      <c r="AS31" s="21"/>
      <c r="AT31" s="21"/>
      <c r="AU31" s="21" t="s">
        <v>216</v>
      </c>
    </row>
    <row r="32" spans="1:47" ht="17">
      <c r="A32" s="3">
        <v>30</v>
      </c>
      <c r="B32" t="s">
        <v>121</v>
      </c>
      <c r="C32" s="21"/>
      <c r="E32" s="21"/>
      <c r="F32" s="21">
        <v>0.17499999999999999</v>
      </c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>
        <v>0.13</v>
      </c>
      <c r="S32" s="21"/>
      <c r="T32" s="21"/>
      <c r="U32" s="21"/>
      <c r="V32" s="21"/>
      <c r="W32" s="21"/>
      <c r="X32" s="21"/>
      <c r="Y32" s="21">
        <v>0.02</v>
      </c>
      <c r="Z32" s="21">
        <v>0.02</v>
      </c>
      <c r="AA32" s="21">
        <v>0.02</v>
      </c>
      <c r="AB32" s="21">
        <v>0.02</v>
      </c>
      <c r="AC32" s="21">
        <v>0.02</v>
      </c>
      <c r="AD32" s="21">
        <v>0.02</v>
      </c>
      <c r="AE32" s="21">
        <v>0.15</v>
      </c>
      <c r="AF32" s="21">
        <v>2.5000000000000001E-2</v>
      </c>
      <c r="AG32" s="21"/>
      <c r="AH32" s="21"/>
      <c r="AI32" s="21"/>
      <c r="AJ32" s="21">
        <v>0.01</v>
      </c>
      <c r="AK32" s="21">
        <v>0.01</v>
      </c>
      <c r="AL32" s="21"/>
      <c r="AM32" s="21"/>
      <c r="AN32" s="21"/>
      <c r="AO32" s="21"/>
      <c r="AP32" s="21"/>
      <c r="AQ32" s="21"/>
      <c r="AR32" s="21"/>
      <c r="AS32" s="21"/>
      <c r="AT32" s="21"/>
      <c r="AU32" s="21" t="s">
        <v>216</v>
      </c>
    </row>
    <row r="33" spans="1:47" ht="17">
      <c r="A33" s="3">
        <v>31</v>
      </c>
      <c r="B33" t="s">
        <v>122</v>
      </c>
      <c r="C33" s="21"/>
      <c r="E33" s="21"/>
      <c r="F33" s="21">
        <v>0.17499999999999999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>
        <v>0.13</v>
      </c>
      <c r="S33" s="21"/>
      <c r="T33" s="21"/>
      <c r="U33" s="21"/>
      <c r="V33" s="21"/>
      <c r="W33" s="21"/>
      <c r="X33" s="21"/>
      <c r="Y33" s="21">
        <v>0.02</v>
      </c>
      <c r="Z33" s="21">
        <v>0.02</v>
      </c>
      <c r="AA33" s="21">
        <v>0.02</v>
      </c>
      <c r="AB33" s="21">
        <v>0.02</v>
      </c>
      <c r="AC33" s="21">
        <v>0.02</v>
      </c>
      <c r="AD33" s="21">
        <v>0.02</v>
      </c>
      <c r="AE33" s="21">
        <v>0.15</v>
      </c>
      <c r="AF33" s="21">
        <v>2.5000000000000001E-2</v>
      </c>
      <c r="AG33" s="21"/>
      <c r="AH33" s="21"/>
      <c r="AI33" s="21"/>
      <c r="AJ33" s="21">
        <v>0.01</v>
      </c>
      <c r="AK33" s="21">
        <v>0.01</v>
      </c>
      <c r="AL33" s="21"/>
      <c r="AM33" s="21"/>
      <c r="AN33" s="21"/>
      <c r="AO33" s="21"/>
      <c r="AP33" s="21"/>
      <c r="AQ33" s="21"/>
      <c r="AR33" s="21"/>
      <c r="AS33" s="21"/>
      <c r="AT33" s="21"/>
      <c r="AU33" s="21" t="s">
        <v>216</v>
      </c>
    </row>
    <row r="34" spans="1:47" ht="17">
      <c r="A34" s="3">
        <v>32</v>
      </c>
      <c r="B34" t="s">
        <v>187</v>
      </c>
      <c r="C34" s="21"/>
      <c r="E34" s="21"/>
      <c r="F34" s="21">
        <v>0.17499999999999999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>
        <v>0.13</v>
      </c>
      <c r="S34" s="21"/>
      <c r="T34" s="21"/>
      <c r="U34" s="21"/>
      <c r="V34" s="21"/>
      <c r="W34" s="21"/>
      <c r="X34" s="21"/>
      <c r="Y34" s="21"/>
      <c r="Z34" s="21"/>
      <c r="AA34" s="21">
        <v>0.04</v>
      </c>
      <c r="AB34" s="21"/>
      <c r="AC34" s="21"/>
      <c r="AD34" s="21">
        <v>0.04</v>
      </c>
      <c r="AE34" s="21"/>
      <c r="AF34" s="21"/>
      <c r="AG34" s="21"/>
      <c r="AH34" s="21">
        <v>0.02</v>
      </c>
      <c r="AI34" s="21"/>
      <c r="AJ34" s="21">
        <v>0.01</v>
      </c>
      <c r="AK34" s="21">
        <v>0.01</v>
      </c>
      <c r="AL34" s="21"/>
      <c r="AM34" s="21"/>
      <c r="AN34" s="21"/>
      <c r="AO34" s="21"/>
      <c r="AP34" s="21"/>
      <c r="AQ34" s="21"/>
      <c r="AR34" s="21"/>
      <c r="AS34" s="21"/>
      <c r="AT34" s="21"/>
      <c r="AU34" s="21" t="s">
        <v>216</v>
      </c>
    </row>
    <row r="35" spans="1:47" ht="17">
      <c r="A35" s="3">
        <v>33</v>
      </c>
      <c r="B35" t="s">
        <v>123</v>
      </c>
      <c r="C35" s="21"/>
      <c r="E35" s="21"/>
      <c r="F35" s="21">
        <v>0.17499999999999999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>
        <v>0.13</v>
      </c>
      <c r="S35" s="21"/>
      <c r="T35" s="21"/>
      <c r="U35" s="21"/>
      <c r="V35" s="21"/>
      <c r="W35" s="21"/>
      <c r="X35" s="21"/>
      <c r="Y35" s="21">
        <v>0.02</v>
      </c>
      <c r="Z35" s="21">
        <v>0.02</v>
      </c>
      <c r="AA35" s="21">
        <v>0.02</v>
      </c>
      <c r="AB35" s="21">
        <v>0.02</v>
      </c>
      <c r="AC35" s="21">
        <v>0.02</v>
      </c>
      <c r="AD35" s="21">
        <v>0.02</v>
      </c>
      <c r="AE35" s="21">
        <v>0.15</v>
      </c>
      <c r="AF35" s="21">
        <v>2.5000000000000001E-2</v>
      </c>
      <c r="AG35" s="21"/>
      <c r="AH35" s="21"/>
      <c r="AI35" s="21"/>
      <c r="AJ35" s="21">
        <v>0.01</v>
      </c>
      <c r="AK35" s="21">
        <v>0.01</v>
      </c>
      <c r="AL35" s="21"/>
      <c r="AM35" s="21"/>
      <c r="AN35" s="21"/>
      <c r="AO35" s="21"/>
      <c r="AP35" s="21"/>
      <c r="AQ35" s="21"/>
      <c r="AR35" s="21"/>
      <c r="AS35" s="21"/>
      <c r="AT35" s="21"/>
      <c r="AU35" s="21" t="s">
        <v>216</v>
      </c>
    </row>
    <row r="36" spans="1:47" ht="17">
      <c r="A36" s="3">
        <v>34</v>
      </c>
      <c r="B36" t="s">
        <v>124</v>
      </c>
      <c r="C36" s="21"/>
      <c r="E36" s="21"/>
      <c r="F36" s="21">
        <v>0.17499999999999999</v>
      </c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>
        <v>0.13</v>
      </c>
      <c r="S36" s="21"/>
      <c r="T36" s="21"/>
      <c r="U36" s="21"/>
      <c r="V36" s="21"/>
      <c r="W36" s="21"/>
      <c r="X36" s="21"/>
      <c r="Y36" s="21">
        <v>0.02</v>
      </c>
      <c r="Z36" s="21">
        <v>0.02</v>
      </c>
      <c r="AA36" s="21">
        <v>0.02</v>
      </c>
      <c r="AB36" s="21">
        <v>0.02</v>
      </c>
      <c r="AC36" s="21">
        <v>0.02</v>
      </c>
      <c r="AD36" s="21">
        <v>0.02</v>
      </c>
      <c r="AE36" s="21">
        <v>0.15</v>
      </c>
      <c r="AF36" s="21">
        <v>2.5000000000000001E-2</v>
      </c>
      <c r="AG36" s="21"/>
      <c r="AH36" s="21"/>
      <c r="AI36" s="21"/>
      <c r="AJ36" s="21">
        <v>0.01</v>
      </c>
      <c r="AK36" s="21">
        <v>0.01</v>
      </c>
      <c r="AL36" s="21"/>
      <c r="AM36" s="21"/>
      <c r="AN36" s="21"/>
      <c r="AO36" s="21"/>
      <c r="AP36" s="21"/>
      <c r="AQ36" s="21">
        <v>0.02</v>
      </c>
      <c r="AR36" s="21"/>
      <c r="AS36" s="21"/>
      <c r="AT36" s="21"/>
      <c r="AU36" s="21" t="s">
        <v>216</v>
      </c>
    </row>
    <row r="37" spans="1:47" ht="17">
      <c r="A37" s="3">
        <v>35</v>
      </c>
      <c r="B37" t="s">
        <v>22</v>
      </c>
      <c r="C37" s="21"/>
      <c r="E37" s="21"/>
      <c r="F37" s="21">
        <v>0.17499999999999999</v>
      </c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>
        <v>0.13</v>
      </c>
      <c r="S37" s="21"/>
      <c r="T37" s="21"/>
      <c r="U37" s="21"/>
      <c r="V37" s="21"/>
      <c r="W37" s="21"/>
      <c r="X37" s="21"/>
      <c r="Y37" s="21"/>
      <c r="Z37" s="21">
        <v>0.04</v>
      </c>
      <c r="AA37" s="21"/>
      <c r="AB37" s="21">
        <v>0.04</v>
      </c>
      <c r="AC37" s="21"/>
      <c r="AD37" s="21"/>
      <c r="AE37" s="21"/>
      <c r="AF37" s="21"/>
      <c r="AG37" s="21"/>
      <c r="AH37" s="21"/>
      <c r="AI37" s="21"/>
      <c r="AJ37" s="21">
        <v>0.01</v>
      </c>
      <c r="AK37" s="21">
        <v>0.01</v>
      </c>
      <c r="AL37" s="21"/>
      <c r="AM37" s="21"/>
      <c r="AN37" s="21"/>
      <c r="AO37" s="21"/>
      <c r="AP37" s="21"/>
      <c r="AQ37" s="21"/>
      <c r="AR37" s="21"/>
      <c r="AS37" s="21"/>
      <c r="AT37" s="21"/>
      <c r="AU37" s="21" t="s">
        <v>216</v>
      </c>
    </row>
    <row r="38" spans="1:47" ht="17">
      <c r="A38" s="3">
        <v>36</v>
      </c>
      <c r="B38" t="s">
        <v>125</v>
      </c>
      <c r="C38" s="21"/>
      <c r="D38" s="21"/>
      <c r="E38" s="21"/>
      <c r="F38" s="21"/>
      <c r="G38" s="21">
        <v>0.17499999999999999</v>
      </c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>
        <v>0.13</v>
      </c>
      <c r="S38" s="21"/>
      <c r="T38" s="21"/>
      <c r="U38" s="21"/>
      <c r="V38" s="21"/>
      <c r="W38" s="21"/>
      <c r="X38" s="21"/>
      <c r="Y38" s="21">
        <v>0.02</v>
      </c>
      <c r="Z38" s="21">
        <v>0.02</v>
      </c>
      <c r="AA38" s="21">
        <v>0.02</v>
      </c>
      <c r="AB38" s="21">
        <v>0.02</v>
      </c>
      <c r="AC38" s="21">
        <v>0.02</v>
      </c>
      <c r="AD38" s="21">
        <v>0.02</v>
      </c>
      <c r="AE38" s="21">
        <v>0.15</v>
      </c>
      <c r="AF38" s="21">
        <v>2.5000000000000001E-2</v>
      </c>
      <c r="AG38" s="21"/>
      <c r="AH38" s="21"/>
      <c r="AI38" s="21"/>
      <c r="AJ38" s="21">
        <v>0.01</v>
      </c>
      <c r="AK38" s="21">
        <v>0.01</v>
      </c>
      <c r="AL38" s="21"/>
      <c r="AM38" s="21"/>
      <c r="AN38" s="21"/>
      <c r="AO38" s="21"/>
      <c r="AP38" s="21"/>
      <c r="AQ38" s="21"/>
      <c r="AR38" s="21"/>
      <c r="AS38" s="21"/>
      <c r="AT38" s="21"/>
      <c r="AU38" s="21" t="s">
        <v>216</v>
      </c>
    </row>
    <row r="39" spans="1:47" ht="17">
      <c r="A39" s="3">
        <v>37</v>
      </c>
      <c r="B39" t="s">
        <v>126</v>
      </c>
      <c r="C39" s="21"/>
      <c r="D39" s="21"/>
      <c r="E39" s="21"/>
      <c r="F39" s="21"/>
      <c r="G39" s="21">
        <v>0.17499999999999999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>
        <v>0.13</v>
      </c>
      <c r="S39" s="21"/>
      <c r="T39" s="21"/>
      <c r="U39" s="21"/>
      <c r="V39" s="21"/>
      <c r="W39" s="21"/>
      <c r="X39" s="21"/>
      <c r="Y39" s="21">
        <v>0.02</v>
      </c>
      <c r="Z39" s="21">
        <v>0.02</v>
      </c>
      <c r="AA39" s="21">
        <v>0.02</v>
      </c>
      <c r="AB39" s="21">
        <v>0.02</v>
      </c>
      <c r="AC39" s="21">
        <v>0.02</v>
      </c>
      <c r="AD39" s="21">
        <v>0.02</v>
      </c>
      <c r="AE39" s="21">
        <v>0.15</v>
      </c>
      <c r="AF39" s="21">
        <v>2.5000000000000001E-2</v>
      </c>
      <c r="AG39" s="21"/>
      <c r="AH39" s="21"/>
      <c r="AI39" s="21"/>
      <c r="AJ39" s="21">
        <v>0.01</v>
      </c>
      <c r="AK39" s="21">
        <v>0.01</v>
      </c>
      <c r="AL39" s="21"/>
      <c r="AM39" s="21"/>
      <c r="AN39" s="21"/>
      <c r="AO39" s="21"/>
      <c r="AP39" s="21"/>
      <c r="AQ39" s="21"/>
      <c r="AR39" s="21"/>
      <c r="AS39" s="21"/>
      <c r="AT39" s="21"/>
      <c r="AU39" s="21" t="s">
        <v>216</v>
      </c>
    </row>
    <row r="40" spans="1:47" ht="17">
      <c r="A40" s="3">
        <v>38</v>
      </c>
      <c r="B40" t="s">
        <v>127</v>
      </c>
      <c r="C40" s="21"/>
      <c r="D40" s="21"/>
      <c r="E40" s="21">
        <v>0.17499999999999999</v>
      </c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>
        <v>0.13</v>
      </c>
      <c r="S40" s="21"/>
      <c r="T40" s="21"/>
      <c r="U40" s="21"/>
      <c r="V40" s="21"/>
      <c r="W40" s="21"/>
      <c r="X40" s="21"/>
      <c r="Y40" s="21">
        <v>0.02</v>
      </c>
      <c r="Z40" s="21">
        <v>0.02</v>
      </c>
      <c r="AA40" s="21">
        <v>0.02</v>
      </c>
      <c r="AB40" s="21">
        <v>0.02</v>
      </c>
      <c r="AC40" s="21">
        <v>0.02</v>
      </c>
      <c r="AD40" s="21">
        <v>0.02</v>
      </c>
      <c r="AE40" s="21">
        <v>0.15</v>
      </c>
      <c r="AF40" s="21">
        <v>2.5000000000000001E-2</v>
      </c>
      <c r="AG40" s="21"/>
      <c r="AH40" s="21"/>
      <c r="AI40" s="21"/>
      <c r="AJ40" s="21">
        <v>0.01</v>
      </c>
      <c r="AK40" s="21">
        <v>0.01</v>
      </c>
      <c r="AL40" s="21"/>
      <c r="AM40" s="21"/>
      <c r="AN40" s="21"/>
      <c r="AO40" s="21"/>
      <c r="AP40" s="21"/>
      <c r="AQ40" s="21"/>
      <c r="AR40" s="21"/>
      <c r="AS40" s="21"/>
      <c r="AT40" s="21"/>
      <c r="AU40" s="21" t="s">
        <v>216</v>
      </c>
    </row>
    <row r="41" spans="1:47" ht="17">
      <c r="A41" s="3">
        <v>39</v>
      </c>
      <c r="B41" t="s">
        <v>128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>
        <v>0.13</v>
      </c>
      <c r="S41" s="21"/>
      <c r="T41" s="21"/>
      <c r="U41" s="21"/>
      <c r="V41" s="21"/>
      <c r="W41" s="21"/>
      <c r="X41" s="21"/>
      <c r="Y41" s="21">
        <v>0.02</v>
      </c>
      <c r="Z41" s="21">
        <v>0.02</v>
      </c>
      <c r="AA41" s="21">
        <v>0.02</v>
      </c>
      <c r="AB41" s="21">
        <v>0.02</v>
      </c>
      <c r="AC41" s="21">
        <v>0.02</v>
      </c>
      <c r="AD41" s="21">
        <v>0.02</v>
      </c>
      <c r="AE41" s="21">
        <v>0.15</v>
      </c>
      <c r="AF41" s="21">
        <v>2.5000000000000001E-2</v>
      </c>
      <c r="AG41" s="21"/>
      <c r="AH41" s="21"/>
      <c r="AI41" s="21"/>
      <c r="AJ41" s="21">
        <v>0.01</v>
      </c>
      <c r="AK41" s="21">
        <v>0.01</v>
      </c>
      <c r="AL41" s="21"/>
      <c r="AM41" s="21"/>
      <c r="AN41" s="21"/>
      <c r="AO41" s="21"/>
      <c r="AP41" s="21"/>
      <c r="AQ41" s="21"/>
      <c r="AR41" s="21"/>
      <c r="AS41" s="21"/>
      <c r="AT41" s="21"/>
      <c r="AU41" s="21" t="s">
        <v>216</v>
      </c>
    </row>
    <row r="42" spans="1:47" ht="17">
      <c r="A42" s="3">
        <v>40</v>
      </c>
      <c r="B42" t="s">
        <v>129</v>
      </c>
      <c r="C42" s="21"/>
      <c r="D42" s="21"/>
      <c r="E42" s="21"/>
      <c r="F42" s="21"/>
      <c r="G42" s="21"/>
      <c r="H42" s="21"/>
      <c r="I42" s="21">
        <v>0.17499999999999999</v>
      </c>
      <c r="J42" s="21"/>
      <c r="K42" s="21"/>
      <c r="L42" s="21"/>
      <c r="M42" s="21"/>
      <c r="N42" s="21"/>
      <c r="O42" s="21"/>
      <c r="P42" s="21"/>
      <c r="Q42" s="21"/>
      <c r="R42" s="21">
        <v>0.13</v>
      </c>
      <c r="S42" s="21"/>
      <c r="T42" s="21"/>
      <c r="U42" s="21"/>
      <c r="V42" s="21"/>
      <c r="W42" s="21"/>
      <c r="X42" s="21"/>
      <c r="Y42" s="21">
        <v>0.02</v>
      </c>
      <c r="Z42" s="21">
        <v>0.02</v>
      </c>
      <c r="AA42" s="21">
        <v>0.02</v>
      </c>
      <c r="AB42" s="21">
        <v>0.02</v>
      </c>
      <c r="AC42" s="21">
        <v>0.02</v>
      </c>
      <c r="AD42" s="21">
        <v>0.02</v>
      </c>
      <c r="AE42" s="21">
        <v>0.15</v>
      </c>
      <c r="AF42" s="21">
        <v>2.5000000000000001E-2</v>
      </c>
      <c r="AG42" s="21"/>
      <c r="AH42" s="21"/>
      <c r="AI42" s="21"/>
      <c r="AJ42" s="21">
        <v>0.01</v>
      </c>
      <c r="AK42" s="21">
        <v>0.01</v>
      </c>
      <c r="AL42" s="21"/>
      <c r="AM42" s="21"/>
      <c r="AN42" s="21"/>
      <c r="AO42" s="21"/>
      <c r="AP42" s="21"/>
      <c r="AQ42" s="21"/>
      <c r="AR42" s="21"/>
      <c r="AS42" s="21"/>
      <c r="AT42" s="21"/>
      <c r="AU42" s="21" t="s">
        <v>216</v>
      </c>
    </row>
    <row r="43" spans="1:47" ht="17">
      <c r="A43" s="3">
        <v>41</v>
      </c>
      <c r="B43" t="s">
        <v>130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>
        <v>0.05</v>
      </c>
      <c r="P43" s="21"/>
      <c r="Q43" s="21"/>
      <c r="R43" s="21">
        <v>0.13</v>
      </c>
      <c r="S43" s="21"/>
      <c r="T43" s="21"/>
      <c r="U43" s="21"/>
      <c r="V43" s="21"/>
      <c r="W43" s="21">
        <v>0.05</v>
      </c>
      <c r="X43" s="21"/>
      <c r="Y43" s="21">
        <v>0.02</v>
      </c>
      <c r="Z43" s="21">
        <v>0.02</v>
      </c>
      <c r="AA43" s="21">
        <v>0.02</v>
      </c>
      <c r="AB43" s="21">
        <v>0.02</v>
      </c>
      <c r="AC43" s="21">
        <v>0.02</v>
      </c>
      <c r="AD43" s="21">
        <v>0.02</v>
      </c>
      <c r="AE43" s="21">
        <v>0.15</v>
      </c>
      <c r="AF43" s="21">
        <v>2.5000000000000001E-2</v>
      </c>
      <c r="AG43" s="21"/>
      <c r="AH43" s="21">
        <v>1E-3</v>
      </c>
      <c r="AI43" s="21"/>
      <c r="AJ43" s="21">
        <v>0.01</v>
      </c>
      <c r="AK43" s="21">
        <v>0.01</v>
      </c>
      <c r="AL43" s="21"/>
      <c r="AM43" s="21"/>
      <c r="AN43" s="21"/>
      <c r="AO43" s="21"/>
      <c r="AP43" s="21"/>
      <c r="AQ43" s="21"/>
      <c r="AR43" s="21"/>
      <c r="AS43" s="21"/>
      <c r="AT43" s="21"/>
      <c r="AU43" s="21" t="s">
        <v>216</v>
      </c>
    </row>
    <row r="44" spans="1:47" ht="17">
      <c r="A44" s="3">
        <v>42</v>
      </c>
      <c r="B44" t="s">
        <v>150</v>
      </c>
      <c r="C44" s="21"/>
      <c r="D44" s="21">
        <v>0.17499999999999999</v>
      </c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>
        <v>6.7000000000000004E-2</v>
      </c>
      <c r="R44" s="21"/>
      <c r="S44" s="21"/>
      <c r="T44" s="21"/>
      <c r="U44" s="21"/>
      <c r="V44" s="21"/>
      <c r="W44" s="21"/>
      <c r="X44" s="21"/>
      <c r="Y44" s="21">
        <v>0.02</v>
      </c>
      <c r="Z44" s="21">
        <v>0.02</v>
      </c>
      <c r="AA44" s="21">
        <v>0.02</v>
      </c>
      <c r="AB44" s="21">
        <v>0.02</v>
      </c>
      <c r="AC44" s="21">
        <v>0.02</v>
      </c>
      <c r="AD44" s="21">
        <v>0.02</v>
      </c>
      <c r="AE44" s="21">
        <v>0.15</v>
      </c>
      <c r="AF44" s="21">
        <v>2.5000000000000001E-2</v>
      </c>
      <c r="AG44" s="21"/>
      <c r="AH44" s="21"/>
      <c r="AI44" s="21"/>
      <c r="AJ44" s="21">
        <v>0.01</v>
      </c>
      <c r="AK44" s="21">
        <v>0.01</v>
      </c>
      <c r="AL44" s="21"/>
      <c r="AM44" s="21"/>
      <c r="AN44" s="21"/>
      <c r="AO44" s="21"/>
      <c r="AP44" s="21"/>
      <c r="AQ44" s="21"/>
      <c r="AR44" s="21"/>
      <c r="AS44" s="21"/>
      <c r="AT44" s="21"/>
      <c r="AU44" s="21" t="s">
        <v>216</v>
      </c>
    </row>
    <row r="45" spans="1:47" ht="17">
      <c r="A45" s="3">
        <v>43</v>
      </c>
      <c r="B45" t="s">
        <v>151</v>
      </c>
      <c r="C45" s="21"/>
      <c r="D45" s="21"/>
      <c r="E45" s="21"/>
      <c r="F45" s="21"/>
      <c r="G45" s="21"/>
      <c r="H45" s="21"/>
      <c r="I45" s="21"/>
      <c r="J45" s="21">
        <v>0.17499999999999999</v>
      </c>
      <c r="K45" s="21"/>
      <c r="L45" s="21"/>
      <c r="M45" s="21"/>
      <c r="N45" s="21"/>
      <c r="O45" s="21"/>
      <c r="P45" s="21"/>
      <c r="Q45" s="21">
        <v>6.7000000000000004E-2</v>
      </c>
      <c r="R45" s="21"/>
      <c r="S45" s="21"/>
      <c r="T45" s="21"/>
      <c r="U45" s="21"/>
      <c r="V45" s="21"/>
      <c r="W45" s="21"/>
      <c r="X45" s="21"/>
      <c r="Y45" s="21">
        <v>0.02</v>
      </c>
      <c r="Z45" s="21">
        <v>0.02</v>
      </c>
      <c r="AA45" s="21">
        <v>0.02</v>
      </c>
      <c r="AB45" s="21">
        <v>0.02</v>
      </c>
      <c r="AC45" s="21">
        <v>0.02</v>
      </c>
      <c r="AD45" s="21">
        <v>0.02</v>
      </c>
      <c r="AE45" s="21">
        <v>0.15</v>
      </c>
      <c r="AF45" s="21">
        <v>2.5000000000000001E-2</v>
      </c>
      <c r="AG45" s="21"/>
      <c r="AH45" s="21"/>
      <c r="AI45" s="21"/>
      <c r="AJ45" s="21">
        <v>0.01</v>
      </c>
      <c r="AK45" s="21">
        <v>0.01</v>
      </c>
      <c r="AL45" s="21"/>
      <c r="AM45" s="21"/>
      <c r="AN45" s="21"/>
      <c r="AO45" s="21"/>
      <c r="AP45" s="21"/>
      <c r="AQ45" s="21"/>
      <c r="AR45" s="21"/>
      <c r="AS45" s="21"/>
      <c r="AT45" s="21"/>
      <c r="AU45" s="21" t="s">
        <v>216</v>
      </c>
    </row>
    <row r="46" spans="1:47" ht="17">
      <c r="A46" s="3">
        <v>44</v>
      </c>
      <c r="B46" t="s">
        <v>131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>
        <v>0.02</v>
      </c>
      <c r="Z46" s="21">
        <v>0.02</v>
      </c>
      <c r="AA46" s="21">
        <v>0.02</v>
      </c>
      <c r="AB46" s="21">
        <v>0.02</v>
      </c>
      <c r="AC46" s="21">
        <v>0.02</v>
      </c>
      <c r="AD46" s="21">
        <v>0.02</v>
      </c>
      <c r="AE46" s="21">
        <v>0.15</v>
      </c>
      <c r="AF46" s="21">
        <v>2.5000000000000001E-2</v>
      </c>
      <c r="AG46" s="21"/>
      <c r="AH46" s="21"/>
      <c r="AI46" s="21"/>
      <c r="AJ46" s="21">
        <v>0.01</v>
      </c>
      <c r="AK46" s="21">
        <v>0.01</v>
      </c>
      <c r="AL46" s="21"/>
      <c r="AM46" s="21"/>
      <c r="AN46" s="21"/>
      <c r="AO46" s="21"/>
      <c r="AP46" s="21"/>
      <c r="AQ46" s="21"/>
      <c r="AR46" s="21"/>
      <c r="AS46" s="21"/>
      <c r="AT46" s="21"/>
      <c r="AU46" s="21" t="s">
        <v>216</v>
      </c>
    </row>
    <row r="47" spans="1:47" ht="17">
      <c r="A47" s="3">
        <v>45</v>
      </c>
      <c r="B47" t="s">
        <v>132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>
        <v>0.02</v>
      </c>
      <c r="Z47" s="21">
        <v>0.02</v>
      </c>
      <c r="AA47" s="21">
        <v>0.02</v>
      </c>
      <c r="AB47" s="21">
        <v>0.02</v>
      </c>
      <c r="AC47" s="21">
        <v>0.02</v>
      </c>
      <c r="AD47" s="21">
        <v>0.02</v>
      </c>
      <c r="AE47" s="21">
        <v>0.15</v>
      </c>
      <c r="AF47" s="21">
        <v>2.5000000000000001E-2</v>
      </c>
      <c r="AG47" s="21"/>
      <c r="AH47" s="21"/>
      <c r="AI47" s="21"/>
      <c r="AJ47" s="21">
        <v>0.01</v>
      </c>
      <c r="AK47" s="21">
        <v>0.01</v>
      </c>
      <c r="AL47" s="21"/>
      <c r="AM47" s="21"/>
      <c r="AN47" s="21"/>
      <c r="AO47" s="21"/>
      <c r="AP47" s="21"/>
      <c r="AQ47" s="21"/>
      <c r="AR47" s="21"/>
      <c r="AS47" s="21"/>
      <c r="AT47" s="21"/>
      <c r="AU47" s="21" t="s">
        <v>216</v>
      </c>
    </row>
    <row r="48" spans="1:47" ht="17">
      <c r="A48" s="3">
        <v>46</v>
      </c>
      <c r="B48" t="s">
        <v>21</v>
      </c>
      <c r="C48" s="21"/>
      <c r="D48" s="21"/>
      <c r="E48" s="21"/>
      <c r="F48" s="21"/>
      <c r="G48" s="21"/>
      <c r="H48" s="21">
        <v>0.15</v>
      </c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>
        <v>0.3</v>
      </c>
      <c r="AM48" s="21">
        <v>0.02</v>
      </c>
      <c r="AN48" s="21"/>
      <c r="AO48" s="21"/>
      <c r="AP48" s="21"/>
      <c r="AQ48" s="21"/>
      <c r="AR48" s="21"/>
      <c r="AS48" s="21"/>
      <c r="AT48" s="21"/>
      <c r="AU48" s="21" t="s">
        <v>216</v>
      </c>
    </row>
    <row r="49" spans="1:47" ht="17">
      <c r="A49" s="3">
        <v>47</v>
      </c>
      <c r="B49" t="s">
        <v>133</v>
      </c>
      <c r="C49" s="21"/>
      <c r="D49" s="21"/>
      <c r="E49" s="21"/>
      <c r="F49" s="21"/>
      <c r="G49" s="21"/>
      <c r="H49" s="21">
        <v>0.15</v>
      </c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>
        <v>0.15</v>
      </c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>
        <v>0.02</v>
      </c>
      <c r="AN49" s="21"/>
      <c r="AO49" s="21"/>
      <c r="AP49" s="21"/>
      <c r="AQ49" s="21"/>
      <c r="AR49" s="21"/>
      <c r="AS49" s="21"/>
      <c r="AT49" s="21"/>
      <c r="AU49" s="21" t="s">
        <v>216</v>
      </c>
    </row>
    <row r="50" spans="1:47" ht="17">
      <c r="A50" s="3">
        <v>48</v>
      </c>
      <c r="B50" t="s">
        <v>188</v>
      </c>
      <c r="C50" s="21"/>
      <c r="D50" s="21"/>
      <c r="E50" s="21"/>
      <c r="F50" s="21"/>
      <c r="G50" s="21">
        <v>0.17499999999999999</v>
      </c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>
        <v>0.15</v>
      </c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>
        <v>0.02</v>
      </c>
      <c r="AN50" s="21">
        <v>0.01</v>
      </c>
      <c r="AO50" s="21"/>
      <c r="AP50" s="21"/>
      <c r="AQ50" s="21"/>
      <c r="AR50" s="21"/>
      <c r="AS50" s="21"/>
      <c r="AT50" s="21"/>
      <c r="AU50" s="21" t="s">
        <v>216</v>
      </c>
    </row>
    <row r="51" spans="1:47" ht="17">
      <c r="A51" s="3">
        <v>49</v>
      </c>
      <c r="B51" t="s">
        <v>134</v>
      </c>
      <c r="C51" s="21"/>
      <c r="D51" s="21"/>
      <c r="E51" s="21"/>
      <c r="F51" s="21">
        <v>0.17499999999999999</v>
      </c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>
        <v>0.02</v>
      </c>
      <c r="Z51" s="21">
        <v>0.02</v>
      </c>
      <c r="AA51" s="21">
        <v>0.02</v>
      </c>
      <c r="AB51" s="21">
        <v>0.02</v>
      </c>
      <c r="AC51" s="21">
        <v>0.02</v>
      </c>
      <c r="AD51" s="21">
        <v>0.02</v>
      </c>
      <c r="AE51" s="21">
        <v>0.15</v>
      </c>
      <c r="AF51" s="21">
        <v>2.5000000000000001E-2</v>
      </c>
      <c r="AG51" s="21"/>
      <c r="AH51" s="21"/>
      <c r="AI51" s="21"/>
      <c r="AJ51" s="21">
        <v>0.01</v>
      </c>
      <c r="AK51" s="21">
        <v>0.01</v>
      </c>
      <c r="AL51" s="21"/>
      <c r="AM51" s="21"/>
      <c r="AN51" s="21"/>
      <c r="AO51" s="21"/>
      <c r="AP51" s="21"/>
      <c r="AQ51" s="21"/>
      <c r="AR51" s="21"/>
      <c r="AS51" s="21"/>
      <c r="AT51" s="21"/>
      <c r="AU51" s="21" t="s">
        <v>216</v>
      </c>
    </row>
    <row r="52" spans="1:47" ht="17">
      <c r="A52" s="3">
        <v>50</v>
      </c>
      <c r="B52" t="s">
        <v>135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>
        <v>0.2</v>
      </c>
      <c r="N52" s="21"/>
      <c r="O52" s="21"/>
      <c r="P52" s="21"/>
      <c r="Q52" s="21"/>
      <c r="R52" s="21"/>
      <c r="S52" s="21">
        <v>0.15</v>
      </c>
      <c r="T52" s="21">
        <v>0.1</v>
      </c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>
        <v>0.02</v>
      </c>
      <c r="AN52" s="21"/>
      <c r="AO52" s="21"/>
      <c r="AP52" s="21"/>
      <c r="AQ52" s="21"/>
      <c r="AR52" s="21"/>
      <c r="AS52" s="21"/>
      <c r="AT52" s="21"/>
      <c r="AU52" s="21" t="s">
        <v>216</v>
      </c>
    </row>
    <row r="53" spans="1:47" ht="17">
      <c r="A53" s="3">
        <v>51</v>
      </c>
      <c r="B53" t="s">
        <v>136</v>
      </c>
      <c r="C53" s="21"/>
      <c r="D53" s="21"/>
      <c r="E53" s="21"/>
      <c r="F53" s="21">
        <v>0.1</v>
      </c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>
        <v>0.05</v>
      </c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>
        <v>0.02</v>
      </c>
      <c r="AN53" s="21"/>
      <c r="AO53" s="21"/>
      <c r="AP53" s="21"/>
      <c r="AQ53" s="21"/>
      <c r="AR53" s="21"/>
      <c r="AS53" s="21"/>
      <c r="AT53" s="21"/>
      <c r="AU53" s="21" t="s">
        <v>216</v>
      </c>
    </row>
    <row r="54" spans="1:47" ht="17">
      <c r="A54" s="3">
        <v>52</v>
      </c>
      <c r="B54" t="s">
        <v>186</v>
      </c>
      <c r="C54" s="21"/>
      <c r="D54" s="21"/>
      <c r="E54" s="21"/>
      <c r="F54" s="21"/>
      <c r="G54" s="21"/>
      <c r="H54" s="21"/>
      <c r="I54" s="21">
        <v>0.17499999999999999</v>
      </c>
      <c r="J54" s="21"/>
      <c r="K54" s="21"/>
      <c r="L54" s="21"/>
      <c r="M54" s="21"/>
      <c r="N54" s="21"/>
      <c r="O54" s="21"/>
      <c r="P54" s="21"/>
      <c r="Q54" s="21"/>
      <c r="R54" s="21"/>
      <c r="S54" s="21">
        <v>0.15</v>
      </c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>
        <v>0.02</v>
      </c>
      <c r="AN54" s="21"/>
      <c r="AO54" s="21"/>
      <c r="AP54" s="21"/>
      <c r="AQ54" s="21"/>
      <c r="AR54" s="21"/>
      <c r="AS54" s="21"/>
      <c r="AT54" s="21"/>
      <c r="AU54" s="21" t="s">
        <v>216</v>
      </c>
    </row>
    <row r="55" spans="1:47">
      <c r="B55" t="s">
        <v>140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 t="s">
        <v>216</v>
      </c>
    </row>
    <row r="56" spans="1:47">
      <c r="B56" t="s">
        <v>141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 t="s">
        <v>216</v>
      </c>
    </row>
    <row r="57" spans="1:47">
      <c r="B57" t="s">
        <v>142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 t="s">
        <v>216</v>
      </c>
    </row>
    <row r="58" spans="1:47">
      <c r="A58" t="s">
        <v>94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 t="s">
        <v>216</v>
      </c>
    </row>
    <row r="59" spans="1:47" ht="17">
      <c r="A59" s="3">
        <v>53</v>
      </c>
      <c r="B59" t="s">
        <v>137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>
        <v>0.125</v>
      </c>
      <c r="T59" s="21"/>
      <c r="U59" s="21"/>
      <c r="V59" s="21">
        <v>0.1</v>
      </c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 t="s">
        <v>216</v>
      </c>
    </row>
    <row r="60" spans="1:47" ht="17">
      <c r="A60" s="3">
        <v>54</v>
      </c>
      <c r="B60" t="s">
        <v>138</v>
      </c>
      <c r="C60" s="21"/>
      <c r="D60" s="21"/>
      <c r="E60" s="21"/>
      <c r="F60" s="21"/>
      <c r="G60" s="21"/>
      <c r="H60" s="21"/>
      <c r="I60" s="21">
        <v>0.1</v>
      </c>
      <c r="J60" s="21"/>
      <c r="K60" s="21"/>
      <c r="L60" s="21"/>
      <c r="M60" s="21"/>
      <c r="N60" s="21"/>
      <c r="O60" s="21"/>
      <c r="P60" s="21"/>
      <c r="Q60" s="21"/>
      <c r="R60" s="21"/>
      <c r="S60" s="21">
        <v>0.125</v>
      </c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>
        <v>0.02</v>
      </c>
      <c r="AN60" s="21"/>
      <c r="AO60" s="21"/>
      <c r="AP60" s="21"/>
      <c r="AQ60" s="21"/>
      <c r="AR60" s="21"/>
      <c r="AS60" s="21"/>
      <c r="AT60" s="21"/>
      <c r="AU60" s="21" t="s">
        <v>216</v>
      </c>
    </row>
    <row r="61" spans="1:47" ht="17">
      <c r="A61" s="3">
        <v>55</v>
      </c>
      <c r="B61" t="s">
        <v>59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>
        <v>0.1</v>
      </c>
      <c r="O61" s="21"/>
      <c r="P61" s="21"/>
      <c r="Q61" s="21"/>
      <c r="R61" s="21"/>
      <c r="S61" s="21"/>
      <c r="T61" s="21">
        <v>0.1</v>
      </c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 t="s">
        <v>216</v>
      </c>
    </row>
    <row r="62" spans="1:47" ht="17">
      <c r="A62" s="3">
        <v>56</v>
      </c>
      <c r="B62" t="s">
        <v>135</v>
      </c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>
        <v>0.1</v>
      </c>
      <c r="O62" s="21"/>
      <c r="P62" s="21"/>
      <c r="Q62" s="21"/>
      <c r="R62" s="21"/>
      <c r="S62" s="21"/>
      <c r="T62" s="21">
        <v>0.1</v>
      </c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>
        <v>0.02</v>
      </c>
      <c r="AL62" s="21"/>
      <c r="AM62" s="21"/>
      <c r="AN62" s="21"/>
      <c r="AO62" s="21"/>
      <c r="AP62" s="21"/>
      <c r="AQ62" s="21"/>
      <c r="AR62" s="21"/>
      <c r="AS62" s="21"/>
      <c r="AT62" s="21"/>
      <c r="AU62" s="21" t="s">
        <v>216</v>
      </c>
    </row>
    <row r="63" spans="1:47">
      <c r="A63" t="s">
        <v>144</v>
      </c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 t="s">
        <v>216</v>
      </c>
    </row>
    <row r="64" spans="1:47">
      <c r="A64">
        <v>57</v>
      </c>
      <c r="B64" t="s">
        <v>145</v>
      </c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>
        <v>0.06</v>
      </c>
      <c r="AQ64" s="21"/>
      <c r="AR64" s="21"/>
      <c r="AS64" s="21"/>
      <c r="AT64" s="21">
        <v>7.0000000000000007E-2</v>
      </c>
      <c r="AU64" s="21" t="s">
        <v>216</v>
      </c>
    </row>
    <row r="65" spans="1:47">
      <c r="A65">
        <v>58</v>
      </c>
      <c r="B65" t="s">
        <v>146</v>
      </c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>
        <v>0.06</v>
      </c>
      <c r="AQ65" s="21"/>
      <c r="AR65" s="21"/>
      <c r="AS65" s="21"/>
      <c r="AT65" s="21">
        <v>7.0000000000000007E-2</v>
      </c>
      <c r="AU65" s="21" t="s">
        <v>216</v>
      </c>
    </row>
    <row r="66" spans="1:47">
      <c r="A66">
        <v>59</v>
      </c>
      <c r="B66" t="s">
        <v>149</v>
      </c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>
        <v>8.5000000000000006E-2</v>
      </c>
      <c r="AS66" s="21"/>
      <c r="AT66" s="21">
        <v>7.0000000000000007E-2</v>
      </c>
      <c r="AU66" s="21" t="s">
        <v>216</v>
      </c>
    </row>
    <row r="67" spans="1:47">
      <c r="A67">
        <v>60</v>
      </c>
      <c r="B67" t="s">
        <v>147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>
        <v>0.05</v>
      </c>
      <c r="AT67" s="21">
        <v>7.0000000000000007E-2</v>
      </c>
      <c r="AU67" s="21" t="s">
        <v>216</v>
      </c>
    </row>
    <row r="68" spans="1:47">
      <c r="A68">
        <v>61</v>
      </c>
      <c r="B68" t="s">
        <v>148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>
        <v>7.0000000000000007E-2</v>
      </c>
      <c r="AU68" s="21" t="s">
        <v>216</v>
      </c>
    </row>
    <row r="69" spans="1:47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</row>
    <row r="70" spans="1:47">
      <c r="B70" t="s">
        <v>143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</row>
    <row r="71" spans="1:47"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</row>
    <row r="72" spans="1:47">
      <c r="A72" t="s">
        <v>44</v>
      </c>
      <c r="B72" t="s">
        <v>222</v>
      </c>
      <c r="C72" s="21">
        <f>SUM(C3:C71)</f>
        <v>0.11</v>
      </c>
      <c r="D72" s="21">
        <f>SUM(D3:D71)</f>
        <v>0.7</v>
      </c>
      <c r="E72" s="21">
        <f>SUM(E3:E71)</f>
        <v>0.17499999999999999</v>
      </c>
      <c r="F72" s="21">
        <f>SUM(F3:F71)</f>
        <v>1.7650000000000003</v>
      </c>
      <c r="G72" s="21">
        <f t="shared" ref="G72:AT72" si="0">SUM(G3:G71)</f>
        <v>0.52499999999999991</v>
      </c>
      <c r="H72" s="21">
        <f t="shared" si="0"/>
        <v>0.65500000000000003</v>
      </c>
      <c r="I72" s="21">
        <f t="shared" si="0"/>
        <v>1.6650000000000003</v>
      </c>
      <c r="J72" s="21">
        <f t="shared" si="0"/>
        <v>0.90000000000000013</v>
      </c>
      <c r="K72" s="21">
        <f t="shared" si="0"/>
        <v>0.22499999999999998</v>
      </c>
      <c r="L72" s="21">
        <f t="shared" si="0"/>
        <v>0.3</v>
      </c>
      <c r="M72" s="21">
        <f t="shared" si="0"/>
        <v>0.2</v>
      </c>
      <c r="N72" s="21">
        <f t="shared" si="0"/>
        <v>0.2</v>
      </c>
      <c r="O72" s="21">
        <f t="shared" si="0"/>
        <v>0.09</v>
      </c>
      <c r="P72" s="21">
        <f t="shared" si="0"/>
        <v>7.0000000000000007E-2</v>
      </c>
      <c r="Q72" s="21">
        <f t="shared" si="0"/>
        <v>0.13400000000000001</v>
      </c>
      <c r="R72" s="21">
        <f t="shared" si="0"/>
        <v>4.2899999999999974</v>
      </c>
      <c r="S72" s="21">
        <f t="shared" si="0"/>
        <v>0.85</v>
      </c>
      <c r="T72" s="21">
        <f t="shared" si="0"/>
        <v>0.4</v>
      </c>
      <c r="U72" s="21">
        <f t="shared" si="0"/>
        <v>0.02</v>
      </c>
      <c r="V72" s="21">
        <f t="shared" si="0"/>
        <v>0.1</v>
      </c>
      <c r="W72" s="21">
        <f t="shared" si="0"/>
        <v>0.05</v>
      </c>
      <c r="X72" s="21">
        <f t="shared" si="0"/>
        <v>1</v>
      </c>
      <c r="Y72" s="21">
        <f t="shared" si="0"/>
        <v>0.64000000000000024</v>
      </c>
      <c r="Z72" s="21">
        <f t="shared" si="0"/>
        <v>0.68300000000000027</v>
      </c>
      <c r="AA72" s="21">
        <f t="shared" si="0"/>
        <v>0.66000000000000025</v>
      </c>
      <c r="AB72" s="21">
        <f t="shared" si="0"/>
        <v>0.66100000000000025</v>
      </c>
      <c r="AC72" s="21">
        <f t="shared" si="0"/>
        <v>0.6000000000000002</v>
      </c>
      <c r="AD72" s="21">
        <f t="shared" si="0"/>
        <v>0.66000000000000025</v>
      </c>
      <c r="AE72" s="21">
        <f t="shared" si="0"/>
        <v>4.5199999999999996</v>
      </c>
      <c r="AF72" s="21">
        <f t="shared" si="0"/>
        <v>0.72500000000000031</v>
      </c>
      <c r="AG72" s="21"/>
      <c r="AH72" s="21">
        <f t="shared" si="0"/>
        <v>2.2000000000000002E-2</v>
      </c>
      <c r="AI72" s="21">
        <f t="shared" si="0"/>
        <v>1E-3</v>
      </c>
      <c r="AJ72" s="21">
        <f t="shared" si="0"/>
        <v>0.32000000000000012</v>
      </c>
      <c r="AK72" s="21">
        <f t="shared" si="0"/>
        <v>0.34000000000000014</v>
      </c>
      <c r="AL72" s="21">
        <f t="shared" si="0"/>
        <v>0.3</v>
      </c>
      <c r="AM72" s="21">
        <f t="shared" si="0"/>
        <v>0.34</v>
      </c>
      <c r="AN72" s="21">
        <f t="shared" si="0"/>
        <v>1.0999999999999999E-2</v>
      </c>
      <c r="AO72" s="21">
        <f t="shared" si="0"/>
        <v>3.0000000000000001E-3</v>
      </c>
      <c r="AP72" s="21">
        <f t="shared" si="0"/>
        <v>0.12</v>
      </c>
      <c r="AQ72" s="21">
        <f t="shared" si="0"/>
        <v>0.04</v>
      </c>
      <c r="AR72" s="21">
        <f t="shared" si="0"/>
        <v>8.5000000000000006E-2</v>
      </c>
      <c r="AS72" s="21">
        <f t="shared" si="0"/>
        <v>0.05</v>
      </c>
      <c r="AT72" s="21">
        <f t="shared" si="0"/>
        <v>0.35000000000000003</v>
      </c>
      <c r="AU72" s="21"/>
    </row>
  </sheetData>
  <pageMargins left="0.7" right="0.7" top="0.75" bottom="0.75" header="0.3" footer="0.3"/>
  <pageSetup paperSize="9"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0"/>
  <sheetViews>
    <sheetView topLeftCell="A16" workbookViewId="0">
      <selection activeCell="G57" sqref="G57"/>
    </sheetView>
  </sheetViews>
  <sheetFormatPr baseColWidth="10" defaultRowHeight="15" x14ac:dyDescent="0"/>
  <cols>
    <col min="2" max="2" width="15.6640625" bestFit="1" customWidth="1"/>
    <col min="5" max="5" width="14.1640625" bestFit="1" customWidth="1"/>
    <col min="10" max="10" width="23.1640625" bestFit="1" customWidth="1"/>
    <col min="11" max="11" width="12.33203125" bestFit="1" customWidth="1"/>
    <col min="12" max="12" width="16.6640625" bestFit="1" customWidth="1"/>
    <col min="15" max="15" width="15" bestFit="1" customWidth="1"/>
    <col min="17" max="17" width="18.5" bestFit="1" customWidth="1"/>
    <col min="18" max="18" width="19.5" bestFit="1" customWidth="1"/>
    <col min="19" max="19" width="19.1640625" bestFit="1" customWidth="1"/>
    <col min="20" max="20" width="20.33203125" bestFit="1" customWidth="1"/>
    <col min="21" max="21" width="11.5" bestFit="1" customWidth="1"/>
    <col min="22" max="22" width="21.6640625" bestFit="1" customWidth="1"/>
    <col min="23" max="24" width="19.33203125" bestFit="1" customWidth="1"/>
    <col min="25" max="25" width="20.33203125" bestFit="1" customWidth="1"/>
    <col min="26" max="26" width="14.5" bestFit="1" customWidth="1"/>
  </cols>
  <sheetData>
    <row r="1" spans="1:14">
      <c r="A1" t="s">
        <v>23</v>
      </c>
    </row>
    <row r="3" spans="1:14">
      <c r="I3" s="116" t="s">
        <v>207</v>
      </c>
      <c r="J3" s="43"/>
      <c r="K3" s="43"/>
      <c r="L3" s="117"/>
    </row>
    <row r="4" spans="1:14" ht="17">
      <c r="B4" t="s">
        <v>208</v>
      </c>
      <c r="C4" t="s">
        <v>224</v>
      </c>
      <c r="E4" t="s">
        <v>209</v>
      </c>
      <c r="I4" s="118" t="s">
        <v>92</v>
      </c>
      <c r="J4" s="26"/>
      <c r="K4" s="26" t="s">
        <v>239</v>
      </c>
      <c r="L4" s="119" t="s">
        <v>203</v>
      </c>
    </row>
    <row r="5" spans="1:14" ht="17">
      <c r="B5" t="s">
        <v>24</v>
      </c>
      <c r="C5">
        <v>111.73</v>
      </c>
      <c r="E5" t="s">
        <v>36</v>
      </c>
      <c r="G5">
        <v>0.378</v>
      </c>
      <c r="I5" s="118">
        <v>1</v>
      </c>
      <c r="J5" s="26" t="s">
        <v>95</v>
      </c>
      <c r="K5" s="120">
        <f>'Mengde råvarer i hver rett'!F3*Biff+'Mengde råvarer i hver rett'!H3*Indrefilet+'Mengde råvarer i hver rett'!X3*'Prisliste og råvarekost + Svinn'!C27+'Mengde råvarer i hver rett'!Z3*Gulrot+'Mengde råvarer i hver rett'!AB3*Løk+Div+'Mengde råvarer i hver rett'!AM3*Isbergsalat+'Mengde råvarer i hver rett'!AO3*'Prisliste og råvarekost + Svinn'!C44</f>
        <v>9.1110000000000007</v>
      </c>
      <c r="L5" s="121">
        <f>K5*'Beregning %-satser for mai&amp;j'!D79</f>
        <v>4988.0116889312985</v>
      </c>
      <c r="N5" s="120"/>
    </row>
    <row r="6" spans="1:14" ht="17">
      <c r="B6" t="s">
        <v>30</v>
      </c>
      <c r="C6">
        <v>98</v>
      </c>
      <c r="E6" t="s">
        <v>223</v>
      </c>
      <c r="G6">
        <v>8.4000000000000005E-2</v>
      </c>
      <c r="I6" s="118">
        <v>2</v>
      </c>
      <c r="J6" s="26" t="s">
        <v>96</v>
      </c>
      <c r="K6" s="63">
        <f>'Mengde råvarer i hver rett'!J4*Scampi+'Mengde råvarer i hver rett'!AM4*Isbergsalat+'Mengde råvarer i hver rett'!AO4*Agurk+Div</f>
        <v>8.9001000000000001</v>
      </c>
      <c r="L6" s="121">
        <f>K6*'Beregning %-satser for mai&amp;j'!D80</f>
        <v>605.08790553435108</v>
      </c>
    </row>
    <row r="7" spans="1:14" ht="17">
      <c r="B7" t="s">
        <v>31</v>
      </c>
      <c r="C7">
        <v>310.3</v>
      </c>
      <c r="E7" t="s">
        <v>37</v>
      </c>
      <c r="G7">
        <v>1.67E-2</v>
      </c>
      <c r="I7" s="118">
        <v>3</v>
      </c>
      <c r="J7" s="26" t="s">
        <v>97</v>
      </c>
      <c r="K7" s="63">
        <f>'Mengde råvarer i hver rett'!O5*Reker+'Mengde råvarer i hver rett'!T5*'Prisliste og råvarekost + Svinn'!C26+'Mengde råvarer i hver rett'!AI5*'Prisliste og råvarekost + Svinn'!C45+'Mengde råvarer i hver rett'!AM5*Isbergsalat+'Mengde råvarer i hver rett'!AN5*'Prisliste og råvarekost + Svinn'!C43+'Prisliste og råvarekost + Svinn'!C44*'Mengde råvarer i hver rett'!AO5+Div</f>
        <v>9.6081000000000003</v>
      </c>
      <c r="L7" s="121">
        <f>K7*'Beregning %-satser for mai&amp;j'!D81</f>
        <v>309.42115935114509</v>
      </c>
    </row>
    <row r="8" spans="1:14" ht="17">
      <c r="B8" t="s">
        <v>32</v>
      </c>
      <c r="C8">
        <v>128</v>
      </c>
      <c r="E8" t="s">
        <v>38</v>
      </c>
      <c r="G8">
        <v>0.04</v>
      </c>
      <c r="I8" s="118">
        <v>4</v>
      </c>
      <c r="J8" s="26" t="s">
        <v>98</v>
      </c>
      <c r="K8" s="63">
        <f>'Mengde råvarer i hver rett'!C6*Kamskjell+'Mengde råvarer i hver rett'!AG6*'Prisliste og råvarekost + Svinn'!C46+Div</f>
        <v>28.185099999999998</v>
      </c>
      <c r="L8" s="121">
        <f>K8*'Beregning %-satser for mai&amp;j'!D82</f>
        <v>504.2658635496183</v>
      </c>
    </row>
    <row r="9" spans="1:14" ht="17">
      <c r="B9" t="s">
        <v>87</v>
      </c>
      <c r="C9">
        <v>229</v>
      </c>
      <c r="E9" t="s">
        <v>39</v>
      </c>
      <c r="G9">
        <v>0.04</v>
      </c>
      <c r="I9" s="118">
        <v>5</v>
      </c>
      <c r="J9" s="26" t="s">
        <v>99</v>
      </c>
      <c r="K9" s="63">
        <f>'Mengde råvarer i hver rett'!P7*'Prisliste og råvarekost + Svinn'!C20+'Mengde råvarer i hver rett'!AM7*Isbergsalat+Div</f>
        <v>17.523500000000002</v>
      </c>
      <c r="L9" s="121">
        <f>K9*'Beregning %-satser for mai&amp;j'!D83</f>
        <v>125.40672709923665</v>
      </c>
    </row>
    <row r="10" spans="1:14" ht="17">
      <c r="B10" t="s">
        <v>33</v>
      </c>
      <c r="C10">
        <v>83</v>
      </c>
      <c r="E10" t="s">
        <v>40</v>
      </c>
      <c r="G10">
        <v>2.64E-2</v>
      </c>
      <c r="I10" s="118">
        <v>6</v>
      </c>
      <c r="J10" s="26" t="s">
        <v>100</v>
      </c>
      <c r="K10" s="63">
        <f>'Mengde råvarer i hver rett'!I8*Kylling+'Mengde råvarer i hver rett'!Z8*Gulrot+Div</f>
        <v>2.6751000000000005</v>
      </c>
      <c r="L10" s="121">
        <f>K10*'Beregning %-satser for mai&amp;j'!D84</f>
        <v>19.144322519083971</v>
      </c>
    </row>
    <row r="11" spans="1:14" ht="17">
      <c r="B11" t="s">
        <v>218</v>
      </c>
      <c r="C11">
        <v>393</v>
      </c>
      <c r="E11" t="s">
        <v>41</v>
      </c>
      <c r="G11">
        <v>0.14000000000000001</v>
      </c>
      <c r="I11" s="118">
        <v>7</v>
      </c>
      <c r="J11" s="26" t="s">
        <v>101</v>
      </c>
      <c r="K11" s="63">
        <f>'Mengde råvarer i hver rett'!I9*Kylling+'Mengde råvarer i hver rett'!U9*'Prisliste og råvarekost + Svinn'!C21+'Mengde råvarer i hver rett'!Z9*Gulrot+Div</f>
        <v>2.8149600000000001</v>
      </c>
      <c r="L11" s="121">
        <f>K11*'Beregning %-satser for mai&amp;j'!D85</f>
        <v>473.41288167938933</v>
      </c>
    </row>
    <row r="12" spans="1:14">
      <c r="B12" t="s">
        <v>57</v>
      </c>
      <c r="C12">
        <v>92</v>
      </c>
      <c r="E12" t="s">
        <v>42</v>
      </c>
      <c r="G12">
        <v>0.14000000000000001</v>
      </c>
      <c r="I12" s="122" t="s">
        <v>93</v>
      </c>
      <c r="J12" s="26"/>
      <c r="K12" s="63"/>
      <c r="L12" s="121"/>
    </row>
    <row r="13" spans="1:14" ht="17">
      <c r="B13" t="s">
        <v>54</v>
      </c>
      <c r="C13">
        <v>14</v>
      </c>
      <c r="E13" t="s">
        <v>43</v>
      </c>
      <c r="G13">
        <v>0.14000000000000001</v>
      </c>
      <c r="I13" s="118">
        <v>9</v>
      </c>
      <c r="J13" s="26" t="s">
        <v>102</v>
      </c>
      <c r="K13" s="63">
        <f>'Mengde råvarer i hver rett'!L11*'Prisliste og råvarekost + Svinn'!C6+'Mengde råvarer i hver rett'!R11*'Prisliste og råvarekost + Svinn'!C23+'Mengde råvarer i hver rett'!AQ11+'Mengde råvarer i hver rett'!Y11*'Prisliste og råvarekost + Svinn'!C35+'Mengde råvarer i hver rett'!Z11*'Prisliste og råvarekost + Svinn'!C39+'Mengde råvarer i hver rett'!AC11*'Prisliste og råvarekost + Svinn'!C35+'Mengde råvarer i hver rett'!AE11*'Prisliste og råvarekost + Svinn'!C31+G14</f>
        <v>30.765299999999996</v>
      </c>
      <c r="L13" s="121">
        <f>K13*'Beregning %-satser for mai&amp;j'!D87</f>
        <v>770.60031011450371</v>
      </c>
    </row>
    <row r="14" spans="1:14" ht="17">
      <c r="B14" t="s">
        <v>230</v>
      </c>
      <c r="C14">
        <v>199</v>
      </c>
      <c r="E14" t="s">
        <v>44</v>
      </c>
      <c r="G14">
        <f>SUM(G5:G13)</f>
        <v>1.0051000000000001</v>
      </c>
      <c r="I14" s="118">
        <v>10</v>
      </c>
      <c r="J14" s="26" t="s">
        <v>103</v>
      </c>
      <c r="K14" s="63">
        <f>'Mengde råvarer i hver rett'!C12*Kamskjell+'Mengde råvarer i hver rett'!J12*Scampi+'Mengde råvarer i hver rett'!K12+'Mengde råvarer i hver rett'!K12*Steinbit+'Mengde råvarer i hver rett'!L12*Laks+'Mengde råvarer i hver rett'!R12*Ris+'Mengde råvarer i hver rett'!Y12*Brokkoli+'Mengde råvarer i hver rett'!Z11*Gulrot+'Mengde råvarer i hver rett'!AC11*Brokkoli+'Mengde råvarer i hver rett'!AE11*Babymais+G14</f>
        <v>41.865300000000012</v>
      </c>
      <c r="L14" s="121">
        <f>K14*'Beregning %-satser for mai&amp;j'!D88</f>
        <v>1947.4555104961839</v>
      </c>
    </row>
    <row r="15" spans="1:14" ht="17">
      <c r="B15" t="s">
        <v>52</v>
      </c>
      <c r="C15">
        <v>77.22</v>
      </c>
      <c r="I15" s="118">
        <v>11</v>
      </c>
      <c r="J15" s="26" t="s">
        <v>104</v>
      </c>
      <c r="K15" s="63">
        <f>'Mengde råvarer i hver rett'!J13*Scampi+'Mengde råvarer i hver rett'!R13*Ris+G14</f>
        <v>24.867599999999996</v>
      </c>
      <c r="L15" s="121">
        <f>K15*'Beregning %-satser for mai&amp;j'!D89</f>
        <v>622.87643129770981</v>
      </c>
    </row>
    <row r="16" spans="1:14" ht="17">
      <c r="B16" t="s">
        <v>60</v>
      </c>
      <c r="C16">
        <v>200</v>
      </c>
      <c r="E16" t="s">
        <v>228</v>
      </c>
      <c r="G16">
        <v>6.1611000000000002</v>
      </c>
      <c r="I16" s="118">
        <v>12</v>
      </c>
      <c r="J16" s="26" t="s">
        <v>105</v>
      </c>
      <c r="K16" s="63">
        <f>'Mengde råvarer i hver rett'!J14*Scampi+'Mengde råvarer i hver rett'!R14*Ris+'Mengde råvarer i hver rett'!Y14*Brokkoli+'Mengde råvarer i hver rett'!Z14*Gulrot+'Mengde råvarer i hver rett'!AA14*Champignon+'Mengde råvarer i hver rett'!AB14*Løk*'Mengde råvarer i hver rett'!AC14*Brokkoli+'Mengde råvarer i hver rett'!AD14*Bambus+'Mengde råvarer i hver rett'!AE14*Babymais+'Mengde råvarer i hver rett'!AF14*Vannkastanje+'Prisliste og råvarekost + Svinn'!G14</f>
        <v>29.402091999999993</v>
      </c>
      <c r="L16" s="121">
        <f>K16*'Beregning %-satser for mai&amp;j'!D90</f>
        <v>2104.1573473282438</v>
      </c>
    </row>
    <row r="17" spans="2:12" ht="17">
      <c r="B17" t="s">
        <v>232</v>
      </c>
      <c r="C17">
        <v>99</v>
      </c>
      <c r="I17" s="118">
        <v>13</v>
      </c>
      <c r="J17" s="26" t="s">
        <v>106</v>
      </c>
      <c r="K17" s="63">
        <f>'Mengde råvarer i hver rett'!J15*Scampi+'Mengde råvarer i hver rett'!R15*Ris+'Mengde råvarer i hver rett'!AM15*Isbergsalat+'Prisliste og råvarekost + Svinn'!G14</f>
        <v>25.075999999999997</v>
      </c>
      <c r="L17" s="121">
        <f>K17*'Beregning %-satser for mai&amp;j'!D91</f>
        <v>3230.209923664122</v>
      </c>
    </row>
    <row r="18" spans="2:12" ht="17">
      <c r="B18" t="s">
        <v>233</v>
      </c>
      <c r="C18">
        <v>79</v>
      </c>
      <c r="I18" s="118">
        <v>14</v>
      </c>
      <c r="J18" s="26" t="s">
        <v>107</v>
      </c>
      <c r="K18" s="63">
        <f>'Mengde råvarer i hver rett'!K16*Steinbit+'Mengde råvarer i hver rett'!R16*Ris+'Mengde råvarer i hver rett'!Y16*Brokkoli+'Mengde råvarer i hver rett'!Z16*Gulrot+'Mengde råvarer i hver rett'!AA16*[0]!Champignon+'Mengde råvarer i hver rett'!L1816*Løk*'Mengde råvarer i hver rett'!AC16*Brokkoli+'Mengde råvarer i hver rett'!AD16*Bambus+'Mengde råvarer i hver rett'!AE16*Babymais+'Mengde råvarer i hver rett'!AF16*Vannkastanje+'Mengde råvarer i hver rett'!AJ16*Rød+'Mengde råvarer i hver rett'!AK16*Grønn+G14</f>
        <v>23.622099999999989</v>
      </c>
      <c r="L18" s="121">
        <f>K18*'Beregning %-satser for mai&amp;j'!D92</f>
        <v>845.25644083969428</v>
      </c>
    </row>
    <row r="19" spans="2:12" ht="17">
      <c r="B19" t="s">
        <v>66</v>
      </c>
      <c r="C19">
        <v>46.43</v>
      </c>
      <c r="I19" s="118">
        <v>15</v>
      </c>
      <c r="J19" s="26" t="s">
        <v>108</v>
      </c>
      <c r="K19" s="63">
        <f>'Mengde råvarer i hver rett'!D17*And+'Mengde råvarer i hver rett'!R17*Ris+'Mengde råvarer i hver rett'!AA17*Champignon+'Mengde råvarer i hver rett'!AD17*Bambus+'Mengde råvarer i hver rett'!AM17*Isbergsalat+'Prisliste og råvarekost + Svinn'!G14</f>
        <v>44.382199999999997</v>
      </c>
      <c r="L19" s="121">
        <f>K19*'Beregning %-satser for mai&amp;j'!D93</f>
        <v>2064.5345896946565</v>
      </c>
    </row>
    <row r="20" spans="2:12" ht="17">
      <c r="B20" t="s">
        <v>61</v>
      </c>
      <c r="C20">
        <v>233</v>
      </c>
      <c r="I20" s="118">
        <v>16</v>
      </c>
      <c r="J20" s="26" t="s">
        <v>109</v>
      </c>
      <c r="K20" s="63">
        <f>'Mengde råvarer i hver rett'!D18*And+'Mengde råvarer i hver rett'!R18*Ris+'Mengde råvarer i hver rett'!AM18*Isbergsalat+'Prisliste og råvarekost + Svinn'!G14</f>
        <v>42.750999999999991</v>
      </c>
      <c r="L20" s="121">
        <f>K20*'Beregning %-satser for mai&amp;j'!D94</f>
        <v>3977.3115458015259</v>
      </c>
    </row>
    <row r="21" spans="2:12" ht="17">
      <c r="B21" t="s">
        <v>65</v>
      </c>
      <c r="C21">
        <v>6.9930000000000003</v>
      </c>
      <c r="I21" s="118">
        <v>17</v>
      </c>
      <c r="J21" s="26" t="s">
        <v>110</v>
      </c>
      <c r="K21" s="63">
        <f>'Mengde råvarer i hver rett'!D19*And+'Mengde råvarer i hver rett'!R19*Ris+G16+Div</f>
        <v>48.703699999999991</v>
      </c>
      <c r="L21" s="121">
        <f>K21*'Beregning %-satser for mai&amp;j'!D95</f>
        <v>4531.1171278625952</v>
      </c>
    </row>
    <row r="22" spans="2:12" ht="17">
      <c r="I22" s="118">
        <v>18</v>
      </c>
      <c r="J22" s="26" t="s">
        <v>111</v>
      </c>
      <c r="K22" s="63">
        <f>'Mengde råvarer i hver rett'!I20*Kylling+'Mengde råvarer i hver rett'!R20*Ris+Wok+Div</f>
        <v>23.153699999999997</v>
      </c>
      <c r="L22" s="121">
        <f>K22*'Beregning %-satser for mai&amp;j'!D96</f>
        <v>7705.0122853053426</v>
      </c>
    </row>
    <row r="23" spans="2:12" ht="17">
      <c r="B23" t="s">
        <v>35</v>
      </c>
      <c r="C23">
        <v>11.25</v>
      </c>
      <c r="I23" s="118">
        <v>19</v>
      </c>
      <c r="J23" s="26" t="s">
        <v>185</v>
      </c>
      <c r="K23" s="63">
        <f>'Mengde råvarer i hver rett'!I21*Kylling+'Mengde råvarer i hver rett'!R21*Ris+Wok+Div</f>
        <v>23.153699999999997</v>
      </c>
      <c r="L23" s="121">
        <f>K23*'Beregning %-satser for mai&amp;j'!D97</f>
        <v>1656.991889312977</v>
      </c>
    </row>
    <row r="24" spans="2:12" ht="17">
      <c r="B24" t="s">
        <v>227</v>
      </c>
      <c r="C24">
        <v>20</v>
      </c>
      <c r="I24" s="118">
        <v>20</v>
      </c>
      <c r="J24" s="26" t="s">
        <v>112</v>
      </c>
      <c r="K24" s="63">
        <f>'Mengde råvarer i hver rett'!I22*Kylling+'Mengde råvarer i hver rett'!R22*Ris+Wok+Div</f>
        <v>23.153699999999997</v>
      </c>
      <c r="L24" s="121">
        <f>K24*'Beregning %-satser for mai&amp;j'!D98</f>
        <v>5136.6748568702287</v>
      </c>
    </row>
    <row r="25" spans="2:12" ht="17">
      <c r="B25" t="s">
        <v>226</v>
      </c>
      <c r="C25">
        <v>33.619999999999997</v>
      </c>
      <c r="I25" s="118">
        <v>21</v>
      </c>
      <c r="J25" s="26" t="s">
        <v>113</v>
      </c>
      <c r="K25" s="63">
        <f>K24+'Mengde råvarer i hver rett'!AQ23*Ananas</f>
        <v>23.403699999999997</v>
      </c>
      <c r="L25" s="121">
        <f>K25*'Beregning %-satser for mai&amp;j'!D99</f>
        <v>3098.5337547709919</v>
      </c>
    </row>
    <row r="26" spans="2:12" ht="17">
      <c r="B26" t="s">
        <v>64</v>
      </c>
      <c r="C26">
        <v>7</v>
      </c>
      <c r="I26" s="118">
        <v>22</v>
      </c>
      <c r="J26" s="26" t="s">
        <v>114</v>
      </c>
      <c r="K26" s="63">
        <f>'Mengde råvarer i hver rett'!I24*Kylling+'Mengde råvarer i hver rett'!R25*Ris+'Mengde råvarer i hver rett'!AM24*Isbergsalat+Div</f>
        <v>17.200999999999997</v>
      </c>
      <c r="L26" s="121">
        <f>K26*'Beregning %-satser for mai&amp;j'!D100</f>
        <v>5970.2898377862593</v>
      </c>
    </row>
    <row r="27" spans="2:12" ht="17">
      <c r="B27" t="s">
        <v>235</v>
      </c>
      <c r="C27">
        <v>1.42</v>
      </c>
      <c r="I27" s="118">
        <v>23</v>
      </c>
      <c r="J27" s="26" t="s">
        <v>115</v>
      </c>
      <c r="K27" s="63">
        <f>'Mengde råvarer i hver rett'!F25*Biff+'Mengde råvarer i hver rett'!I25*Kylling+Wok+Div+'Mengde råvarer i hver rett'!R22*Ris</f>
        <v>28.101700000000001</v>
      </c>
      <c r="L27" s="121">
        <f>K27*'Beregning %-satser for mai&amp;j'!D101</f>
        <v>3619.9708969465655</v>
      </c>
    </row>
    <row r="28" spans="2:12" ht="17">
      <c r="I28" s="118">
        <v>24</v>
      </c>
      <c r="J28" s="26" t="s">
        <v>20</v>
      </c>
      <c r="K28" s="63">
        <f>'Mengde råvarer i hver rett'!F26*Biff+'Mengde råvarer i hver rett'!I26*Kylling+'Mengde råvarer i hver rett'!J26*Scampi+Wok+Div+'Mengde råvarer i hver rett'!R25*Ris</f>
        <v>23.981549999999999</v>
      </c>
      <c r="L28" s="121">
        <f>K28*'Beregning %-satser for mai&amp;j'!D102</f>
        <v>4977.0869513358775</v>
      </c>
    </row>
    <row r="29" spans="2:12" ht="17">
      <c r="B29" t="s">
        <v>25</v>
      </c>
      <c r="C29">
        <v>24</v>
      </c>
      <c r="I29" s="118">
        <v>25</v>
      </c>
      <c r="J29" s="26" t="s">
        <v>116</v>
      </c>
      <c r="K29" s="63">
        <f>'Mengde råvarer i hver rett'!H27*Indrefilet+'Mengde råvarer i hver rett'!I27*Kylling+'Mengde råvarer i hver rett'!J27*Scampi+'Mengde råvarer i hver rett'!AB27*Løk+'Mengde råvarer i hver rett'!AJ27*Grønn+'Mengde råvarer i hver rett'!AK27*Rød+Div+'Mengde råvarer i hver rett'!R27*Ris</f>
        <v>27.566099999999992</v>
      </c>
      <c r="L29" s="121">
        <f>K29*'Beregning %-satser for mai&amp;j'!D103</f>
        <v>3945.5295801526709</v>
      </c>
    </row>
    <row r="30" spans="2:12" ht="17">
      <c r="B30" t="s">
        <v>26</v>
      </c>
      <c r="C30">
        <v>33</v>
      </c>
      <c r="I30" s="118">
        <v>26</v>
      </c>
      <c r="J30" s="26" t="s">
        <v>117</v>
      </c>
      <c r="K30" s="63">
        <f>'Mengde råvarer i hver rett'!H28*Indrefilet+Wok+Div+'Mengde råvarer i hver rett'!R29*Ris</f>
        <v>55.173699999999997</v>
      </c>
      <c r="L30" s="121">
        <f>K30*'Beregning %-satser for mai&amp;j'!D104</f>
        <v>1974.2497614503816</v>
      </c>
    </row>
    <row r="31" spans="2:12" ht="17">
      <c r="B31" t="s">
        <v>27</v>
      </c>
      <c r="C31">
        <v>18.43</v>
      </c>
      <c r="I31" s="118">
        <v>27</v>
      </c>
      <c r="J31" s="26" t="s">
        <v>118</v>
      </c>
      <c r="K31" s="63">
        <f>'Mengde råvarer i hver rett'!F29*Biff+'Mengde råvarer i hver rett'!R29*Ris+Wok+Div</f>
        <v>28.181449999999998</v>
      </c>
      <c r="L31" s="121">
        <f>K31*'Beregning %-satser for mai&amp;j'!D105</f>
        <v>4941.16549379771</v>
      </c>
    </row>
    <row r="32" spans="2:12" ht="17">
      <c r="B32" t="s">
        <v>28</v>
      </c>
      <c r="C32">
        <v>15.68</v>
      </c>
      <c r="I32" s="118">
        <v>28</v>
      </c>
      <c r="J32" s="26" t="s">
        <v>119</v>
      </c>
      <c r="K32" s="63">
        <f>'Mengde råvarer i hver rett'!H30*Indrefilet+'Mengde råvarer i hver rett'!R30*Ris+Wok+Div</f>
        <v>55.173699999999997</v>
      </c>
      <c r="L32" s="121">
        <f>K32*'Beregning %-satser for mai&amp;j'!D106</f>
        <v>1381.974833015267</v>
      </c>
    </row>
    <row r="33" spans="2:26" ht="17">
      <c r="B33" t="s">
        <v>236</v>
      </c>
      <c r="C33">
        <v>12.5</v>
      </c>
      <c r="I33" s="118">
        <v>29</v>
      </c>
      <c r="J33" s="26" t="s">
        <v>120</v>
      </c>
      <c r="K33" s="63">
        <f>'Mengde råvarer i hver rett'!F31*Biff+'Mengde råvarer i hver rett'!I31*Kylling+'Mengde råvarer i hver rett'!R31*Ris+Wok+Div</f>
        <v>26.154399999999999</v>
      </c>
      <c r="L33" s="121">
        <f>K33*'Beregning %-satser for mai&amp;j'!D107</f>
        <v>842.28148854961842</v>
      </c>
    </row>
    <row r="34" spans="2:26" ht="17">
      <c r="B34" t="s">
        <v>77</v>
      </c>
      <c r="C34">
        <v>24</v>
      </c>
      <c r="I34" s="118">
        <v>30</v>
      </c>
      <c r="J34" s="26" t="s">
        <v>121</v>
      </c>
      <c r="K34" s="63">
        <f>'Mengde råvarer i hver rett'!F32*Biff+'Mengde råvarer i hver rett'!R32*Ris+Wok+Div</f>
        <v>28.181449999999998</v>
      </c>
      <c r="L34" s="121">
        <f>K34*'Beregning %-satser for mai&amp;j'!D108</f>
        <v>5344.5259422709923</v>
      </c>
    </row>
    <row r="35" spans="2:26" ht="17">
      <c r="B35" t="s">
        <v>29</v>
      </c>
      <c r="C35">
        <v>20.83</v>
      </c>
      <c r="I35" s="118">
        <v>31</v>
      </c>
      <c r="J35" s="26" t="s">
        <v>122</v>
      </c>
      <c r="K35" s="63">
        <f>K34</f>
        <v>28.181449999999998</v>
      </c>
      <c r="L35" s="121">
        <f>K35*'Beregning %-satser for mai&amp;j'!D109</f>
        <v>16033.577826812976</v>
      </c>
    </row>
    <row r="36" spans="2:26" ht="17">
      <c r="B36" t="s">
        <v>34</v>
      </c>
      <c r="C36">
        <v>13.33</v>
      </c>
      <c r="I36" s="118">
        <v>32</v>
      </c>
      <c r="J36" s="26" t="s">
        <v>187</v>
      </c>
      <c r="K36" s="63">
        <f>'Mengde råvarer i hver rett'!F34*Biff+'Mengde råvarer i hver rett'!R34*Ris+'Mengde råvarer i hver rett'!AA34*Champignon+'Mengde råvarer i hver rett'!AD34*Bambus+'Mengde råvarer i hver rett'!AH34*Purreløk*'Mengde råvarer i hver rett'!AJ34*Grønn+'Mengde råvarer i hver rett'!AK34*Rød+Div</f>
        <v>23.723673999999999</v>
      </c>
      <c r="L36" s="121">
        <f>K36*'Beregning %-satser for mai&amp;j'!D110</f>
        <v>1528.0038120229008</v>
      </c>
    </row>
    <row r="37" spans="2:26" ht="17">
      <c r="B37" t="s">
        <v>86</v>
      </c>
      <c r="C37">
        <v>10.42</v>
      </c>
      <c r="I37" s="118">
        <v>33</v>
      </c>
      <c r="J37" s="26" t="s">
        <v>123</v>
      </c>
      <c r="K37" s="63">
        <f>'Mengde råvarer i hver rett'!F35*Biff+'Mengde råvarer i hver rett'!R36*Ris+Wok+Div</f>
        <v>28.181449999999998</v>
      </c>
      <c r="L37" s="121">
        <f>K37*'Beregning %-satser for mai&amp;j'!D111</f>
        <v>2521.0028029580153</v>
      </c>
    </row>
    <row r="38" spans="2:26" ht="17">
      <c r="B38" t="s">
        <v>82</v>
      </c>
      <c r="C38">
        <v>11.57</v>
      </c>
      <c r="I38" s="118">
        <v>34</v>
      </c>
      <c r="J38" s="26" t="s">
        <v>124</v>
      </c>
      <c r="K38" s="63">
        <f>K37+'Mengde råvarer i hver rett'!AQ36*Ananas</f>
        <v>28.431449999999998</v>
      </c>
      <c r="L38" s="121">
        <f>K38*'Beregning %-satser for mai&amp;j'!D112</f>
        <v>915.6120586832061</v>
      </c>
    </row>
    <row r="39" spans="2:26" ht="17">
      <c r="B39" t="s">
        <v>76</v>
      </c>
      <c r="C39">
        <v>10</v>
      </c>
      <c r="I39" s="118">
        <v>35</v>
      </c>
      <c r="J39" s="26" t="s">
        <v>22</v>
      </c>
      <c r="K39" s="63">
        <f>'Mengde råvarer i hver rett'!F37*Biff+'Mengde råvarer i hver rett'!R37*Ris+'Mengde råvarer i hver rett'!Z37*Gulrot+'Mengde råvarer i hver rett'!AB37*Løk+'Mengde råvarer i hver rett'!AJ37*Grønn+'Mengde råvarer i hver rett'!AK37*Rød+Div</f>
        <v>23.230349999999991</v>
      </c>
      <c r="L39" s="121">
        <f>K39*'Beregning %-satser for mai&amp;j'!D113</f>
        <v>2244.3444060114498</v>
      </c>
    </row>
    <row r="40" spans="2:26" ht="17">
      <c r="B40" t="s">
        <v>78</v>
      </c>
      <c r="C40">
        <v>6</v>
      </c>
      <c r="I40" s="118">
        <v>36</v>
      </c>
      <c r="J40" s="26" t="s">
        <v>125</v>
      </c>
      <c r="K40" s="63">
        <f>'Mengde råvarer i hver rett'!G38*Svinenakke+'Mengde råvarer i hver rett'!R38*Ris+Wok+Div</f>
        <v>11.0787</v>
      </c>
      <c r="L40" s="121">
        <f>K40*'Beregning %-satser for mai&amp;j'!D114</f>
        <v>2814.6029341603053</v>
      </c>
    </row>
    <row r="41" spans="2:26" ht="17">
      <c r="B41" t="s">
        <v>79</v>
      </c>
      <c r="C41">
        <v>6.14</v>
      </c>
      <c r="I41" s="118">
        <v>37</v>
      </c>
      <c r="J41" s="26" t="s">
        <v>126</v>
      </c>
      <c r="K41" s="63">
        <f>K40</f>
        <v>11.0787</v>
      </c>
      <c r="L41" s="121">
        <f>K41*'Beregning %-satser for mai&amp;j'!D115</f>
        <v>436.06524332061065</v>
      </c>
    </row>
    <row r="42" spans="2:26" ht="17">
      <c r="B42" t="s">
        <v>231</v>
      </c>
      <c r="C42">
        <v>21.5</v>
      </c>
      <c r="I42" s="118">
        <v>38</v>
      </c>
      <c r="J42" s="26" t="s">
        <v>127</v>
      </c>
      <c r="K42" s="63">
        <f>'Mengde råvarer i hver rett'!E40*Lam+'Mengde råvarer i hver rett'!R40*Ris+Wok+Div</f>
        <v>43.453699999999991</v>
      </c>
      <c r="L42" s="121">
        <f>K42*'Beregning %-satser for mai&amp;j'!D116</f>
        <v>3265.2470181297699</v>
      </c>
    </row>
    <row r="43" spans="2:26" ht="17">
      <c r="B43" t="s">
        <v>81</v>
      </c>
      <c r="C43">
        <v>16</v>
      </c>
      <c r="I43" s="118">
        <v>39</v>
      </c>
      <c r="J43" s="26" t="s">
        <v>128</v>
      </c>
      <c r="K43" s="63">
        <f>Wok+Div</f>
        <v>7.1661999999999999</v>
      </c>
      <c r="L43" s="121">
        <f>K43*'Beregning %-satser for mai&amp;j'!D117</f>
        <v>153.8544847328244</v>
      </c>
    </row>
    <row r="44" spans="2:26" ht="17">
      <c r="B44" t="s">
        <v>215</v>
      </c>
      <c r="C44">
        <v>6.6</v>
      </c>
      <c r="I44" s="118">
        <v>40</v>
      </c>
      <c r="J44" s="26" t="s">
        <v>129</v>
      </c>
      <c r="K44" s="63">
        <f>'Mengde råvarer i hver rett'!I42*Kylling+'Mengde råvarer i hver rett'!R40*Ris+Wok+Div</f>
        <v>23.153699999999997</v>
      </c>
      <c r="L44" s="121">
        <f>K44*'Beregning %-satser for mai&amp;j'!D118</f>
        <v>1491.2927003816794</v>
      </c>
    </row>
    <row r="45" spans="2:26" ht="17">
      <c r="B45" t="s">
        <v>214</v>
      </c>
      <c r="C45">
        <v>22</v>
      </c>
      <c r="I45" s="118">
        <v>41</v>
      </c>
      <c r="J45" s="26" t="s">
        <v>130</v>
      </c>
      <c r="K45" s="63">
        <f>'Mengde råvarer i hver rett'!O43*Reker+'Mengde råvarer i hver rett'!R43*Ris+Div+Wok+'Mengde råvarer i hver rett'!W43*Amerikansk+'Mengde råvarer i hver rett'!AH43*Purreløk</f>
        <v>19.70984</v>
      </c>
      <c r="L45" s="121">
        <f>K45*'Beregning %-satser for mai&amp;j'!D119</f>
        <v>3667.3843511450382</v>
      </c>
      <c r="N45" s="14"/>
    </row>
    <row r="46" spans="2:26" ht="17">
      <c r="B46" t="s">
        <v>237</v>
      </c>
      <c r="C46">
        <v>90</v>
      </c>
      <c r="I46" s="118">
        <v>42</v>
      </c>
      <c r="J46" s="26" t="s">
        <v>150</v>
      </c>
      <c r="K46" s="63">
        <f>'Mengde råvarer i hver rett'!D44*Biff+'Mengde råvarer i hver rett'!Q44*Nudler+Div+Wok</f>
        <v>28.058949999999999</v>
      </c>
      <c r="L46" s="121">
        <f>K46*'Beregning %-satser for mai&amp;j'!D120</f>
        <v>8935.7581703244268</v>
      </c>
    </row>
    <row r="47" spans="2:26" ht="17">
      <c r="I47" s="118">
        <v>43</v>
      </c>
      <c r="J47" s="26" t="s">
        <v>151</v>
      </c>
      <c r="K47" s="63">
        <f>'Mengde råvarer i hver rett'!J45*Scampi+'Mengde råvarer i hver rett'!Q45*Nudler+Wok+Div</f>
        <v>30.906199999999998</v>
      </c>
      <c r="L47" s="121">
        <f>K47*'Beregning %-satser for mai&amp;j'!D121</f>
        <v>1658.8489980916029</v>
      </c>
      <c r="Y47" s="14"/>
      <c r="Z47" s="62"/>
    </row>
    <row r="48" spans="2:26" ht="17">
      <c r="B48" t="s">
        <v>225</v>
      </c>
      <c r="C48">
        <v>49</v>
      </c>
      <c r="I48" s="118">
        <v>44</v>
      </c>
      <c r="J48" s="26" t="s">
        <v>131</v>
      </c>
      <c r="K48" s="63">
        <f>K5+(K40/2)+(K34/2)</f>
        <v>28.741074999999999</v>
      </c>
      <c r="L48" s="121">
        <f>K48*'Beregning %-satser for mai&amp;j'!D122</f>
        <v>2673.907263835878</v>
      </c>
      <c r="Y48" s="14"/>
      <c r="Z48" s="49"/>
    </row>
    <row r="49" spans="2:26" ht="17">
      <c r="B49" t="s">
        <v>84</v>
      </c>
      <c r="C49">
        <v>15.5</v>
      </c>
      <c r="I49" s="118">
        <v>45</v>
      </c>
      <c r="J49" s="26" t="s">
        <v>132</v>
      </c>
      <c r="K49" s="63">
        <f>K11+(K22/2)+(K35/2)+K67</f>
        <v>33.777634999999997</v>
      </c>
      <c r="L49" s="121">
        <f>K49*'Beregning %-satser for mai&amp;j'!D123</f>
        <v>483.45851622137394</v>
      </c>
      <c r="Y49" s="14"/>
      <c r="Z49" s="49"/>
    </row>
    <row r="50" spans="2:26" ht="17">
      <c r="B50" t="s">
        <v>149</v>
      </c>
      <c r="C50">
        <v>70</v>
      </c>
      <c r="I50" s="118">
        <v>46</v>
      </c>
      <c r="J50" s="26" t="s">
        <v>21</v>
      </c>
      <c r="K50" s="63">
        <f>'Mengde råvarer i hver rett'!H48*Indrefilet+'Mengde råvarer i hver rett'!AL48*Bakepotet+'Mengde råvarer i hver rett'!AM48*Isbergsalat+Div</f>
        <v>51.7575</v>
      </c>
      <c r="L50" s="121">
        <f>K50*'Beregning %-satser for mai&amp;j'!D124</f>
        <v>5185.6273854961837</v>
      </c>
      <c r="Y50" s="14"/>
      <c r="Z50" s="49"/>
    </row>
    <row r="51" spans="2:26" ht="17">
      <c r="B51" t="s">
        <v>148</v>
      </c>
      <c r="C51">
        <v>48</v>
      </c>
      <c r="D51" t="s">
        <v>229</v>
      </c>
      <c r="I51" s="118">
        <v>47</v>
      </c>
      <c r="J51" s="26" t="s">
        <v>133</v>
      </c>
      <c r="K51" s="63">
        <f>'Mengde råvarer i hver rett'!H49*Indrefilet+'Mengde råvarer i hver rett'!S49*Pommes+'Mengde råvarer i hver rett'!AM50*Isbergsalat+Div</f>
        <v>52.801499999999997</v>
      </c>
      <c r="L51" s="121">
        <f>K51*'Beregning %-satser for mai&amp;j'!D125</f>
        <v>8691.0865935114489</v>
      </c>
      <c r="Y51" s="14"/>
      <c r="Z51" s="49"/>
    </row>
    <row r="52" spans="2:26" ht="17">
      <c r="I52" s="118">
        <v>48</v>
      </c>
      <c r="J52" s="26" t="s">
        <v>188</v>
      </c>
      <c r="K52" s="63">
        <f>'Mengde råvarer i hver rett'!G50*Svinenakke+'Mengde råvarer i hver rett'!S50*Pommes+'Mengde råvarer i hver rett'!AM50*Isbergsalat+Div+'Mengde råvarer i hver rett'!AN50*'Prisliste og råvarekost + Svinn'!C43</f>
        <v>8.8664999999999985</v>
      </c>
      <c r="L52" s="121">
        <f>K52*'Beregning %-satser for mai&amp;j'!D126</f>
        <v>412.44453721374043</v>
      </c>
      <c r="Y52" s="14"/>
      <c r="Z52" s="49"/>
    </row>
    <row r="53" spans="2:26" ht="17">
      <c r="I53" s="118">
        <v>49</v>
      </c>
      <c r="J53" s="26" t="s">
        <v>134</v>
      </c>
      <c r="K53" s="63">
        <f>'Mengde råvarer i hver rett'!F51*Biff+'Mengde råvarer i hver rett'!S50*Pommes+Wok+Div</f>
        <v>31.761949999999999</v>
      </c>
      <c r="L53" s="121">
        <f>K53*'Beregning %-satser for mai&amp;j'!D127</f>
        <v>4091.4725667938933</v>
      </c>
      <c r="Y53" s="14"/>
      <c r="Z53" s="49"/>
    </row>
    <row r="54" spans="2:26" ht="17">
      <c r="I54" s="118">
        <v>50</v>
      </c>
      <c r="J54" s="26" t="s">
        <v>135</v>
      </c>
      <c r="K54" s="63">
        <f>'Mengde råvarer i hver rett'!M52*'Prisliste og råvarekost + Svinn'!C17+'Mengde råvarer i hver rett'!S52*Pommes+'Mengde råvarer i hver rett'!T52*'Prisliste og råvarekost + Svinn'!C26+'Mengde råvarer i hver rett'!AM52*Isbergsalat+Div</f>
        <v>26.756499999999999</v>
      </c>
      <c r="L54" s="121">
        <f>K54*'Beregning %-satser for mai&amp;j'!D128</f>
        <v>3159.4626669847321</v>
      </c>
      <c r="Y54" s="14"/>
      <c r="Z54" s="49"/>
    </row>
    <row r="55" spans="2:26" ht="17">
      <c r="I55" s="118">
        <v>51</v>
      </c>
      <c r="J55" s="26" t="s">
        <v>136</v>
      </c>
      <c r="K55" s="63">
        <f>'Mengde råvarer i hver rett'!F53*Biff+'Mengde råvarer i hver rett'!T53*'Prisliste og råvarekost + Svinn'!C26+'Mengde råvarer i hver rett'!AM53*Isbergsalat+Div</f>
        <v>12.736500000000001</v>
      </c>
      <c r="L55" s="121">
        <f>K55*'Beregning %-satser for mai&amp;j'!D129</f>
        <v>455.74308206106878</v>
      </c>
      <c r="Y55" s="14"/>
      <c r="Z55" s="49"/>
    </row>
    <row r="56" spans="2:26" ht="17">
      <c r="I56" s="118">
        <v>52</v>
      </c>
      <c r="J56" s="26" t="s">
        <v>186</v>
      </c>
      <c r="K56" s="63">
        <f>'Mengde råvarer i hver rett'!I54*Kylling+'Mengde råvarer i hver rett'!S54*Pommes+'Mengde råvarer i hver rett'!AM54*Isbergsalat+Div</f>
        <v>20.781499999999998</v>
      </c>
      <c r="L56" s="121">
        <f>K56*'Beregning %-satser for mai&amp;j'!D130</f>
        <v>297.44513358778619</v>
      </c>
      <c r="Y56" s="14"/>
      <c r="Z56" s="49"/>
    </row>
    <row r="57" spans="2:26">
      <c r="I57" s="122"/>
      <c r="J57" s="26" t="s">
        <v>140</v>
      </c>
      <c r="K57" s="63">
        <f>K17+K45+K25</f>
        <v>68.189539999999994</v>
      </c>
      <c r="L57" s="121">
        <f>K57*'Beregning %-satser for mai&amp;j'!D131</f>
        <v>1463.9929866412213</v>
      </c>
      <c r="Y57" s="14"/>
      <c r="Z57" s="49"/>
    </row>
    <row r="58" spans="2:26">
      <c r="I58" s="122"/>
      <c r="J58" s="26" t="s">
        <v>141</v>
      </c>
      <c r="K58" s="63">
        <f>K31+K22+K40+K45</f>
        <v>82.123689999999996</v>
      </c>
      <c r="L58" s="121">
        <f>K58*'Beregning %-satser for mai&amp;j'!D132</f>
        <v>2938.586235687023</v>
      </c>
      <c r="Y58" s="14"/>
      <c r="Z58" s="49"/>
    </row>
    <row r="59" spans="2:26">
      <c r="I59" s="122"/>
      <c r="J59" s="26" t="s">
        <v>142</v>
      </c>
      <c r="K59" s="63">
        <f>K37+K25+K41</f>
        <v>62.663849999999996</v>
      </c>
      <c r="L59" s="121">
        <f>K59*'Beregning %-satser for mai&amp;j'!D133</f>
        <v>896.90624999999989</v>
      </c>
      <c r="Y59" s="14"/>
      <c r="Z59" s="49"/>
    </row>
    <row r="60" spans="2:26">
      <c r="I60" s="122" t="s">
        <v>94</v>
      </c>
      <c r="J60" s="26"/>
      <c r="K60" s="63"/>
      <c r="L60" s="121"/>
      <c r="Y60" s="14"/>
      <c r="Z60" s="49"/>
    </row>
    <row r="61" spans="2:26" ht="17">
      <c r="I61" s="118">
        <v>53</v>
      </c>
      <c r="J61" s="26" t="s">
        <v>137</v>
      </c>
      <c r="K61" s="63">
        <f>'Mengde råvarer i hver rett'!V59*'Prisliste og råvarekost + Svinn'!C19+'Mengde råvarer i hver rett'!S59*Pommes+Div</f>
        <v>9.8506</v>
      </c>
      <c r="L61" s="121">
        <f>K61*'Beregning %-satser for mai&amp;j'!D135</f>
        <v>528.71779580152668</v>
      </c>
      <c r="Y61" s="14"/>
      <c r="Z61" s="49"/>
    </row>
    <row r="62" spans="2:26" ht="17">
      <c r="I62" s="118">
        <v>54</v>
      </c>
      <c r="J62" s="26" t="s">
        <v>138</v>
      </c>
      <c r="K62" s="63">
        <f>'Mengde råvarer i hver rett'!I60*Kylling+'Mengde råvarer i hver rett'!S60*Pommes+Div</f>
        <v>13.507600000000002</v>
      </c>
      <c r="L62" s="121">
        <f>K62*'Beregning %-satser for mai&amp;j'!D136</f>
        <v>531.66841603053444</v>
      </c>
      <c r="Y62" s="14"/>
      <c r="Z62" s="49"/>
    </row>
    <row r="63" spans="2:26" ht="17">
      <c r="I63" s="118">
        <v>55</v>
      </c>
      <c r="J63" s="26" t="s">
        <v>59</v>
      </c>
      <c r="K63" s="63">
        <f>'Prisliste og råvarekost + Svinn'!C18*'Mengde råvarer i hver rett'!N61+'Mengde råvarer i hver rett'!S60*Pommes+'Mengde råvarer i hver rett'!T61*'Prisliste og råvarekost + Svinn'!C26+Div</f>
        <v>13.807599999999999</v>
      </c>
      <c r="L63" s="121">
        <f>K63*'Beregning %-satser for mai&amp;j'!D137</f>
        <v>741.1044847328244</v>
      </c>
      <c r="Y63" s="14"/>
      <c r="Z63" s="49"/>
    </row>
    <row r="64" spans="2:26" ht="17">
      <c r="I64" s="118">
        <v>56</v>
      </c>
      <c r="J64" s="26" t="s">
        <v>135</v>
      </c>
      <c r="K64" s="63">
        <f>K63+Isbergsalat*'Mengde råvarer i hver rett'!AK62</f>
        <v>14.015999999999998</v>
      </c>
      <c r="L64" s="121">
        <f>K64*'Beregning %-satser for mai&amp;j'!D138</f>
        <v>401.22137404580144</v>
      </c>
      <c r="Y64" s="14"/>
      <c r="Z64" s="49"/>
    </row>
    <row r="65" spans="9:26">
      <c r="I65" s="122" t="s">
        <v>144</v>
      </c>
      <c r="J65" s="26"/>
      <c r="K65" s="63"/>
      <c r="L65" s="121"/>
      <c r="Y65" s="14"/>
      <c r="Z65" s="49"/>
    </row>
    <row r="66" spans="9:26">
      <c r="I66" s="122">
        <v>57</v>
      </c>
      <c r="J66" s="26" t="s">
        <v>145</v>
      </c>
      <c r="K66" s="63">
        <f>'Mengde råvarer i hver rett'!AP64*'Prisliste og råvarekost + Svinn'!C49+'Prisliste og råvarekost + Svinn'!C51*'Mengde råvarer i hver rett'!AT64</f>
        <v>4.29</v>
      </c>
      <c r="L66" s="121">
        <f>K66*'Beregning %-satser for mai&amp;j'!D140</f>
        <v>445.16937022900765</v>
      </c>
      <c r="Y66" s="14"/>
      <c r="Z66" s="49"/>
    </row>
    <row r="67" spans="9:26">
      <c r="I67" s="122">
        <v>58</v>
      </c>
      <c r="J67" s="26" t="s">
        <v>146</v>
      </c>
      <c r="K67" s="63">
        <f>Div+'Mengde råvarer i hver rett'!AP65*'Prisliste og råvarekost + Svinn'!C49+'Prisliste og råvarekost + Svinn'!C51*'Mengde råvarer i hver rett'!AT64</f>
        <v>5.2951000000000006</v>
      </c>
      <c r="L67" s="121">
        <f>K67*'Beregning %-satser for mai&amp;j'!D141</f>
        <v>1288.406965648855</v>
      </c>
      <c r="Y67" s="14"/>
      <c r="Z67" s="49"/>
    </row>
    <row r="68" spans="9:26">
      <c r="I68" s="122">
        <v>59</v>
      </c>
      <c r="J68" s="26" t="s">
        <v>149</v>
      </c>
      <c r="K68" s="63">
        <f>'Mengde råvarer i hver rett'!AR66*'Prisliste og råvarekost + Svinn'!C50</f>
        <v>5.95</v>
      </c>
      <c r="L68" s="121">
        <f>K68*'Beregning %-satser for mai&amp;j'!D142</f>
        <v>915.49379770992368</v>
      </c>
      <c r="Y68" s="14"/>
      <c r="Z68" s="49"/>
    </row>
    <row r="69" spans="9:26">
      <c r="I69" s="122">
        <v>60</v>
      </c>
      <c r="J69" s="26" t="s">
        <v>147</v>
      </c>
      <c r="K69" s="63">
        <f>'Mengde råvarer i hver rett'!AS67*'Prisliste og råvarekost + Svinn'!C48+'Prisliste og råvarekost + Svinn'!C51*'Mengde råvarer i hver rett'!AT64</f>
        <v>5.8100000000000005</v>
      </c>
      <c r="L69" s="121">
        <f>K69*'Beregning %-satser for mai&amp;j'!D143</f>
        <v>395.00238549618325</v>
      </c>
      <c r="Y69" s="14"/>
      <c r="Z69" s="49"/>
    </row>
    <row r="70" spans="9:26">
      <c r="I70" s="122">
        <v>61</v>
      </c>
      <c r="J70" s="26" t="s">
        <v>148</v>
      </c>
      <c r="K70" s="63">
        <f>C51*'Mengde råvarer i hver rett'!AT68</f>
        <v>3.3600000000000003</v>
      </c>
      <c r="L70" s="121">
        <f>K70*'Beregning %-satser for mai&amp;j'!D144</f>
        <v>432.82442748091614</v>
      </c>
      <c r="Y70" s="51"/>
      <c r="Z70" s="17"/>
    </row>
    <row r="71" spans="9:26">
      <c r="I71" s="122"/>
      <c r="J71" s="26"/>
      <c r="K71" s="26"/>
      <c r="L71" s="121"/>
      <c r="Y71" s="51"/>
      <c r="Z71" s="17"/>
    </row>
    <row r="72" spans="9:26">
      <c r="I72" s="123"/>
      <c r="J72" s="36" t="s">
        <v>143</v>
      </c>
      <c r="K72" s="36">
        <v>13.7</v>
      </c>
      <c r="L72" s="124">
        <f>K72*'Beregning %-satser for mai&amp;j'!D146</f>
        <v>7108.1822519083962</v>
      </c>
      <c r="Y72" s="51"/>
      <c r="Z72" s="17"/>
    </row>
    <row r="73" spans="9:26">
      <c r="Y73" s="51"/>
      <c r="Z73" s="17"/>
    </row>
    <row r="75" spans="9:26">
      <c r="J75" t="s">
        <v>368</v>
      </c>
      <c r="L75" s="32">
        <f>SUM(L5:L72)</f>
        <v>166916.07664122139</v>
      </c>
      <c r="O75">
        <f>L75/(1-L77)</f>
        <v>186244</v>
      </c>
    </row>
    <row r="77" spans="9:26">
      <c r="J77" s="115" t="s">
        <v>238</v>
      </c>
      <c r="K77" s="125">
        <f>'Varekjøp (mai)'!B4-'Prisliste og råvarekost + Svinn'!L75</f>
        <v>19327.923358778615</v>
      </c>
      <c r="L77" s="126">
        <f>1-L75/'Varekjøp (mai)'!B4</f>
        <v>0.10377742831328052</v>
      </c>
    </row>
    <row r="78" spans="9:26">
      <c r="J78" t="s">
        <v>369</v>
      </c>
    </row>
    <row r="79" spans="9:26">
      <c r="J79" t="s">
        <v>242</v>
      </c>
    </row>
    <row r="80" spans="9:26">
      <c r="J80" t="s">
        <v>243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F43" sqref="F43"/>
    </sheetView>
  </sheetViews>
  <sheetFormatPr baseColWidth="10" defaultRowHeight="15" x14ac:dyDescent="0"/>
  <cols>
    <col min="6" max="6" width="14.83203125" bestFit="1" customWidth="1"/>
    <col min="8" max="8" width="14.5" bestFit="1" customWidth="1"/>
  </cols>
  <sheetData>
    <row r="1" spans="1:12">
      <c r="A1" t="s">
        <v>314</v>
      </c>
      <c r="B1" t="s">
        <v>317</v>
      </c>
    </row>
    <row r="2" spans="1:12">
      <c r="G2" s="26"/>
      <c r="I2" s="26"/>
      <c r="J2" s="26"/>
      <c r="K2" s="26"/>
      <c r="L2" s="26"/>
    </row>
    <row r="3" spans="1:12">
      <c r="B3" s="36"/>
      <c r="C3" s="36"/>
      <c r="D3" s="36"/>
      <c r="E3" s="36"/>
      <c r="F3" t="s">
        <v>315</v>
      </c>
      <c r="G3" s="26"/>
      <c r="H3" s="26" t="s">
        <v>316</v>
      </c>
      <c r="I3" s="26"/>
      <c r="J3" s="26"/>
      <c r="K3" s="26"/>
      <c r="L3" s="26"/>
    </row>
    <row r="4" spans="1:12">
      <c r="B4" s="16" t="s">
        <v>244</v>
      </c>
      <c r="F4" s="15">
        <f>399303.2+494495.65</f>
        <v>893798.85000000009</v>
      </c>
      <c r="G4" s="43"/>
      <c r="H4" s="44">
        <f>F4</f>
        <v>893798.85000000009</v>
      </c>
      <c r="I4" s="26"/>
      <c r="J4" s="26"/>
      <c r="K4" s="26"/>
      <c r="L4" s="26"/>
    </row>
    <row r="5" spans="1:12">
      <c r="B5" t="s">
        <v>245</v>
      </c>
      <c r="F5" s="41">
        <v>166792.1</v>
      </c>
      <c r="G5" s="26"/>
      <c r="H5" s="45">
        <f>F5</f>
        <v>166792.1</v>
      </c>
      <c r="I5" s="26"/>
      <c r="J5" s="26"/>
      <c r="K5" s="26"/>
      <c r="L5" s="26"/>
    </row>
    <row r="6" spans="1:12">
      <c r="B6" s="37" t="s">
        <v>238</v>
      </c>
      <c r="F6" s="40">
        <v>19451.924336832046</v>
      </c>
      <c r="G6" s="26"/>
      <c r="H6" s="47">
        <f>F6/2</f>
        <v>9725.9621684160229</v>
      </c>
      <c r="I6" s="48" t="s">
        <v>318</v>
      </c>
      <c r="J6" s="26"/>
      <c r="K6" s="26"/>
      <c r="L6" s="26"/>
    </row>
    <row r="7" spans="1:12">
      <c r="B7" s="36"/>
      <c r="C7" s="36"/>
      <c r="D7" s="36"/>
      <c r="E7" s="36"/>
      <c r="F7" s="36"/>
      <c r="G7" s="26"/>
      <c r="H7" s="26"/>
      <c r="I7" s="26"/>
      <c r="J7" s="26"/>
      <c r="K7" s="26"/>
      <c r="L7" s="26"/>
    </row>
    <row r="8" spans="1:12" ht="17" thickBot="1">
      <c r="B8" s="38" t="s">
        <v>319</v>
      </c>
      <c r="C8" s="39"/>
      <c r="D8" s="39"/>
      <c r="E8" s="39"/>
      <c r="F8" s="42">
        <f>F4-F5-F6</f>
        <v>707554.8256631681</v>
      </c>
      <c r="G8" s="39"/>
      <c r="H8" s="42">
        <f>H4-H5-H6</f>
        <v>717280.78783158411</v>
      </c>
      <c r="J8" s="26"/>
      <c r="K8" s="26"/>
      <c r="L8" s="26"/>
    </row>
    <row r="9" spans="1:12" ht="17" thickTop="1">
      <c r="G9" s="26"/>
      <c r="H9" s="26"/>
      <c r="I9" s="26"/>
      <c r="J9" s="26"/>
      <c r="K9" s="26"/>
      <c r="L9" s="26"/>
    </row>
    <row r="10" spans="1:12">
      <c r="G10" s="26"/>
      <c r="H10" s="26"/>
      <c r="I10" s="26"/>
      <c r="J10" s="26"/>
      <c r="K10" s="26"/>
      <c r="L10" s="26"/>
    </row>
    <row r="11" spans="1:12">
      <c r="F11" s="46"/>
      <c r="G11" s="26"/>
      <c r="H11" s="26"/>
      <c r="I11" s="26"/>
      <c r="J11" s="26"/>
      <c r="K11" s="26"/>
      <c r="L11" s="26"/>
    </row>
    <row r="12" spans="1:12">
      <c r="G12" s="26"/>
      <c r="H12" s="26"/>
      <c r="I12" s="26"/>
      <c r="J12" s="26"/>
      <c r="K12" s="26"/>
      <c r="L12" s="26"/>
    </row>
    <row r="13" spans="1:12">
      <c r="G13" s="26"/>
      <c r="H13" s="26"/>
      <c r="I13" s="26"/>
      <c r="J13" s="26"/>
      <c r="K13" s="26"/>
      <c r="L13" s="26"/>
    </row>
    <row r="14" spans="1:12">
      <c r="G14" s="26"/>
      <c r="H14" s="26"/>
      <c r="I14" s="26"/>
      <c r="J14" s="26"/>
      <c r="K14" s="26"/>
      <c r="L14" s="26"/>
    </row>
    <row r="15" spans="1:12">
      <c r="G15" s="26"/>
      <c r="H15" s="26"/>
      <c r="I15" s="26"/>
      <c r="J15" s="26"/>
      <c r="K15" s="26"/>
      <c r="L15" s="26"/>
    </row>
    <row r="16" spans="1:12">
      <c r="G16" s="26"/>
      <c r="H16" s="26"/>
      <c r="I16" s="26"/>
      <c r="J16" s="26"/>
      <c r="K16" s="26"/>
      <c r="L16" s="26"/>
    </row>
    <row r="17" spans="7:12">
      <c r="G17" s="26"/>
      <c r="H17" s="26"/>
      <c r="I17" s="26"/>
      <c r="J17" s="26"/>
      <c r="K17" s="26"/>
      <c r="L17" s="26"/>
    </row>
    <row r="18" spans="7:12">
      <c r="G18" s="26"/>
      <c r="H18" s="26"/>
      <c r="I18" s="26"/>
      <c r="J18" s="26"/>
      <c r="K18" s="26"/>
      <c r="L18" s="26"/>
    </row>
    <row r="19" spans="7:12">
      <c r="G19" s="26"/>
      <c r="H19" s="26"/>
      <c r="I19" s="26"/>
      <c r="J19" s="26"/>
      <c r="K19" s="26"/>
      <c r="L19" s="26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workbookViewId="0">
      <selection activeCell="J41" sqref="J41"/>
    </sheetView>
  </sheetViews>
  <sheetFormatPr baseColWidth="10" defaultRowHeight="15" x14ac:dyDescent="0"/>
  <cols>
    <col min="1" max="1" width="12.6640625" bestFit="1" customWidth="1"/>
    <col min="2" max="2" width="13.33203125" bestFit="1" customWidth="1"/>
    <col min="3" max="4" width="13.6640625" bestFit="1" customWidth="1"/>
    <col min="5" max="5" width="15.1640625" bestFit="1" customWidth="1"/>
    <col min="6" max="6" width="15.5" bestFit="1" customWidth="1"/>
    <col min="8" max="8" width="12.6640625" bestFit="1" customWidth="1"/>
    <col min="9" max="10" width="13.6640625" bestFit="1" customWidth="1"/>
    <col min="11" max="11" width="15.1640625" bestFit="1" customWidth="1"/>
    <col min="15" max="16" width="13.6640625" bestFit="1" customWidth="1"/>
    <col min="17" max="17" width="15.1640625" bestFit="1" customWidth="1"/>
  </cols>
  <sheetData>
    <row r="1" spans="1:16">
      <c r="A1" t="s">
        <v>311</v>
      </c>
    </row>
    <row r="3" spans="1:16">
      <c r="A3" t="s">
        <v>325</v>
      </c>
      <c r="C3" s="15"/>
      <c r="D3" s="15"/>
      <c r="I3" s="15"/>
      <c r="J3" s="15"/>
      <c r="O3" s="15"/>
      <c r="P3" s="15"/>
    </row>
    <row r="4" spans="1:16">
      <c r="A4" t="s">
        <v>326</v>
      </c>
    </row>
    <row r="5" spans="1:16">
      <c r="A5" t="s">
        <v>359</v>
      </c>
    </row>
    <row r="6" spans="1:16">
      <c r="A6" t="s">
        <v>360</v>
      </c>
    </row>
    <row r="7" spans="1:16">
      <c r="A7" t="s">
        <v>361</v>
      </c>
    </row>
    <row r="10" spans="1:16">
      <c r="A10" s="80"/>
      <c r="B10" s="80"/>
      <c r="C10" s="80"/>
      <c r="D10" s="80"/>
      <c r="E10" s="80"/>
      <c r="F10" s="80"/>
      <c r="G10" s="80"/>
    </row>
    <row r="11" spans="1:16" ht="17" thickBot="1">
      <c r="A11" s="80"/>
      <c r="B11" s="80">
        <v>2015</v>
      </c>
      <c r="C11" s="80"/>
      <c r="D11" s="80"/>
      <c r="E11" s="80"/>
      <c r="F11" s="80"/>
      <c r="G11" s="80"/>
    </row>
    <row r="12" spans="1:16" ht="17" thickBot="1">
      <c r="A12" s="80"/>
      <c r="B12" s="81" t="s">
        <v>310</v>
      </c>
      <c r="C12" s="82" t="s">
        <v>308</v>
      </c>
      <c r="D12" s="82" t="s">
        <v>90</v>
      </c>
      <c r="E12" s="82" t="s">
        <v>309</v>
      </c>
      <c r="F12" s="83" t="s">
        <v>313</v>
      </c>
      <c r="G12" s="80"/>
    </row>
    <row r="13" spans="1:16">
      <c r="A13" s="80"/>
      <c r="B13" s="84" t="s">
        <v>312</v>
      </c>
      <c r="C13" s="85">
        <v>60</v>
      </c>
      <c r="D13" s="86">
        <v>5438000</v>
      </c>
      <c r="E13" s="86">
        <v>1264000</v>
      </c>
      <c r="F13" s="87">
        <v>0.2324</v>
      </c>
      <c r="G13" s="80"/>
    </row>
    <row r="14" spans="1:16">
      <c r="A14" s="80"/>
      <c r="B14" s="88" t="s">
        <v>354</v>
      </c>
      <c r="C14" s="89">
        <v>65</v>
      </c>
      <c r="D14" s="90">
        <v>4993000</v>
      </c>
      <c r="E14" s="90">
        <v>1628000</v>
      </c>
      <c r="F14" s="91">
        <v>0.3261</v>
      </c>
      <c r="G14" s="80"/>
    </row>
    <row r="15" spans="1:16">
      <c r="A15" s="80"/>
      <c r="B15" s="88" t="s">
        <v>355</v>
      </c>
      <c r="C15" s="89">
        <v>44</v>
      </c>
      <c r="D15" s="90">
        <v>3083000</v>
      </c>
      <c r="E15" s="90">
        <v>713000</v>
      </c>
      <c r="F15" s="91">
        <f>E15/D15</f>
        <v>0.231268245215699</v>
      </c>
      <c r="G15" s="80"/>
    </row>
    <row r="16" spans="1:16">
      <c r="A16" s="80"/>
      <c r="B16" s="88" t="s">
        <v>356</v>
      </c>
      <c r="C16" s="89">
        <v>57</v>
      </c>
      <c r="D16" s="90">
        <v>4968000</v>
      </c>
      <c r="E16" s="90">
        <v>1822000</v>
      </c>
      <c r="F16" s="91">
        <f>E16/D16</f>
        <v>0.36674718196457329</v>
      </c>
      <c r="G16" s="80"/>
    </row>
    <row r="17" spans="1:7">
      <c r="A17" s="80"/>
      <c r="B17" s="88" t="s">
        <v>357</v>
      </c>
      <c r="C17" s="89">
        <v>44</v>
      </c>
      <c r="D17" s="90">
        <v>4753000</v>
      </c>
      <c r="E17" s="90">
        <v>797000</v>
      </c>
      <c r="F17" s="91">
        <f>E17/D17</f>
        <v>0.16768356827266989</v>
      </c>
      <c r="G17" s="80"/>
    </row>
    <row r="18" spans="1:7" ht="17" thickBot="1">
      <c r="A18" s="80"/>
      <c r="B18" s="92" t="s">
        <v>358</v>
      </c>
      <c r="C18" s="93">
        <v>95</v>
      </c>
      <c r="D18" s="94">
        <v>9184000</v>
      </c>
      <c r="E18" s="94">
        <v>2573000</v>
      </c>
      <c r="F18" s="95">
        <f>E18/D18</f>
        <v>0.28016114982578399</v>
      </c>
      <c r="G18" s="80"/>
    </row>
    <row r="19" spans="1:7">
      <c r="A19" s="80"/>
      <c r="B19" s="96"/>
      <c r="C19" s="96"/>
      <c r="D19" s="97"/>
      <c r="E19" s="97"/>
      <c r="F19" s="98"/>
      <c r="G19" s="80"/>
    </row>
    <row r="20" spans="1:7" ht="17" thickBot="1">
      <c r="A20" s="80"/>
      <c r="B20" s="80">
        <v>2014</v>
      </c>
      <c r="C20" s="80"/>
      <c r="D20" s="80"/>
      <c r="E20" s="80"/>
      <c r="F20" s="80"/>
      <c r="G20" s="80"/>
    </row>
    <row r="21" spans="1:7" ht="17" thickBot="1">
      <c r="A21" s="80"/>
      <c r="B21" s="99" t="s">
        <v>310</v>
      </c>
      <c r="C21" s="23" t="s">
        <v>308</v>
      </c>
      <c r="D21" s="23" t="s">
        <v>90</v>
      </c>
      <c r="E21" s="23" t="s">
        <v>309</v>
      </c>
      <c r="F21" s="100" t="s">
        <v>313</v>
      </c>
      <c r="G21" s="80"/>
    </row>
    <row r="22" spans="1:7">
      <c r="A22" s="80"/>
      <c r="B22" s="101" t="s">
        <v>312</v>
      </c>
      <c r="C22" s="102">
        <v>60</v>
      </c>
      <c r="D22" s="103">
        <v>4615000</v>
      </c>
      <c r="E22" s="103">
        <v>1131000</v>
      </c>
      <c r="F22" s="104">
        <v>0.245</v>
      </c>
      <c r="G22" s="80"/>
    </row>
    <row r="23" spans="1:7">
      <c r="A23" s="80"/>
      <c r="B23" s="88" t="s">
        <v>354</v>
      </c>
      <c r="C23" s="89">
        <v>65</v>
      </c>
      <c r="D23" s="90">
        <v>4965000</v>
      </c>
      <c r="E23" s="90">
        <v>1716000</v>
      </c>
      <c r="F23" s="105">
        <v>0.34599999999999997</v>
      </c>
      <c r="G23" s="80"/>
    </row>
    <row r="24" spans="1:7">
      <c r="A24" s="80"/>
      <c r="B24" s="88" t="s">
        <v>355</v>
      </c>
      <c r="C24" s="89">
        <v>44</v>
      </c>
      <c r="D24" s="90">
        <v>3042000</v>
      </c>
      <c r="E24" s="90">
        <v>707000</v>
      </c>
      <c r="F24" s="91">
        <f>E24/D24</f>
        <v>0.23241288625904011</v>
      </c>
      <c r="G24" s="80"/>
    </row>
    <row r="25" spans="1:7">
      <c r="A25" s="80"/>
      <c r="B25" s="88" t="s">
        <v>356</v>
      </c>
      <c r="C25" s="89">
        <v>57</v>
      </c>
      <c r="D25" s="90">
        <v>4637000</v>
      </c>
      <c r="E25" s="90">
        <v>1724000</v>
      </c>
      <c r="F25" s="91">
        <f t="shared" ref="F25:F27" si="0">E25/D25</f>
        <v>0.37179210696571058</v>
      </c>
      <c r="G25" s="80"/>
    </row>
    <row r="26" spans="1:7">
      <c r="A26" s="80"/>
      <c r="B26" s="88" t="s">
        <v>357</v>
      </c>
      <c r="C26" s="89">
        <v>44</v>
      </c>
      <c r="D26" s="90">
        <v>4656000</v>
      </c>
      <c r="E26" s="90">
        <v>864000</v>
      </c>
      <c r="F26" s="91">
        <f t="shared" si="0"/>
        <v>0.18556701030927836</v>
      </c>
      <c r="G26" s="80"/>
    </row>
    <row r="27" spans="1:7" ht="17" thickBot="1">
      <c r="A27" s="80"/>
      <c r="B27" s="92" t="s">
        <v>358</v>
      </c>
      <c r="C27" s="93">
        <v>95</v>
      </c>
      <c r="D27" s="94">
        <v>8714000</v>
      </c>
      <c r="E27" s="94">
        <v>2355000</v>
      </c>
      <c r="F27" s="95">
        <f t="shared" si="0"/>
        <v>0.27025476245122793</v>
      </c>
      <c r="G27" s="80"/>
    </row>
    <row r="28" spans="1:7">
      <c r="A28" s="80"/>
      <c r="B28" s="80"/>
      <c r="C28" s="80"/>
      <c r="D28" s="106"/>
      <c r="E28" s="106"/>
      <c r="F28" s="107"/>
      <c r="G28" s="80"/>
    </row>
    <row r="29" spans="1:7" ht="17" thickBot="1">
      <c r="A29" s="80"/>
      <c r="B29" s="80">
        <v>2013</v>
      </c>
      <c r="C29" s="80"/>
      <c r="D29" s="80"/>
      <c r="E29" s="80"/>
      <c r="F29" s="80"/>
      <c r="G29" s="80"/>
    </row>
    <row r="30" spans="1:7" ht="17" thickBot="1">
      <c r="A30" s="80"/>
      <c r="B30" s="108" t="s">
        <v>310</v>
      </c>
      <c r="C30" s="109" t="s">
        <v>308</v>
      </c>
      <c r="D30" s="109" t="s">
        <v>90</v>
      </c>
      <c r="E30" s="109" t="s">
        <v>309</v>
      </c>
      <c r="F30" s="110" t="s">
        <v>313</v>
      </c>
      <c r="G30" s="80"/>
    </row>
    <row r="31" spans="1:7">
      <c r="A31" s="80"/>
      <c r="B31" s="28" t="s">
        <v>312</v>
      </c>
      <c r="C31" s="26">
        <v>60</v>
      </c>
      <c r="D31" s="111">
        <v>4315000</v>
      </c>
      <c r="E31" s="111">
        <v>1168000</v>
      </c>
      <c r="F31" s="112">
        <f>E31/D31</f>
        <v>0.27068366164542296</v>
      </c>
      <c r="G31" s="80"/>
    </row>
    <row r="32" spans="1:7">
      <c r="A32" s="80"/>
      <c r="B32" s="28" t="s">
        <v>354</v>
      </c>
      <c r="C32" s="26">
        <v>65</v>
      </c>
      <c r="D32" s="111">
        <v>4991000</v>
      </c>
      <c r="E32" s="111">
        <v>2050000</v>
      </c>
      <c r="F32" s="112">
        <f t="shared" ref="F32:F36" si="1">E32/D32</f>
        <v>0.41073933079543179</v>
      </c>
      <c r="G32" s="80"/>
    </row>
    <row r="33" spans="1:7">
      <c r="A33" s="80"/>
      <c r="B33" s="28" t="s">
        <v>355</v>
      </c>
      <c r="C33" s="26">
        <v>44</v>
      </c>
      <c r="D33" s="111">
        <v>1204000</v>
      </c>
      <c r="E33" s="111">
        <v>312000</v>
      </c>
      <c r="F33" s="112">
        <f t="shared" si="1"/>
        <v>0.25913621262458469</v>
      </c>
      <c r="G33" s="80"/>
    </row>
    <row r="34" spans="1:7">
      <c r="A34" s="80"/>
      <c r="B34" s="28" t="s">
        <v>356</v>
      </c>
      <c r="C34" s="26">
        <v>57</v>
      </c>
      <c r="D34" s="111">
        <v>4460000</v>
      </c>
      <c r="E34" s="111">
        <v>1630000</v>
      </c>
      <c r="F34" s="112">
        <f t="shared" si="1"/>
        <v>0.36547085201793722</v>
      </c>
      <c r="G34" s="80"/>
    </row>
    <row r="35" spans="1:7">
      <c r="A35" s="80"/>
      <c r="B35" s="28" t="s">
        <v>357</v>
      </c>
      <c r="C35" s="26">
        <v>54</v>
      </c>
      <c r="D35" s="111">
        <v>4705000</v>
      </c>
      <c r="E35" s="111">
        <v>1154000</v>
      </c>
      <c r="F35" s="112">
        <f t="shared" si="1"/>
        <v>0.24527098831030819</v>
      </c>
      <c r="G35" s="80"/>
    </row>
    <row r="36" spans="1:7" ht="17" thickBot="1">
      <c r="A36" s="80"/>
      <c r="B36" s="29" t="s">
        <v>358</v>
      </c>
      <c r="C36" s="30">
        <v>95</v>
      </c>
      <c r="D36" s="113">
        <v>6399000</v>
      </c>
      <c r="E36" s="113">
        <v>1904000</v>
      </c>
      <c r="F36" s="114">
        <f t="shared" si="1"/>
        <v>0.29754649163931862</v>
      </c>
      <c r="G36" s="80"/>
    </row>
    <row r="37" spans="1:7">
      <c r="A37" s="80"/>
      <c r="B37" s="80"/>
      <c r="C37" s="80"/>
      <c r="D37" s="80"/>
      <c r="E37" s="80"/>
      <c r="F37" s="80"/>
      <c r="G37" s="80"/>
    </row>
    <row r="38" spans="1:7">
      <c r="A38" s="80"/>
      <c r="B38" s="80"/>
      <c r="C38" s="80"/>
      <c r="D38" s="80"/>
      <c r="E38" s="80"/>
      <c r="F38" s="80"/>
      <c r="G38" s="80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R83"/>
  <sheetViews>
    <sheetView tabSelected="1" topLeftCell="A16" workbookViewId="0">
      <selection activeCell="I55" sqref="I55"/>
    </sheetView>
  </sheetViews>
  <sheetFormatPr baseColWidth="10" defaultRowHeight="15" x14ac:dyDescent="0"/>
  <cols>
    <col min="3" max="3" width="22" bestFit="1" customWidth="1"/>
    <col min="8" max="8" width="11.33203125" bestFit="1" customWidth="1"/>
    <col min="12" max="12" width="22" bestFit="1" customWidth="1"/>
    <col min="14" max="14" width="14.83203125" bestFit="1" customWidth="1"/>
    <col min="17" max="17" width="16" bestFit="1" customWidth="1"/>
    <col min="18" max="18" width="22.1640625" bestFit="1" customWidth="1"/>
    <col min="21" max="21" width="20.6640625" bestFit="1" customWidth="1"/>
    <col min="24" max="24" width="20.5" bestFit="1" customWidth="1"/>
    <col min="25" max="25" width="13.5" bestFit="1" customWidth="1"/>
    <col min="26" max="26" width="11.83203125" bestFit="1" customWidth="1"/>
    <col min="27" max="27" width="14.83203125" bestFit="1" customWidth="1"/>
    <col min="28" max="28" width="16.5" customWidth="1"/>
    <col min="29" max="29" width="13.5" bestFit="1" customWidth="1"/>
    <col min="30" max="30" width="14.33203125" bestFit="1" customWidth="1"/>
    <col min="31" max="31" width="15.33203125" bestFit="1" customWidth="1"/>
    <col min="32" max="32" width="19.83203125" bestFit="1" customWidth="1"/>
    <col min="33" max="33" width="14" bestFit="1" customWidth="1"/>
    <col min="35" max="37" width="11.6640625" bestFit="1" customWidth="1"/>
    <col min="38" max="38" width="23.33203125" bestFit="1" customWidth="1"/>
    <col min="39" max="41" width="11.6640625" bestFit="1" customWidth="1"/>
    <col min="42" max="42" width="23.33203125" bestFit="1" customWidth="1"/>
  </cols>
  <sheetData>
    <row r="2" spans="1:44">
      <c r="X2" s="139"/>
      <c r="Y2" s="151"/>
      <c r="Z2" s="151"/>
      <c r="AA2" s="151"/>
      <c r="AB2" s="151"/>
      <c r="AC2" s="151"/>
      <c r="AD2" s="151" t="s">
        <v>352</v>
      </c>
      <c r="AE2" s="152">
        <v>1.05</v>
      </c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</row>
    <row r="3" spans="1:44" ht="26" thickBot="1">
      <c r="B3" t="s">
        <v>327</v>
      </c>
      <c r="Q3" t="s">
        <v>423</v>
      </c>
      <c r="U3" s="150" t="s">
        <v>345</v>
      </c>
      <c r="X3" s="139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</row>
    <row r="4" spans="1:44">
      <c r="G4" t="s">
        <v>332</v>
      </c>
      <c r="H4" s="14">
        <v>848.04389312977094</v>
      </c>
      <c r="M4" t="s">
        <v>341</v>
      </c>
      <c r="N4" t="s">
        <v>342</v>
      </c>
      <c r="P4" t="s">
        <v>422</v>
      </c>
      <c r="Q4" t="s">
        <v>424</v>
      </c>
      <c r="R4" t="s">
        <v>421</v>
      </c>
      <c r="T4" s="99"/>
      <c r="U4" s="23"/>
      <c r="V4" s="100"/>
      <c r="X4" s="139"/>
      <c r="Y4" s="151"/>
      <c r="Z4" s="151" t="s">
        <v>372</v>
      </c>
      <c r="AA4" s="151"/>
      <c r="AB4" s="151"/>
      <c r="AC4" s="151"/>
      <c r="AD4" s="151"/>
      <c r="AE4" s="151"/>
      <c r="AF4" s="151"/>
      <c r="AG4" s="151"/>
      <c r="AH4" s="153"/>
      <c r="AI4" s="151"/>
      <c r="AJ4" s="151"/>
      <c r="AK4" s="151"/>
      <c r="AL4" s="151"/>
      <c r="AM4" s="151"/>
      <c r="AN4" s="151"/>
      <c r="AO4" s="151"/>
      <c r="AP4" s="151"/>
      <c r="AQ4" s="151"/>
      <c r="AR4" s="151"/>
    </row>
    <row r="5" spans="1:44" ht="16">
      <c r="A5" s="26"/>
      <c r="B5" s="26" t="s">
        <v>194</v>
      </c>
      <c r="C5" s="26"/>
      <c r="D5" s="26"/>
      <c r="E5" s="76" t="s">
        <v>340</v>
      </c>
      <c r="F5" t="s">
        <v>319</v>
      </c>
      <c r="G5" t="s">
        <v>320</v>
      </c>
      <c r="H5" t="s">
        <v>341</v>
      </c>
      <c r="K5">
        <v>1</v>
      </c>
      <c r="L5" s="73" t="s">
        <v>95</v>
      </c>
      <c r="M5" s="32">
        <v>8098.949813260374</v>
      </c>
      <c r="N5" s="75">
        <v>547</v>
      </c>
      <c r="O5" s="17">
        <v>0.64556962025316456</v>
      </c>
      <c r="P5" s="3">
        <v>153</v>
      </c>
      <c r="Q5" s="62">
        <f>P5/$P$12</f>
        <v>0.69863013698630139</v>
      </c>
      <c r="R5" s="1">
        <f>Q5*$N$12</f>
        <v>591.7397260273973</v>
      </c>
      <c r="T5" s="28"/>
      <c r="U5" s="26" t="s">
        <v>330</v>
      </c>
      <c r="V5" s="128"/>
      <c r="X5" s="139"/>
      <c r="Y5" s="151"/>
      <c r="Z5" s="151"/>
      <c r="AA5" s="151"/>
      <c r="AB5" s="151" t="s">
        <v>330</v>
      </c>
      <c r="AC5" s="151" t="s">
        <v>353</v>
      </c>
      <c r="AD5" s="151" t="s">
        <v>351</v>
      </c>
      <c r="AE5" s="151" t="s">
        <v>346</v>
      </c>
      <c r="AF5" s="151" t="s">
        <v>239</v>
      </c>
      <c r="AG5" s="154" t="s">
        <v>249</v>
      </c>
      <c r="AH5" s="153" t="s">
        <v>348</v>
      </c>
      <c r="AI5" s="151" t="s">
        <v>349</v>
      </c>
      <c r="AJ5" s="151" t="s">
        <v>336</v>
      </c>
      <c r="AK5" s="151" t="s">
        <v>350</v>
      </c>
      <c r="AL5" s="151"/>
      <c r="AM5" s="151"/>
      <c r="AN5" s="151" t="s">
        <v>362</v>
      </c>
      <c r="AO5" s="151" t="s">
        <v>50</v>
      </c>
      <c r="AP5" s="151" t="s">
        <v>363</v>
      </c>
      <c r="AQ5" s="151"/>
      <c r="AR5" s="151"/>
    </row>
    <row r="6" spans="1:44" ht="16">
      <c r="A6" s="26"/>
      <c r="B6" s="26" t="s">
        <v>198</v>
      </c>
      <c r="C6" s="77" t="s">
        <v>95</v>
      </c>
      <c r="D6" s="75">
        <v>547</v>
      </c>
      <c r="E6" s="78">
        <f>D6/$H$4</f>
        <v>0.64501378340365689</v>
      </c>
      <c r="F6" s="14">
        <v>14.793375868055552</v>
      </c>
      <c r="G6" s="1">
        <f>$H$4*E6</f>
        <v>547</v>
      </c>
      <c r="H6" s="32">
        <f>G6*F6</f>
        <v>8091.9765998263865</v>
      </c>
      <c r="J6" s="14"/>
      <c r="K6">
        <v>2</v>
      </c>
      <c r="L6" s="73" t="s">
        <v>101</v>
      </c>
      <c r="M6" s="32">
        <v>3669.6326335877857</v>
      </c>
      <c r="N6" s="75">
        <v>68</v>
      </c>
      <c r="O6" s="17">
        <v>0.19831223628691982</v>
      </c>
      <c r="P6" s="18">
        <v>47</v>
      </c>
      <c r="Q6" s="62">
        <f t="shared" ref="Q6:Q11" si="0">P6/$P$12</f>
        <v>0.21461187214611871</v>
      </c>
      <c r="R6" s="1">
        <f t="shared" ref="R6:R11" si="1">Q6*$N$12</f>
        <v>181.77625570776254</v>
      </c>
      <c r="T6" s="28">
        <v>1</v>
      </c>
      <c r="U6" s="77" t="s">
        <v>95</v>
      </c>
      <c r="V6" s="128"/>
      <c r="X6" s="139"/>
      <c r="Y6" s="151"/>
      <c r="Z6" s="151"/>
      <c r="AA6" s="151">
        <v>1</v>
      </c>
      <c r="AB6" s="151" t="s">
        <v>95</v>
      </c>
      <c r="AC6" s="154">
        <v>591.83972602739698</v>
      </c>
      <c r="AD6" s="154">
        <f>AC6*$AE$2</f>
        <v>621.43171232876682</v>
      </c>
      <c r="AE6" s="155">
        <v>45</v>
      </c>
      <c r="AF6" s="156">
        <v>8.98</v>
      </c>
      <c r="AG6" s="154">
        <v>5</v>
      </c>
      <c r="AH6" s="153">
        <f>AG6*'FeilLønnskost og Tidsbruk'!$C$15</f>
        <v>21.095624131944444</v>
      </c>
      <c r="AI6" s="156">
        <f>AE6-AF6-AH6</f>
        <v>14.924375868055552</v>
      </c>
      <c r="AJ6" s="156">
        <f>AI6*AD6</f>
        <v>9274.4804511238872</v>
      </c>
      <c r="AK6" s="156">
        <f>AF6*AD6</f>
        <v>5580.4567767123262</v>
      </c>
      <c r="AL6" s="151"/>
      <c r="AM6" s="156">
        <f>AD6*AE6</f>
        <v>27964.427054794505</v>
      </c>
      <c r="AN6" s="156">
        <f>AM6*0.5</f>
        <v>13982.213527397253</v>
      </c>
      <c r="AO6" s="156">
        <f>AM6*0.5*0.9</f>
        <v>12583.992174657527</v>
      </c>
      <c r="AP6" s="151"/>
      <c r="AQ6" s="151"/>
      <c r="AR6" s="151"/>
    </row>
    <row r="7" spans="1:44" ht="16">
      <c r="A7" s="26"/>
      <c r="B7" s="26" t="s">
        <v>199</v>
      </c>
      <c r="C7" s="77" t="s">
        <v>96</v>
      </c>
      <c r="D7" s="75">
        <v>68</v>
      </c>
      <c r="E7" s="78">
        <f t="shared" ref="E7:E12" si="2">D7/$H$4</f>
        <v>8.0184528832630109E-2</v>
      </c>
      <c r="F7" s="14">
        <v>35.837609201388901</v>
      </c>
      <c r="G7" s="1">
        <f t="shared" ref="G7:G12" si="3">$H$4*E7</f>
        <v>68</v>
      </c>
      <c r="H7" s="32">
        <f t="shared" ref="H7:H12" si="4">G7*F7</f>
        <v>2436.9574256944452</v>
      </c>
      <c r="J7" s="14"/>
      <c r="K7">
        <v>3</v>
      </c>
      <c r="L7" s="73" t="s">
        <v>96</v>
      </c>
      <c r="M7" s="32">
        <v>2436.6412213740459</v>
      </c>
      <c r="N7" s="75">
        <v>32</v>
      </c>
      <c r="O7" s="17">
        <v>8.0168776371308023E-2</v>
      </c>
      <c r="P7" s="3">
        <v>19</v>
      </c>
      <c r="Q7" s="62">
        <f t="shared" si="0"/>
        <v>8.6757990867579904E-2</v>
      </c>
      <c r="R7" s="1">
        <f t="shared" si="1"/>
        <v>73.484018264840174</v>
      </c>
      <c r="T7" s="28">
        <v>2</v>
      </c>
      <c r="U7" s="77" t="s">
        <v>101</v>
      </c>
      <c r="V7" s="128"/>
      <c r="X7" s="139"/>
      <c r="Y7" s="151"/>
      <c r="Z7" s="151"/>
      <c r="AA7" s="151">
        <v>2</v>
      </c>
      <c r="AB7" s="151" t="s">
        <v>101</v>
      </c>
      <c r="AC7" s="154">
        <v>181.87625570776299</v>
      </c>
      <c r="AD7" s="154">
        <f>AC7*$AE$2</f>
        <v>190.97006849315116</v>
      </c>
      <c r="AE7" s="155">
        <v>54.17</v>
      </c>
      <c r="AF7" s="156">
        <v>8.75</v>
      </c>
      <c r="AG7" s="154">
        <v>7</v>
      </c>
      <c r="AH7" s="153">
        <f>AG7*'FeilLønnskost og Tidsbruk'!$C$15</f>
        <v>29.533873784722221</v>
      </c>
      <c r="AI7" s="156">
        <f t="shared" ref="AI7:AI33" si="5">AE7-AF7-AH7</f>
        <v>15.88612621527778</v>
      </c>
      <c r="AJ7" s="156">
        <f>AI7*AD7</f>
        <v>3033.7746114224419</v>
      </c>
      <c r="AK7" s="156">
        <f>AF7*AD7</f>
        <v>1670.9880993150728</v>
      </c>
      <c r="AL7" s="151"/>
      <c r="AM7" s="156">
        <f>AD7*AE7</f>
        <v>10344.848610273999</v>
      </c>
      <c r="AN7" s="156">
        <f>AM7*0.5</f>
        <v>5172.4243051369995</v>
      </c>
      <c r="AO7" s="156">
        <f>AM7*0.5*0.9</f>
        <v>4655.1818746232993</v>
      </c>
      <c r="AP7" s="151"/>
      <c r="AQ7" s="151"/>
      <c r="AR7" s="151"/>
    </row>
    <row r="8" spans="1:44" ht="16">
      <c r="A8" s="26"/>
      <c r="B8" s="26" t="s">
        <v>200</v>
      </c>
      <c r="C8" s="77" t="s">
        <v>97</v>
      </c>
      <c r="D8" s="75">
        <v>32</v>
      </c>
      <c r="E8" s="78">
        <f t="shared" si="2"/>
        <v>3.7733895921237694E-2</v>
      </c>
      <c r="F8" s="14">
        <v>35.129609201388902</v>
      </c>
      <c r="G8" s="1">
        <f t="shared" si="3"/>
        <v>31.999999999999996</v>
      </c>
      <c r="H8" s="32">
        <f t="shared" si="4"/>
        <v>1124.1474944444446</v>
      </c>
      <c r="J8" s="14"/>
      <c r="K8">
        <v>4</v>
      </c>
      <c r="L8" s="73" t="s">
        <v>97</v>
      </c>
      <c r="M8" s="32">
        <v>1131.3334923664122</v>
      </c>
      <c r="N8" s="75">
        <v>18</v>
      </c>
      <c r="O8" s="17">
        <v>3.7974683544303799E-2</v>
      </c>
      <c r="P8" s="18">
        <v>0</v>
      </c>
      <c r="Q8" s="62">
        <f t="shared" si="0"/>
        <v>0</v>
      </c>
      <c r="R8">
        <f t="shared" si="1"/>
        <v>0</v>
      </c>
      <c r="T8" s="28">
        <v>3</v>
      </c>
      <c r="U8" s="77" t="s">
        <v>96</v>
      </c>
      <c r="V8" s="128"/>
      <c r="X8" s="139"/>
      <c r="Y8" s="151"/>
      <c r="Z8" s="151"/>
      <c r="AA8" s="151">
        <v>3</v>
      </c>
      <c r="AB8" s="151" t="s">
        <v>96</v>
      </c>
      <c r="AC8" s="154">
        <v>73.494018264840193</v>
      </c>
      <c r="AD8" s="154">
        <f>AC8*$AE$2</f>
        <v>77.168719178082199</v>
      </c>
      <c r="AE8" s="155">
        <v>65.83</v>
      </c>
      <c r="AF8" s="156">
        <v>2.78</v>
      </c>
      <c r="AG8" s="154">
        <v>5</v>
      </c>
      <c r="AH8" s="153">
        <f>AG8*'FeilLønnskost og Tidsbruk'!$C$15</f>
        <v>21.095624131944444</v>
      </c>
      <c r="AI8" s="156">
        <f t="shared" si="5"/>
        <v>41.95437586805555</v>
      </c>
      <c r="AJ8" s="156">
        <f>AI8*AD8</f>
        <v>3237.5654496536872</v>
      </c>
      <c r="AK8" s="156">
        <f>AF8*AD8</f>
        <v>214.5290393150685</v>
      </c>
      <c r="AL8" s="151"/>
      <c r="AM8" s="156">
        <f>AD8*AE8</f>
        <v>5080.0167834931508</v>
      </c>
      <c r="AN8" s="156">
        <f>AM8*0.5</f>
        <v>2540.0083917465754</v>
      </c>
      <c r="AO8" s="156">
        <f>AM8*0.5*0.9</f>
        <v>2286.007552571918</v>
      </c>
      <c r="AP8" s="151"/>
      <c r="AQ8" s="151"/>
      <c r="AR8" s="151"/>
    </row>
    <row r="9" spans="1:44" ht="16">
      <c r="A9" s="26"/>
      <c r="B9" s="26" t="s">
        <v>201</v>
      </c>
      <c r="C9" s="77" t="s">
        <v>98</v>
      </c>
      <c r="D9" s="75">
        <v>18</v>
      </c>
      <c r="E9" s="78">
        <f t="shared" si="2"/>
        <v>2.1225316455696204E-2</v>
      </c>
      <c r="F9" s="14">
        <v>16.552609201388901</v>
      </c>
      <c r="G9" s="1">
        <f t="shared" si="3"/>
        <v>18</v>
      </c>
      <c r="H9" s="32">
        <f t="shared" si="4"/>
        <v>297.94696562500019</v>
      </c>
      <c r="J9" s="14"/>
      <c r="K9">
        <v>5</v>
      </c>
      <c r="L9" s="73" t="s">
        <v>98</v>
      </c>
      <c r="M9" s="32">
        <v>296.09971374045796</v>
      </c>
      <c r="N9" s="75">
        <v>7</v>
      </c>
      <c r="O9" s="17">
        <v>2.1097046413502109E-2</v>
      </c>
      <c r="P9" s="18">
        <v>0</v>
      </c>
      <c r="Q9" s="62">
        <f t="shared" si="0"/>
        <v>0</v>
      </c>
      <c r="R9">
        <f t="shared" si="1"/>
        <v>0</v>
      </c>
      <c r="T9" s="28"/>
      <c r="U9" s="77"/>
      <c r="V9" s="128"/>
      <c r="X9" s="139"/>
      <c r="Y9" s="151"/>
      <c r="Z9" s="151"/>
      <c r="AA9" s="151"/>
      <c r="AB9" s="151" t="s">
        <v>44</v>
      </c>
      <c r="AC9" s="154">
        <f>SUM(AC6:AC8)</f>
        <v>847.21000000000015</v>
      </c>
      <c r="AD9" s="154">
        <f>AC9*$AE$2</f>
        <v>889.57050000000015</v>
      </c>
      <c r="AE9" s="151"/>
      <c r="AF9" s="156"/>
      <c r="AG9" s="154"/>
      <c r="AH9" s="153"/>
      <c r="AI9" s="156"/>
      <c r="AJ9" s="156"/>
      <c r="AK9" s="156"/>
      <c r="AL9" s="151"/>
      <c r="AM9" s="156"/>
      <c r="AN9" s="156"/>
      <c r="AO9" s="156"/>
      <c r="AP9" s="151"/>
      <c r="AQ9" s="151"/>
      <c r="AR9" s="151"/>
    </row>
    <row r="10" spans="1:44" ht="16">
      <c r="A10" s="26"/>
      <c r="B10" s="26" t="s">
        <v>202</v>
      </c>
      <c r="C10" s="77" t="s">
        <v>99</v>
      </c>
      <c r="D10" s="75">
        <v>7</v>
      </c>
      <c r="E10" s="78">
        <f t="shared" si="2"/>
        <v>8.2542897327707466E-3</v>
      </c>
      <c r="F10" s="14">
        <v>-2.3196645833333207</v>
      </c>
      <c r="G10" s="1">
        <f t="shared" si="3"/>
        <v>7.0000000000000009</v>
      </c>
      <c r="H10" s="32">
        <f t="shared" si="4"/>
        <v>-16.237652083333248</v>
      </c>
      <c r="J10" s="14"/>
      <c r="K10">
        <v>6</v>
      </c>
      <c r="L10" s="73" t="s">
        <v>100</v>
      </c>
      <c r="M10" s="32">
        <v>157.1564885496183</v>
      </c>
      <c r="N10" s="75">
        <v>7</v>
      </c>
      <c r="O10" s="17">
        <v>8.4388185654008432E-3</v>
      </c>
      <c r="P10" s="18">
        <v>0</v>
      </c>
      <c r="Q10" s="62">
        <f t="shared" si="0"/>
        <v>0</v>
      </c>
      <c r="R10">
        <f t="shared" si="1"/>
        <v>0</v>
      </c>
      <c r="T10" s="28"/>
      <c r="U10" s="26"/>
      <c r="V10" s="128"/>
      <c r="X10" s="139"/>
      <c r="Y10" s="151"/>
      <c r="Z10" s="151"/>
      <c r="AA10" s="151"/>
      <c r="AB10" s="151"/>
      <c r="AC10" s="151"/>
      <c r="AD10" s="154"/>
      <c r="AE10" s="151"/>
      <c r="AF10" s="156"/>
      <c r="AG10" s="154"/>
      <c r="AH10" s="153"/>
      <c r="AI10" s="156"/>
      <c r="AJ10" s="156"/>
      <c r="AK10" s="156"/>
      <c r="AL10" s="151"/>
      <c r="AM10" s="156"/>
      <c r="AN10" s="156"/>
      <c r="AO10" s="156"/>
      <c r="AP10" s="151"/>
      <c r="AQ10" s="151"/>
      <c r="AR10" s="151"/>
    </row>
    <row r="11" spans="1:44" ht="16">
      <c r="A11" s="26"/>
      <c r="B11" s="26" t="s">
        <v>328</v>
      </c>
      <c r="C11" s="77" t="s">
        <v>100</v>
      </c>
      <c r="D11" s="75">
        <v>7</v>
      </c>
      <c r="E11" s="78">
        <f t="shared" si="2"/>
        <v>8.2542897327707466E-3</v>
      </c>
      <c r="F11" s="14">
        <v>21.95769288194445</v>
      </c>
      <c r="G11" s="1">
        <f t="shared" si="3"/>
        <v>7.0000000000000009</v>
      </c>
      <c r="H11" s="32">
        <f t="shared" si="4"/>
        <v>153.70385017361116</v>
      </c>
      <c r="J11" s="14"/>
      <c r="K11">
        <v>7</v>
      </c>
      <c r="L11" s="73" t="s">
        <v>99</v>
      </c>
      <c r="M11" s="32">
        <v>-16.6030534351145</v>
      </c>
      <c r="N11" s="75">
        <v>168</v>
      </c>
      <c r="O11" s="17">
        <v>8.4388185654008432E-3</v>
      </c>
      <c r="P11" s="18">
        <v>0</v>
      </c>
      <c r="Q11" s="62">
        <f t="shared" si="0"/>
        <v>0</v>
      </c>
      <c r="R11">
        <f t="shared" si="1"/>
        <v>0</v>
      </c>
      <c r="T11" s="28"/>
      <c r="U11" s="77" t="s">
        <v>331</v>
      </c>
      <c r="V11" s="128"/>
      <c r="X11" s="139"/>
      <c r="Y11" s="151"/>
      <c r="Z11" s="151"/>
      <c r="AA11" s="151"/>
      <c r="AB11" s="151" t="s">
        <v>331</v>
      </c>
      <c r="AC11" s="151"/>
      <c r="AD11" s="154"/>
      <c r="AE11" s="151"/>
      <c r="AF11" s="156"/>
      <c r="AG11" s="154"/>
      <c r="AH11" s="153"/>
      <c r="AI11" s="156"/>
      <c r="AJ11" s="156"/>
      <c r="AK11" s="156"/>
      <c r="AL11" s="151"/>
      <c r="AM11" s="156"/>
      <c r="AN11" s="156"/>
      <c r="AO11" s="156"/>
      <c r="AP11" s="151"/>
      <c r="AQ11" s="151"/>
      <c r="AR11" s="151"/>
    </row>
    <row r="12" spans="1:44">
      <c r="A12" s="26"/>
      <c r="B12" s="26" t="s">
        <v>329</v>
      </c>
      <c r="C12" s="77" t="s">
        <v>101</v>
      </c>
      <c r="D12" s="75">
        <v>168</v>
      </c>
      <c r="E12" s="78">
        <f t="shared" si="2"/>
        <v>0.1981029535864979</v>
      </c>
      <c r="F12" s="14">
        <v>21.817832881944451</v>
      </c>
      <c r="G12" s="1">
        <f t="shared" si="3"/>
        <v>168</v>
      </c>
      <c r="H12" s="32">
        <f t="shared" si="4"/>
        <v>3665.3959241666676</v>
      </c>
      <c r="J12" s="14"/>
      <c r="L12" s="73" t="s">
        <v>344</v>
      </c>
      <c r="N12" s="1">
        <f>SUM(N5:N11)</f>
        <v>847</v>
      </c>
      <c r="O12" s="17">
        <v>1</v>
      </c>
      <c r="P12">
        <f>SUM(P5:P11)</f>
        <v>219</v>
      </c>
      <c r="R12">
        <f>SUM(R5:R11)</f>
        <v>847</v>
      </c>
      <c r="T12" s="28">
        <v>1</v>
      </c>
      <c r="U12" s="26" t="s">
        <v>122</v>
      </c>
      <c r="V12" s="128"/>
      <c r="X12" s="139"/>
      <c r="Y12" s="151"/>
      <c r="Z12" s="151"/>
      <c r="AA12" s="151">
        <v>1</v>
      </c>
      <c r="AB12" s="151" t="s">
        <v>122</v>
      </c>
      <c r="AC12" s="154">
        <v>752.21237425121819</v>
      </c>
      <c r="AD12" s="154">
        <f t="shared" ref="AD12:AD34" si="6">AC12*$AE$2</f>
        <v>789.82299296377914</v>
      </c>
      <c r="AE12" s="155">
        <v>131.66999999999999</v>
      </c>
      <c r="AF12" s="155">
        <v>27.790394999999997</v>
      </c>
      <c r="AG12" s="154">
        <v>6</v>
      </c>
      <c r="AH12" s="153">
        <f>AG12*'FeilLønnskost og Tidsbruk'!$C$15</f>
        <v>25.314748958333332</v>
      </c>
      <c r="AI12" s="156">
        <f t="shared" si="5"/>
        <v>78.564856041666673</v>
      </c>
      <c r="AJ12" s="156">
        <f t="shared" ref="AJ12:AJ33" si="7">AI12*AD12</f>
        <v>62052.329740597619</v>
      </c>
      <c r="AK12" s="156">
        <f t="shared" ref="AK12:AK33" si="8">AF12*AD12</f>
        <v>21949.49295454564</v>
      </c>
      <c r="AL12" s="151"/>
      <c r="AM12" s="156">
        <f t="shared" ref="AM12:AM33" si="9">AD12*AE12</f>
        <v>103995.99348354079</v>
      </c>
      <c r="AN12" s="156">
        <f t="shared" ref="AN12:AN53" si="10">AM12*0.5</f>
        <v>51997.996741770396</v>
      </c>
      <c r="AO12" s="156">
        <f t="shared" ref="AO12:AO53" si="11">AM12*0.5*0.9</f>
        <v>46798.197067593355</v>
      </c>
      <c r="AP12" s="151"/>
      <c r="AQ12" s="151"/>
      <c r="AR12" s="151"/>
    </row>
    <row r="13" spans="1:44">
      <c r="D13" s="26"/>
      <c r="E13" s="49"/>
      <c r="J13" s="14"/>
      <c r="T13" s="28">
        <v>2</v>
      </c>
      <c r="U13" s="26" t="s">
        <v>111</v>
      </c>
      <c r="V13" s="128"/>
      <c r="X13" s="139"/>
      <c r="Y13" s="151"/>
      <c r="Z13" s="151"/>
      <c r="AA13" s="151">
        <v>2</v>
      </c>
      <c r="AB13" s="151" t="s">
        <v>111</v>
      </c>
      <c r="AC13" s="154">
        <v>439.97327550542957</v>
      </c>
      <c r="AD13" s="154">
        <f t="shared" si="6"/>
        <v>461.97193928070106</v>
      </c>
      <c r="AE13" s="155">
        <v>145.83000000000001</v>
      </c>
      <c r="AF13" s="156">
        <v>22.86</v>
      </c>
      <c r="AG13" s="154">
        <v>6</v>
      </c>
      <c r="AH13" s="153">
        <f>AG13*'FeilLønnskost og Tidsbruk'!$C$15</f>
        <v>25.314748958333332</v>
      </c>
      <c r="AI13" s="156">
        <f t="shared" si="5"/>
        <v>97.655251041666673</v>
      </c>
      <c r="AJ13" s="156">
        <f t="shared" si="7"/>
        <v>45113.985704662453</v>
      </c>
      <c r="AK13" s="156">
        <f t="shared" si="8"/>
        <v>10560.678531956826</v>
      </c>
      <c r="AL13" s="151"/>
      <c r="AM13" s="156">
        <f t="shared" si="9"/>
        <v>67369.367905304636</v>
      </c>
      <c r="AN13" s="156">
        <f t="shared" si="10"/>
        <v>33684.683952652318</v>
      </c>
      <c r="AO13" s="156">
        <f t="shared" si="11"/>
        <v>30316.215557387088</v>
      </c>
      <c r="AP13" s="151"/>
      <c r="AQ13" s="151"/>
      <c r="AR13" s="151"/>
    </row>
    <row r="14" spans="1:44">
      <c r="E14" s="49"/>
      <c r="G14" t="s">
        <v>333</v>
      </c>
      <c r="H14">
        <v>5260.0190839694651</v>
      </c>
      <c r="T14" s="28">
        <v>3</v>
      </c>
      <c r="U14" s="26" t="s">
        <v>20</v>
      </c>
      <c r="V14" s="128"/>
      <c r="X14" s="139"/>
      <c r="Y14" s="151"/>
      <c r="Z14" s="151"/>
      <c r="AA14" s="151">
        <v>3</v>
      </c>
      <c r="AB14" s="151" t="s">
        <v>20</v>
      </c>
      <c r="AC14" s="154">
        <v>274.39193526145073</v>
      </c>
      <c r="AD14" s="154">
        <f t="shared" si="6"/>
        <v>288.11153202452329</v>
      </c>
      <c r="AE14" s="155">
        <v>183.33</v>
      </c>
      <c r="AF14" s="156">
        <v>23.674492999999998</v>
      </c>
      <c r="AG14" s="154">
        <v>12</v>
      </c>
      <c r="AH14" s="153">
        <f>AG14*'FeilLønnskost og Tidsbruk'!$C$15</f>
        <v>50.629497916666665</v>
      </c>
      <c r="AI14" s="156">
        <f t="shared" si="5"/>
        <v>109.02600908333334</v>
      </c>
      <c r="AJ14" s="156">
        <f t="shared" si="7"/>
        <v>31411.65050751876</v>
      </c>
      <c r="AK14" s="156">
        <f t="shared" si="8"/>
        <v>6820.8944481338522</v>
      </c>
      <c r="AL14" s="151"/>
      <c r="AM14" s="156">
        <f t="shared" si="9"/>
        <v>52819.487166055857</v>
      </c>
      <c r="AN14" s="156">
        <f t="shared" si="10"/>
        <v>26409.743583027928</v>
      </c>
      <c r="AO14" s="156">
        <f t="shared" si="11"/>
        <v>23768.769224725136</v>
      </c>
      <c r="AP14" s="151"/>
      <c r="AQ14" s="151"/>
      <c r="AR14" s="151"/>
    </row>
    <row r="15" spans="1:44">
      <c r="B15" t="s">
        <v>162</v>
      </c>
      <c r="E15" s="49" t="s">
        <v>340</v>
      </c>
      <c r="F15" t="s">
        <v>319</v>
      </c>
      <c r="G15" t="s">
        <v>320</v>
      </c>
      <c r="H15" t="s">
        <v>341</v>
      </c>
      <c r="J15" s="14"/>
      <c r="M15" t="s">
        <v>341</v>
      </c>
      <c r="N15" t="s">
        <v>342</v>
      </c>
      <c r="P15" t="s">
        <v>343</v>
      </c>
      <c r="R15" t="s">
        <v>421</v>
      </c>
      <c r="T15" s="28">
        <v>4</v>
      </c>
      <c r="U15" s="26" t="s">
        <v>114</v>
      </c>
      <c r="V15" s="128"/>
      <c r="X15" s="139"/>
      <c r="Y15" s="151"/>
      <c r="Z15" s="151"/>
      <c r="AA15" s="151">
        <v>4</v>
      </c>
      <c r="AB15" s="151" t="s">
        <v>114</v>
      </c>
      <c r="AC15" s="154">
        <v>458.89685724759858</v>
      </c>
      <c r="AD15" s="154">
        <f t="shared" si="6"/>
        <v>481.84170010997855</v>
      </c>
      <c r="AE15" s="155">
        <v>131.66999999999999</v>
      </c>
      <c r="AF15" s="155">
        <v>16.91</v>
      </c>
      <c r="AG15" s="154">
        <v>12</v>
      </c>
      <c r="AH15" s="153">
        <f>AG15*'FeilLønnskost og Tidsbruk'!$C$15</f>
        <v>50.629497916666665</v>
      </c>
      <c r="AI15" s="156">
        <f t="shared" si="5"/>
        <v>64.130502083333326</v>
      </c>
      <c r="AJ15" s="156">
        <f t="shared" si="7"/>
        <v>30900.750152739853</v>
      </c>
      <c r="AK15" s="156">
        <f t="shared" si="8"/>
        <v>8147.9431488597374</v>
      </c>
      <c r="AL15" s="151"/>
      <c r="AM15" s="156">
        <f t="shared" si="9"/>
        <v>63444.096653480869</v>
      </c>
      <c r="AN15" s="156">
        <f t="shared" si="10"/>
        <v>31722.048326740434</v>
      </c>
      <c r="AO15" s="156">
        <f t="shared" si="11"/>
        <v>28549.84349406639</v>
      </c>
      <c r="AP15" s="151"/>
      <c r="AQ15" s="151"/>
      <c r="AR15" s="151"/>
    </row>
    <row r="16" spans="1:44">
      <c r="B16" t="s">
        <v>152</v>
      </c>
      <c r="C16" t="s">
        <v>122</v>
      </c>
      <c r="D16">
        <v>159</v>
      </c>
      <c r="E16" s="49">
        <v>0.10816326530612246</v>
      </c>
      <c r="F16" s="14">
        <v>78.170467708333348</v>
      </c>
      <c r="G16" s="1">
        <f t="shared" ref="G16:G62" si="12">$H$14*E16</f>
        <v>568.94083969465646</v>
      </c>
      <c r="H16" s="14">
        <f>G16*F16</f>
        <v>44474.371537303203</v>
      </c>
      <c r="J16" s="14"/>
      <c r="K16">
        <v>1</v>
      </c>
      <c r="L16" t="s">
        <v>122</v>
      </c>
      <c r="M16" s="15">
        <v>44474.371537303203</v>
      </c>
      <c r="N16" s="1">
        <v>568.94083969465646</v>
      </c>
      <c r="O16" s="17">
        <f>N16/$N$63</f>
        <v>0.10816664030152057</v>
      </c>
      <c r="P16" s="1">
        <v>568.94083969465646</v>
      </c>
      <c r="Q16" s="17">
        <f>P16/$P$63</f>
        <v>0.14301009813191035</v>
      </c>
      <c r="R16" s="1">
        <f>Q16*$N$63</f>
        <v>752.21237425121819</v>
      </c>
      <c r="T16" s="28">
        <v>5</v>
      </c>
      <c r="U16" s="26" t="s">
        <v>133</v>
      </c>
      <c r="V16" s="128"/>
      <c r="X16" s="139"/>
      <c r="Y16" s="151"/>
      <c r="Z16" s="151"/>
      <c r="AA16" s="151">
        <v>5</v>
      </c>
      <c r="AB16" s="151" t="s">
        <v>133</v>
      </c>
      <c r="AC16" s="154">
        <v>217.62119003494362</v>
      </c>
      <c r="AD16" s="154">
        <f t="shared" si="6"/>
        <v>228.50224953669081</v>
      </c>
      <c r="AE16" s="155">
        <v>249.17</v>
      </c>
      <c r="AF16" s="155">
        <v>51.87</v>
      </c>
      <c r="AG16" s="154">
        <v>17</v>
      </c>
      <c r="AH16" s="153">
        <f>AG16*'FeilLønnskost og Tidsbruk'!$C$15</f>
        <v>71.725122048611112</v>
      </c>
      <c r="AI16" s="156">
        <f t="shared" si="5"/>
        <v>125.57487795138887</v>
      </c>
      <c r="AJ16" s="156">
        <f t="shared" si="7"/>
        <v>28694.142097187752</v>
      </c>
      <c r="AK16" s="156">
        <f t="shared" si="8"/>
        <v>11852.411683468152</v>
      </c>
      <c r="AL16" s="151"/>
      <c r="AM16" s="156">
        <f t="shared" si="9"/>
        <v>56935.905517057246</v>
      </c>
      <c r="AN16" s="156">
        <f t="shared" si="10"/>
        <v>28467.952758528623</v>
      </c>
      <c r="AO16" s="156">
        <f t="shared" si="11"/>
        <v>25621.157482675761</v>
      </c>
      <c r="AP16" s="151"/>
      <c r="AQ16" s="151"/>
      <c r="AR16" s="151"/>
    </row>
    <row r="17" spans="2:44">
      <c r="B17" t="s">
        <v>156</v>
      </c>
      <c r="C17" t="s">
        <v>114</v>
      </c>
      <c r="D17">
        <v>97</v>
      </c>
      <c r="E17" s="49">
        <v>6.5986394557823125E-2</v>
      </c>
      <c r="F17" s="14">
        <v>63.836168750000027</v>
      </c>
      <c r="G17" s="1">
        <f t="shared" si="12"/>
        <v>347.08969465648852</v>
      </c>
      <c r="H17" s="14">
        <f t="shared" ref="H17:H62" si="13">G17*F17</f>
        <v>22156.876319477582</v>
      </c>
      <c r="J17" s="14"/>
      <c r="K17">
        <v>2</v>
      </c>
      <c r="L17" t="s">
        <v>111</v>
      </c>
      <c r="M17" s="15">
        <v>32400.766627653862</v>
      </c>
      <c r="N17" s="1">
        <v>332.77671755725191</v>
      </c>
      <c r="O17" s="17">
        <f t="shared" ref="O17:O62" si="14">N17/$N$63</f>
        <v>6.3267280176361088E-2</v>
      </c>
      <c r="P17" s="1">
        <v>332.77671755725191</v>
      </c>
      <c r="Q17" s="17">
        <f t="shared" ref="Q17:Q62" si="15">P17/$P$63</f>
        <v>8.3647415888475865E-2</v>
      </c>
      <c r="R17" s="1">
        <f t="shared" ref="R17:R62" si="16">Q17*$N$63</f>
        <v>439.97327550542957</v>
      </c>
      <c r="T17" s="28">
        <v>6</v>
      </c>
      <c r="U17" s="26" t="s">
        <v>112</v>
      </c>
      <c r="V17" s="128"/>
      <c r="X17" s="139"/>
      <c r="Y17" s="151"/>
      <c r="Z17" s="151"/>
      <c r="AA17" s="151">
        <v>6</v>
      </c>
      <c r="AB17" s="151" t="s">
        <v>112</v>
      </c>
      <c r="AC17" s="154">
        <v>293.31551700361973</v>
      </c>
      <c r="AD17" s="154">
        <f t="shared" si="6"/>
        <v>307.98129285380071</v>
      </c>
      <c r="AE17" s="155">
        <v>131.66999999999999</v>
      </c>
      <c r="AF17" s="156">
        <v>22.863199999999999</v>
      </c>
      <c r="AG17" s="154">
        <v>6</v>
      </c>
      <c r="AH17" s="153">
        <f>AG17*'FeilLønnskost og Tidsbruk'!$C$15</f>
        <v>25.314748958333332</v>
      </c>
      <c r="AI17" s="156">
        <f t="shared" si="5"/>
        <v>83.492051041666656</v>
      </c>
      <c r="AJ17" s="156">
        <f t="shared" si="7"/>
        <v>25713.989822828014</v>
      </c>
      <c r="AK17" s="156">
        <f t="shared" si="8"/>
        <v>7041.4378947750165</v>
      </c>
      <c r="AL17" s="151"/>
      <c r="AM17" s="156">
        <f t="shared" si="9"/>
        <v>40551.896830059937</v>
      </c>
      <c r="AN17" s="156">
        <f t="shared" si="10"/>
        <v>20275.948415029969</v>
      </c>
      <c r="AO17" s="156">
        <f t="shared" si="11"/>
        <v>18248.353573526972</v>
      </c>
      <c r="AP17" s="151"/>
      <c r="AQ17" s="151"/>
      <c r="AR17" s="151"/>
    </row>
    <row r="18" spans="2:44">
      <c r="B18" t="s">
        <v>155</v>
      </c>
      <c r="C18" t="s">
        <v>111</v>
      </c>
      <c r="D18">
        <v>93</v>
      </c>
      <c r="E18" s="49">
        <v>6.3265306122448975E-2</v>
      </c>
      <c r="F18" s="14">
        <v>97.364884375000003</v>
      </c>
      <c r="G18" s="1">
        <f t="shared" si="12"/>
        <v>332.77671755725186</v>
      </c>
      <c r="H18" s="14">
        <f t="shared" si="13"/>
        <v>32400.766627653862</v>
      </c>
      <c r="K18">
        <v>3</v>
      </c>
      <c r="L18" t="s">
        <v>20</v>
      </c>
      <c r="M18" s="15">
        <v>22564.023929508585</v>
      </c>
      <c r="N18" s="1">
        <v>207.53816793893131</v>
      </c>
      <c r="O18" s="17">
        <f t="shared" si="14"/>
        <v>3.9457013443321969E-2</v>
      </c>
      <c r="P18" s="1">
        <v>207.53816793893131</v>
      </c>
      <c r="Q18" s="17">
        <f t="shared" si="15"/>
        <v>5.2167205607866675E-2</v>
      </c>
      <c r="R18" s="1">
        <f t="shared" si="16"/>
        <v>274.39193526145073</v>
      </c>
      <c r="T18" s="28">
        <v>7</v>
      </c>
      <c r="U18" s="26" t="s">
        <v>125</v>
      </c>
      <c r="V18" s="128"/>
      <c r="X18" s="139"/>
      <c r="Y18" s="151"/>
      <c r="Z18" s="151"/>
      <c r="AA18" s="151">
        <v>7</v>
      </c>
      <c r="AB18" s="151" t="s">
        <v>125</v>
      </c>
      <c r="AC18" s="154">
        <v>335.89357592350001</v>
      </c>
      <c r="AD18" s="154">
        <f t="shared" si="6"/>
        <v>352.688254719675</v>
      </c>
      <c r="AE18" s="155">
        <v>131.66999999999999</v>
      </c>
      <c r="AF18" s="156">
        <v>11.0787</v>
      </c>
      <c r="AG18" s="154">
        <v>12</v>
      </c>
      <c r="AH18" s="153">
        <f>AG18*'FeilLønnskost og Tidsbruk'!$C$15</f>
        <v>50.629497916666665</v>
      </c>
      <c r="AI18" s="156">
        <f t="shared" si="5"/>
        <v>69.961802083333325</v>
      </c>
      <c r="AJ18" s="156">
        <f t="shared" si="7"/>
        <v>24674.705873814153</v>
      </c>
      <c r="AK18" s="156">
        <f t="shared" si="8"/>
        <v>3907.3273675628634</v>
      </c>
      <c r="AL18" s="151"/>
      <c r="AM18" s="156">
        <f t="shared" si="9"/>
        <v>46438.462498939603</v>
      </c>
      <c r="AN18" s="156">
        <f t="shared" si="10"/>
        <v>23219.231249469802</v>
      </c>
      <c r="AO18" s="156">
        <f t="shared" si="11"/>
        <v>20897.30812452282</v>
      </c>
      <c r="AP18" s="151"/>
      <c r="AQ18" s="151"/>
      <c r="AR18" s="151"/>
    </row>
    <row r="19" spans="2:44">
      <c r="B19" t="s">
        <v>154</v>
      </c>
      <c r="C19" t="s">
        <v>163</v>
      </c>
      <c r="D19">
        <v>89</v>
      </c>
      <c r="E19" s="49">
        <v>6.0544217687074832E-2</v>
      </c>
      <c r="F19" s="14">
        <v>52.978218750000025</v>
      </c>
      <c r="G19" s="1">
        <f t="shared" si="12"/>
        <v>318.46374045801525</v>
      </c>
      <c r="H19" s="14">
        <f t="shared" si="13"/>
        <v>16871.641705927967</v>
      </c>
      <c r="J19" s="14"/>
      <c r="K19">
        <v>4</v>
      </c>
      <c r="L19" t="s">
        <v>114</v>
      </c>
      <c r="M19" s="15">
        <v>22156.876319477582</v>
      </c>
      <c r="N19" s="1">
        <v>347.08969465648858</v>
      </c>
      <c r="O19" s="17">
        <f t="shared" si="14"/>
        <v>6.5988453517279846E-2</v>
      </c>
      <c r="P19" s="1">
        <v>347.08969465648858</v>
      </c>
      <c r="Q19" s="17">
        <f t="shared" si="15"/>
        <v>8.7245154206259778E-2</v>
      </c>
      <c r="R19" s="1">
        <f t="shared" si="16"/>
        <v>458.89685724759858</v>
      </c>
      <c r="T19" s="28">
        <v>8</v>
      </c>
      <c r="U19" s="26" t="s">
        <v>121</v>
      </c>
      <c r="V19" s="128"/>
      <c r="X19" s="139"/>
      <c r="Y19" s="151"/>
      <c r="Z19" s="151"/>
      <c r="AA19" s="151">
        <v>8</v>
      </c>
      <c r="AB19" s="151" t="s">
        <v>121</v>
      </c>
      <c r="AC19" s="154">
        <v>250.73745808373943</v>
      </c>
      <c r="AD19" s="154">
        <f t="shared" si="6"/>
        <v>263.27433098792642</v>
      </c>
      <c r="AE19" s="155">
        <v>145.83000000000001</v>
      </c>
      <c r="AF19" s="156">
        <v>27.790394999999997</v>
      </c>
      <c r="AG19" s="154">
        <v>6</v>
      </c>
      <c r="AH19" s="153">
        <f>AG19*'FeilLønnskost og Tidsbruk'!$C$15</f>
        <v>25.314748958333332</v>
      </c>
      <c r="AI19" s="156">
        <f t="shared" si="5"/>
        <v>92.724856041666698</v>
      </c>
      <c r="AJ19" s="156">
        <f t="shared" si="7"/>
        <v>24412.074440321587</v>
      </c>
      <c r="AK19" s="156">
        <f t="shared" si="8"/>
        <v>7316.4976515152148</v>
      </c>
      <c r="AL19" s="151"/>
      <c r="AM19" s="156">
        <f t="shared" si="9"/>
        <v>38393.295687969316</v>
      </c>
      <c r="AN19" s="156">
        <f t="shared" si="10"/>
        <v>19196.647843984658</v>
      </c>
      <c r="AO19" s="156">
        <f t="shared" si="11"/>
        <v>17276.983059586193</v>
      </c>
      <c r="AP19" s="151"/>
      <c r="AQ19" s="151"/>
      <c r="AR19" s="151"/>
    </row>
    <row r="20" spans="2:44">
      <c r="B20" t="s">
        <v>157</v>
      </c>
      <c r="C20" t="s">
        <v>125</v>
      </c>
      <c r="D20">
        <v>71</v>
      </c>
      <c r="E20" s="49">
        <v>4.8299319727891157E-2</v>
      </c>
      <c r="F20" s="14">
        <v>69.958468750000023</v>
      </c>
      <c r="G20" s="1">
        <f t="shared" si="12"/>
        <v>254.05534351145036</v>
      </c>
      <c r="H20" s="14">
        <f t="shared" si="13"/>
        <v>17773.32280981632</v>
      </c>
      <c r="J20" s="14"/>
      <c r="K20">
        <v>5</v>
      </c>
      <c r="L20" t="s">
        <v>133</v>
      </c>
      <c r="M20" s="15">
        <v>20515.656199059718</v>
      </c>
      <c r="N20" s="1">
        <v>164.59923664122135</v>
      </c>
      <c r="O20" s="17">
        <f t="shared" si="14"/>
        <v>3.1293493420565699E-2</v>
      </c>
      <c r="P20" s="1">
        <v>164.59923664122135</v>
      </c>
      <c r="Q20" s="17">
        <f t="shared" si="15"/>
        <v>4.1373990654514942E-2</v>
      </c>
      <c r="R20" s="1">
        <f t="shared" si="16"/>
        <v>217.62119003494362</v>
      </c>
      <c r="T20" s="28">
        <v>9</v>
      </c>
      <c r="U20" s="26" t="s">
        <v>163</v>
      </c>
      <c r="V20" s="128"/>
      <c r="X20" s="139"/>
      <c r="Y20" s="151"/>
      <c r="Z20" s="151"/>
      <c r="AA20" s="151">
        <v>9</v>
      </c>
      <c r="AB20" s="151" t="s">
        <v>163</v>
      </c>
      <c r="AC20" s="154">
        <v>421.04969376326051</v>
      </c>
      <c r="AD20" s="154">
        <f t="shared" si="6"/>
        <v>442.10217845142353</v>
      </c>
      <c r="AE20" s="155">
        <v>131.66999999999999</v>
      </c>
      <c r="AF20" s="156">
        <v>27.667894999999998</v>
      </c>
      <c r="AG20" s="154">
        <v>12</v>
      </c>
      <c r="AH20" s="153">
        <f>AG20*'FeilLønnskost og Tidsbruk'!$C$15</f>
        <v>50.629497916666665</v>
      </c>
      <c r="AI20" s="156">
        <f t="shared" si="5"/>
        <v>53.372607083333321</v>
      </c>
      <c r="AJ20" s="156">
        <f t="shared" si="7"/>
        <v>23596.14586117354</v>
      </c>
      <c r="AK20" s="156">
        <f t="shared" si="8"/>
        <v>12232.036652665247</v>
      </c>
      <c r="AL20" s="151"/>
      <c r="AM20" s="156">
        <f t="shared" si="9"/>
        <v>58211.593836698928</v>
      </c>
      <c r="AN20" s="156">
        <f t="shared" si="10"/>
        <v>29105.796918349464</v>
      </c>
      <c r="AO20" s="156">
        <f t="shared" si="11"/>
        <v>26195.21722651452</v>
      </c>
      <c r="AP20" s="151"/>
      <c r="AQ20" s="151"/>
      <c r="AR20" s="151"/>
    </row>
    <row r="21" spans="2:44">
      <c r="B21" t="s">
        <v>153</v>
      </c>
      <c r="C21" t="s">
        <v>112</v>
      </c>
      <c r="D21">
        <v>62</v>
      </c>
      <c r="E21" s="49">
        <v>4.2176870748299317E-2</v>
      </c>
      <c r="F21" s="14">
        <v>83.198217708333345</v>
      </c>
      <c r="G21" s="1">
        <f t="shared" si="12"/>
        <v>221.85114503816789</v>
      </c>
      <c r="H21" s="14">
        <f t="shared" si="13"/>
        <v>18457.619863728527</v>
      </c>
      <c r="J21" s="14"/>
      <c r="K21">
        <v>6</v>
      </c>
      <c r="L21" t="s">
        <v>112</v>
      </c>
      <c r="M21" s="15">
        <v>18457.619863728527</v>
      </c>
      <c r="N21" s="1">
        <v>221.85114503816794</v>
      </c>
      <c r="O21" s="17">
        <f t="shared" si="14"/>
        <v>4.2178186784240727E-2</v>
      </c>
      <c r="P21" s="1">
        <v>221.85114503816794</v>
      </c>
      <c r="Q21" s="17">
        <f t="shared" si="15"/>
        <v>5.5764943925650581E-2</v>
      </c>
      <c r="R21" s="1">
        <f t="shared" si="16"/>
        <v>293.31551700361973</v>
      </c>
      <c r="T21" s="28">
        <v>10</v>
      </c>
      <c r="U21" s="26" t="s">
        <v>118</v>
      </c>
      <c r="V21" s="128"/>
      <c r="X21" s="139"/>
      <c r="Y21" s="151"/>
      <c r="Z21" s="151"/>
      <c r="AA21" s="151">
        <v>10</v>
      </c>
      <c r="AB21" s="151" t="s">
        <v>118</v>
      </c>
      <c r="AC21" s="154">
        <v>231.81387634157042</v>
      </c>
      <c r="AD21" s="154">
        <f t="shared" si="6"/>
        <v>243.40457015864897</v>
      </c>
      <c r="AE21" s="155">
        <v>140</v>
      </c>
      <c r="AF21" s="156">
        <v>27.790394999999997</v>
      </c>
      <c r="AG21" s="154">
        <v>6</v>
      </c>
      <c r="AH21" s="153">
        <f>AG21*'FeilLønnskost og Tidsbruk'!$C$15</f>
        <v>25.314748958333332</v>
      </c>
      <c r="AI21" s="156">
        <f t="shared" si="5"/>
        <v>86.894856041666685</v>
      </c>
      <c r="AJ21" s="156">
        <f t="shared" si="7"/>
        <v>21150.605083819559</v>
      </c>
      <c r="AK21" s="156">
        <f t="shared" si="8"/>
        <v>6764.309149514067</v>
      </c>
      <c r="AL21" s="151"/>
      <c r="AM21" s="156">
        <f t="shared" si="9"/>
        <v>34076.639822210855</v>
      </c>
      <c r="AN21" s="156">
        <f t="shared" si="10"/>
        <v>17038.319911105427</v>
      </c>
      <c r="AO21" s="156">
        <f t="shared" si="11"/>
        <v>15334.487919994885</v>
      </c>
      <c r="AP21" s="151"/>
      <c r="AQ21" s="151"/>
      <c r="AR21" s="151"/>
    </row>
    <row r="22" spans="2:44">
      <c r="B22" t="s">
        <v>158</v>
      </c>
      <c r="C22" t="s">
        <v>20</v>
      </c>
      <c r="D22">
        <v>58</v>
      </c>
      <c r="E22" s="49">
        <v>3.9455782312925167E-2</v>
      </c>
      <c r="F22" s="14">
        <v>108.72228541666668</v>
      </c>
      <c r="G22" s="1">
        <f t="shared" si="12"/>
        <v>207.53816793893125</v>
      </c>
      <c r="H22" s="14">
        <f t="shared" si="13"/>
        <v>22564.023929508585</v>
      </c>
      <c r="K22">
        <v>7</v>
      </c>
      <c r="L22" t="s">
        <v>125</v>
      </c>
      <c r="M22" s="15">
        <v>17773.32280981632</v>
      </c>
      <c r="N22" s="1">
        <v>254.05534351145039</v>
      </c>
      <c r="O22" s="17">
        <f t="shared" si="14"/>
        <v>4.8300826801307928E-2</v>
      </c>
      <c r="P22" s="1">
        <v>254.05534351145039</v>
      </c>
      <c r="Q22" s="17">
        <f t="shared" si="15"/>
        <v>6.3859855140664376E-2</v>
      </c>
      <c r="R22" s="1">
        <f t="shared" si="16"/>
        <v>335.89357592350001</v>
      </c>
      <c r="T22" s="28">
        <v>11</v>
      </c>
      <c r="U22" s="26" t="s">
        <v>116</v>
      </c>
      <c r="V22" s="128"/>
      <c r="X22" s="139"/>
      <c r="Y22" s="151"/>
      <c r="Z22" s="151"/>
      <c r="AA22" s="151">
        <v>11</v>
      </c>
      <c r="AB22" s="151" t="s">
        <v>116</v>
      </c>
      <c r="AC22" s="154">
        <v>189.23581742169014</v>
      </c>
      <c r="AD22" s="154">
        <f t="shared" si="6"/>
        <v>198.69760829277465</v>
      </c>
      <c r="AE22" s="155">
        <v>191.67</v>
      </c>
      <c r="AF22" s="156">
        <v>27.08033</v>
      </c>
      <c r="AG22" s="154">
        <v>15</v>
      </c>
      <c r="AH22" s="153">
        <f>AG22*'FeilLønnskost og Tidsbruk'!$C$15</f>
        <v>63.286872395833328</v>
      </c>
      <c r="AI22" s="156">
        <f t="shared" si="5"/>
        <v>101.30279760416666</v>
      </c>
      <c r="AJ22" s="156">
        <f t="shared" si="7"/>
        <v>20128.623597314938</v>
      </c>
      <c r="AK22" s="156">
        <f t="shared" si="8"/>
        <v>5380.7968027790739</v>
      </c>
      <c r="AL22" s="151"/>
      <c r="AM22" s="156">
        <f t="shared" si="9"/>
        <v>38084.370581476112</v>
      </c>
      <c r="AN22" s="156">
        <f t="shared" si="10"/>
        <v>19042.185290738056</v>
      </c>
      <c r="AO22" s="156">
        <f t="shared" si="11"/>
        <v>17137.966761664251</v>
      </c>
      <c r="AP22" s="151"/>
      <c r="AQ22" s="151"/>
      <c r="AR22" s="151"/>
    </row>
    <row r="23" spans="2:44">
      <c r="B23" t="s">
        <v>159</v>
      </c>
      <c r="C23" t="s">
        <v>121</v>
      </c>
      <c r="D23">
        <v>53</v>
      </c>
      <c r="E23" s="49">
        <v>3.6054421768707483E-2</v>
      </c>
      <c r="F23" s="14">
        <v>92.337134375000005</v>
      </c>
      <c r="G23" s="1">
        <f t="shared" si="12"/>
        <v>189.64694656488547</v>
      </c>
      <c r="H23" s="14">
        <f t="shared" si="13"/>
        <v>17511.455588770274</v>
      </c>
      <c r="J23" s="14"/>
      <c r="K23">
        <v>8</v>
      </c>
      <c r="L23" t="s">
        <v>121</v>
      </c>
      <c r="M23" s="15">
        <v>17511.455588770274</v>
      </c>
      <c r="N23" s="1">
        <v>189.6469465648855</v>
      </c>
      <c r="O23" s="17">
        <f t="shared" si="14"/>
        <v>3.6055546767173527E-2</v>
      </c>
      <c r="P23" s="1">
        <v>189.6469465648855</v>
      </c>
      <c r="Q23" s="17">
        <f t="shared" si="15"/>
        <v>4.7670032710636787E-2</v>
      </c>
      <c r="R23" s="1">
        <f t="shared" si="16"/>
        <v>250.73745808373943</v>
      </c>
      <c r="T23" s="28">
        <v>12</v>
      </c>
      <c r="U23" s="26" t="s">
        <v>21</v>
      </c>
      <c r="V23" s="128"/>
      <c r="X23" s="139"/>
      <c r="Y23" s="151"/>
      <c r="Z23" s="151"/>
      <c r="AA23" s="151">
        <v>12</v>
      </c>
      <c r="AB23" s="151" t="s">
        <v>21</v>
      </c>
      <c r="AC23" s="154">
        <v>132.4650721951831</v>
      </c>
      <c r="AD23" s="154">
        <f t="shared" si="6"/>
        <v>139.08832580494226</v>
      </c>
      <c r="AE23" s="155">
        <v>249.17</v>
      </c>
      <c r="AF23" s="155">
        <v>50.826599999999999</v>
      </c>
      <c r="AG23" s="154">
        <v>17</v>
      </c>
      <c r="AH23" s="153">
        <f>AG23*'FeilLønnskost og Tidsbruk'!$C$15</f>
        <v>71.725122048611112</v>
      </c>
      <c r="AI23" s="156">
        <f t="shared" si="5"/>
        <v>126.61827795138886</v>
      </c>
      <c r="AJ23" s="156">
        <f t="shared" si="7"/>
        <v>17611.12429656351</v>
      </c>
      <c r="AK23" s="156">
        <f t="shared" si="8"/>
        <v>7069.3867003574778</v>
      </c>
      <c r="AL23" s="151"/>
      <c r="AM23" s="156">
        <f t="shared" si="9"/>
        <v>34656.638140817464</v>
      </c>
      <c r="AN23" s="156">
        <f t="shared" si="10"/>
        <v>17328.319070408732</v>
      </c>
      <c r="AO23" s="156">
        <f t="shared" si="11"/>
        <v>15595.487163367859</v>
      </c>
      <c r="AP23" s="151"/>
      <c r="AQ23" s="151"/>
      <c r="AR23" s="151"/>
    </row>
    <row r="24" spans="2:44">
      <c r="B24" t="s">
        <v>160</v>
      </c>
      <c r="C24" t="s">
        <v>130</v>
      </c>
      <c r="D24">
        <v>52</v>
      </c>
      <c r="E24" s="49">
        <v>3.5374149659863949E-2</v>
      </c>
      <c r="F24" s="14">
        <v>61.327328750000021</v>
      </c>
      <c r="G24" s="1">
        <f t="shared" si="12"/>
        <v>186.06870229007635</v>
      </c>
      <c r="H24" s="14">
        <f t="shared" si="13"/>
        <v>11411.096475429395</v>
      </c>
      <c r="K24">
        <v>9</v>
      </c>
      <c r="L24" t="s">
        <v>163</v>
      </c>
      <c r="M24" s="15">
        <v>16871.641705927967</v>
      </c>
      <c r="N24" s="1">
        <v>318.46374045801525</v>
      </c>
      <c r="O24" s="17">
        <f t="shared" si="14"/>
        <v>6.0546106835442329E-2</v>
      </c>
      <c r="P24" s="1">
        <v>318.46374045801525</v>
      </c>
      <c r="Q24" s="17">
        <f t="shared" si="15"/>
        <v>8.0049677570691952E-2</v>
      </c>
      <c r="R24" s="1">
        <f t="shared" si="16"/>
        <v>421.04969376326051</v>
      </c>
      <c r="T24" s="28">
        <v>13</v>
      </c>
      <c r="U24" s="26" t="s">
        <v>130</v>
      </c>
      <c r="V24" s="128"/>
      <c r="X24" s="139"/>
      <c r="Y24" s="151"/>
      <c r="Z24" s="151"/>
      <c r="AA24" s="151">
        <v>13</v>
      </c>
      <c r="AB24" s="151" t="s">
        <v>130</v>
      </c>
      <c r="AC24" s="154">
        <v>246.00656264819719</v>
      </c>
      <c r="AD24" s="154">
        <f t="shared" si="6"/>
        <v>258.30689078060703</v>
      </c>
      <c r="AE24" s="155">
        <v>131.66999999999999</v>
      </c>
      <c r="AF24" s="156">
        <v>19.70984</v>
      </c>
      <c r="AG24" s="154">
        <v>12</v>
      </c>
      <c r="AH24" s="153">
        <f>AG24*'FeilLønnskost og Tidsbruk'!$C$15</f>
        <v>50.629497916666665</v>
      </c>
      <c r="AI24" s="156">
        <f t="shared" si="5"/>
        <v>61.330662083333323</v>
      </c>
      <c r="AJ24" s="156">
        <f t="shared" si="7"/>
        <v>15842.132632261897</v>
      </c>
      <c r="AK24" s="156">
        <f t="shared" si="8"/>
        <v>5091.18748818324</v>
      </c>
      <c r="AL24" s="151"/>
      <c r="AM24" s="156">
        <f t="shared" si="9"/>
        <v>34011.268309082523</v>
      </c>
      <c r="AN24" s="156">
        <f t="shared" si="10"/>
        <v>17005.634154541262</v>
      </c>
      <c r="AO24" s="156">
        <f t="shared" si="11"/>
        <v>15305.070739087136</v>
      </c>
      <c r="AP24" s="151"/>
      <c r="AQ24" s="151"/>
      <c r="AR24" s="151"/>
    </row>
    <row r="25" spans="2:44">
      <c r="B25" t="s">
        <v>161</v>
      </c>
      <c r="C25" t="s">
        <v>118</v>
      </c>
      <c r="D25">
        <v>49</v>
      </c>
      <c r="E25" s="49">
        <v>3.3333333333333333E-2</v>
      </c>
      <c r="F25" s="14">
        <v>86.5</v>
      </c>
      <c r="G25" s="1">
        <f t="shared" si="12"/>
        <v>175.33396946564883</v>
      </c>
      <c r="H25" s="14">
        <f t="shared" si="13"/>
        <v>15166.388358778624</v>
      </c>
      <c r="K25">
        <v>10</v>
      </c>
      <c r="L25" t="s">
        <v>118</v>
      </c>
      <c r="M25" s="15">
        <v>15166.388358778624</v>
      </c>
      <c r="N25" s="1">
        <v>175.33396946564886</v>
      </c>
      <c r="O25" s="17">
        <f t="shared" si="14"/>
        <v>3.3334373426254768E-2</v>
      </c>
      <c r="P25" s="1">
        <v>175.33396946564886</v>
      </c>
      <c r="Q25" s="17">
        <f t="shared" si="15"/>
        <v>4.407229439285288E-2</v>
      </c>
      <c r="R25" s="1">
        <f t="shared" si="16"/>
        <v>231.81387634157042</v>
      </c>
      <c r="T25" s="28">
        <v>14</v>
      </c>
      <c r="U25" s="26" t="s">
        <v>106</v>
      </c>
      <c r="V25" s="128"/>
      <c r="X25" s="139"/>
      <c r="Y25" s="151"/>
      <c r="Z25" s="151"/>
      <c r="AA25" s="151">
        <v>14</v>
      </c>
      <c r="AB25" s="151" t="s">
        <v>106</v>
      </c>
      <c r="AC25" s="154">
        <v>170.31223567952114</v>
      </c>
      <c r="AD25" s="154">
        <f t="shared" si="6"/>
        <v>178.82784746349719</v>
      </c>
      <c r="AE25" s="155">
        <v>162.5</v>
      </c>
      <c r="AF25" s="156">
        <v>24.627999999999997</v>
      </c>
      <c r="AG25" s="154">
        <v>12</v>
      </c>
      <c r="AH25" s="153">
        <f>AG25*'FeilLønnskost og Tidsbruk'!$C$15</f>
        <v>50.629497916666665</v>
      </c>
      <c r="AI25" s="156">
        <f t="shared" si="5"/>
        <v>87.242502083333349</v>
      </c>
      <c r="AJ25" s="156">
        <f t="shared" si="7"/>
        <v>15601.388854892171</v>
      </c>
      <c r="AK25" s="156">
        <f t="shared" si="8"/>
        <v>4404.1722273310079</v>
      </c>
      <c r="AL25" s="151"/>
      <c r="AM25" s="156">
        <f t="shared" si="9"/>
        <v>29059.525212818295</v>
      </c>
      <c r="AN25" s="156">
        <f t="shared" si="10"/>
        <v>14529.762606409147</v>
      </c>
      <c r="AO25" s="156">
        <f t="shared" si="11"/>
        <v>13076.786345768232</v>
      </c>
      <c r="AP25" s="151"/>
      <c r="AQ25" s="151"/>
      <c r="AR25" s="151"/>
    </row>
    <row r="26" spans="2:44">
      <c r="B26" t="s">
        <v>164</v>
      </c>
      <c r="C26" t="s">
        <v>133</v>
      </c>
      <c r="D26">
        <v>46</v>
      </c>
      <c r="E26" s="49">
        <v>3.1292517006802724E-2</v>
      </c>
      <c r="F26" s="14">
        <v>124.64004461805557</v>
      </c>
      <c r="G26" s="1">
        <f t="shared" si="12"/>
        <v>164.59923664122138</v>
      </c>
      <c r="H26" s="14">
        <f t="shared" si="13"/>
        <v>20515.656199059718</v>
      </c>
      <c r="K26">
        <v>11</v>
      </c>
      <c r="L26" t="s">
        <v>116</v>
      </c>
      <c r="M26" s="15">
        <v>14429.440973878816</v>
      </c>
      <c r="N26" s="1">
        <v>143.12977099236642</v>
      </c>
      <c r="O26" s="17">
        <f t="shared" si="14"/>
        <v>2.7211733409187568E-2</v>
      </c>
      <c r="P26" s="1">
        <v>143.12977099236642</v>
      </c>
      <c r="Q26" s="17">
        <f t="shared" si="15"/>
        <v>3.5977383177839085E-2</v>
      </c>
      <c r="R26" s="1">
        <f t="shared" si="16"/>
        <v>189.23581742169014</v>
      </c>
      <c r="T26" s="28">
        <v>15</v>
      </c>
      <c r="U26" s="26" t="s">
        <v>113</v>
      </c>
      <c r="V26" s="128"/>
      <c r="X26" s="139"/>
      <c r="Y26" s="151"/>
      <c r="Z26" s="151"/>
      <c r="AA26" s="151">
        <v>15</v>
      </c>
      <c r="AB26" s="151" t="s">
        <v>113</v>
      </c>
      <c r="AC26" s="154">
        <v>175.04313111506337</v>
      </c>
      <c r="AD26" s="154">
        <f t="shared" si="6"/>
        <v>183.79528767081655</v>
      </c>
      <c r="AE26" s="155">
        <v>131.66999999999999</v>
      </c>
      <c r="AF26" s="155">
        <v>23.11</v>
      </c>
      <c r="AG26" s="154">
        <v>6</v>
      </c>
      <c r="AH26" s="153">
        <f>AG26*'FeilLønnskost og Tidsbruk'!$C$15</f>
        <v>25.314748958333332</v>
      </c>
      <c r="AI26" s="156">
        <f t="shared" si="5"/>
        <v>83.245251041666648</v>
      </c>
      <c r="AJ26" s="156">
        <f t="shared" si="7"/>
        <v>15300.084862432463</v>
      </c>
      <c r="AK26" s="156">
        <f t="shared" si="8"/>
        <v>4247.5090980725699</v>
      </c>
      <c r="AL26" s="151"/>
      <c r="AM26" s="156">
        <f t="shared" si="9"/>
        <v>24200.325527616413</v>
      </c>
      <c r="AN26" s="156">
        <f t="shared" si="10"/>
        <v>12100.162763808206</v>
      </c>
      <c r="AO26" s="156">
        <f t="shared" si="11"/>
        <v>10890.146487427386</v>
      </c>
      <c r="AP26" s="151"/>
      <c r="AQ26" s="151"/>
      <c r="AR26" s="151"/>
    </row>
    <row r="27" spans="2:44">
      <c r="B27" t="s">
        <v>165</v>
      </c>
      <c r="C27" t="s">
        <v>116</v>
      </c>
      <c r="D27">
        <v>40</v>
      </c>
      <c r="E27" s="49">
        <v>2.7210884353741496E-2</v>
      </c>
      <c r="F27" s="14">
        <v>100.81369427083335</v>
      </c>
      <c r="G27" s="1">
        <f t="shared" si="12"/>
        <v>143.12977099236639</v>
      </c>
      <c r="H27" s="14">
        <f t="shared" si="13"/>
        <v>14429.440973878816</v>
      </c>
      <c r="K27">
        <v>12</v>
      </c>
      <c r="L27" t="s">
        <v>21</v>
      </c>
      <c r="M27" s="15">
        <v>12591.984732824429</v>
      </c>
      <c r="N27" s="1">
        <v>100.19083969465649</v>
      </c>
      <c r="O27" s="17">
        <f t="shared" si="14"/>
        <v>1.9048213386431295E-2</v>
      </c>
      <c r="P27" s="1">
        <v>100.19083969465649</v>
      </c>
      <c r="Q27" s="17">
        <f t="shared" si="15"/>
        <v>2.5184168224487359E-2</v>
      </c>
      <c r="R27" s="1">
        <f t="shared" si="16"/>
        <v>132.4650721951831</v>
      </c>
      <c r="T27" s="28">
        <v>16</v>
      </c>
      <c r="U27" s="26" t="s">
        <v>134</v>
      </c>
      <c r="V27" s="128"/>
      <c r="X27" s="139"/>
      <c r="Y27" s="151"/>
      <c r="Z27" s="151"/>
      <c r="AA27" s="151">
        <v>16</v>
      </c>
      <c r="AB27" s="151" t="s">
        <v>134</v>
      </c>
      <c r="AC27" s="154">
        <f>R33</f>
        <v>170.31223567952114</v>
      </c>
      <c r="AD27" s="154">
        <f t="shared" si="6"/>
        <v>178.82784746349719</v>
      </c>
      <c r="AE27" s="155">
        <v>154.16999999999999</v>
      </c>
      <c r="AF27" s="156">
        <v>31.370894999999997</v>
      </c>
      <c r="AG27" s="154">
        <v>12</v>
      </c>
      <c r="AH27" s="153">
        <f>AG27*'FeilLønnskost og Tidsbruk'!$C$15</f>
        <v>50.629497916666665</v>
      </c>
      <c r="AI27" s="156">
        <f t="shared" si="5"/>
        <v>72.169607083333332</v>
      </c>
      <c r="AJ27" s="156">
        <f t="shared" si="7"/>
        <v>12905.93548699886</v>
      </c>
      <c r="AK27" s="156">
        <f t="shared" si="8"/>
        <v>5609.9896258533863</v>
      </c>
      <c r="AL27" s="151"/>
      <c r="AM27" s="156">
        <f t="shared" si="9"/>
        <v>27569.88924344736</v>
      </c>
      <c r="AN27" s="156">
        <f t="shared" si="10"/>
        <v>13784.94462172368</v>
      </c>
      <c r="AO27" s="156">
        <f t="shared" si="11"/>
        <v>12406.450159551312</v>
      </c>
      <c r="AP27" s="151"/>
      <c r="AQ27" s="151"/>
      <c r="AR27" s="151"/>
    </row>
    <row r="28" spans="2:44">
      <c r="B28" t="s">
        <v>166</v>
      </c>
      <c r="C28" t="s">
        <v>113</v>
      </c>
      <c r="D28">
        <v>37</v>
      </c>
      <c r="E28" s="49">
        <v>2.5170068027210883E-2</v>
      </c>
      <c r="F28" s="14">
        <v>82.948217708333345</v>
      </c>
      <c r="G28" s="1">
        <f t="shared" si="12"/>
        <v>132.39503816793891</v>
      </c>
      <c r="H28" s="14">
        <f t="shared" si="13"/>
        <v>10981.932449457299</v>
      </c>
      <c r="K28">
        <v>13</v>
      </c>
      <c r="L28" t="s">
        <v>130</v>
      </c>
      <c r="M28" s="15">
        <v>11411.096475429395</v>
      </c>
      <c r="N28" s="1">
        <v>186.06870229007635</v>
      </c>
      <c r="O28" s="17">
        <f t="shared" si="14"/>
        <v>3.5375253431943837E-2</v>
      </c>
      <c r="P28" s="1">
        <v>186.06870229007635</v>
      </c>
      <c r="Q28" s="17">
        <f t="shared" si="15"/>
        <v>4.6770598131190812E-2</v>
      </c>
      <c r="R28" s="1">
        <f t="shared" si="16"/>
        <v>246.00656264819719</v>
      </c>
      <c r="T28" s="28">
        <v>17</v>
      </c>
      <c r="U28" s="26" t="s">
        <v>22</v>
      </c>
      <c r="V28" s="128"/>
      <c r="X28" s="139"/>
      <c r="Y28" s="151"/>
      <c r="Z28" s="151"/>
      <c r="AA28" s="151">
        <v>17</v>
      </c>
      <c r="AB28" s="151" t="s">
        <v>22</v>
      </c>
      <c r="AC28" s="154">
        <v>128</v>
      </c>
      <c r="AD28" s="154">
        <f t="shared" si="6"/>
        <v>134.4</v>
      </c>
      <c r="AE28" s="157">
        <v>137.5</v>
      </c>
      <c r="AF28" s="156">
        <f>'Mengde råvarer i hver rett'!F37*Biff*0.98+'Mengde råvarer i hver rett'!R37*Ris+'Mengde råvarer i hver rett'!Z37*Gulrot+'Mengde råvarer i hver rett'!AB37*Løk+'Mengde råvarer i hver rett'!AJ37*Grønn+'Mengde råvarer i hver rett'!AK37*Rød+Div</f>
        <v>22.839294999999989</v>
      </c>
      <c r="AG28" s="154">
        <v>6</v>
      </c>
      <c r="AH28" s="153">
        <f>AG28*'FeilLønnskost og Tidsbruk'!$C$15</f>
        <v>25.314748958333332</v>
      </c>
      <c r="AI28" s="156">
        <f t="shared" si="5"/>
        <v>89.345956041666682</v>
      </c>
      <c r="AJ28" s="156">
        <f t="shared" si="7"/>
        <v>12008.096492000002</v>
      </c>
      <c r="AK28" s="156">
        <f t="shared" si="8"/>
        <v>3069.6012479999986</v>
      </c>
      <c r="AL28" s="151"/>
      <c r="AM28" s="156">
        <f t="shared" si="9"/>
        <v>18480</v>
      </c>
      <c r="AN28" s="156">
        <f t="shared" si="10"/>
        <v>9240</v>
      </c>
      <c r="AO28" s="156">
        <f t="shared" si="11"/>
        <v>8316</v>
      </c>
      <c r="AP28" s="151"/>
      <c r="AQ28" s="151"/>
      <c r="AR28" s="151"/>
    </row>
    <row r="29" spans="2:44">
      <c r="B29" t="s">
        <v>167</v>
      </c>
      <c r="C29" t="s">
        <v>115</v>
      </c>
      <c r="D29">
        <v>36</v>
      </c>
      <c r="E29" s="49">
        <v>2.4489795918367346E-2</v>
      </c>
      <c r="F29" s="14">
        <v>77.935468750000027</v>
      </c>
      <c r="G29" s="1">
        <f t="shared" si="12"/>
        <v>128.81679389312976</v>
      </c>
      <c r="H29" s="14">
        <f t="shared" si="13"/>
        <v>10039.397214933208</v>
      </c>
      <c r="K29">
        <v>14</v>
      </c>
      <c r="L29" t="s">
        <v>106</v>
      </c>
      <c r="M29" s="15">
        <v>11180.009541984733</v>
      </c>
      <c r="N29" s="1">
        <v>128.81679389312978</v>
      </c>
      <c r="O29" s="17">
        <f t="shared" si="14"/>
        <v>2.4490560068268812E-2</v>
      </c>
      <c r="P29" s="1">
        <v>128.81679389312978</v>
      </c>
      <c r="Q29" s="17">
        <f t="shared" si="15"/>
        <v>3.2379644860055179E-2</v>
      </c>
      <c r="R29" s="1">
        <f t="shared" si="16"/>
        <v>170.31223567952114</v>
      </c>
      <c r="T29" s="28">
        <v>17</v>
      </c>
      <c r="U29" s="78" t="s">
        <v>135</v>
      </c>
      <c r="V29" s="128"/>
      <c r="X29" s="139"/>
      <c r="Y29" s="151"/>
      <c r="Z29" s="151"/>
      <c r="AA29" s="151">
        <v>17</v>
      </c>
      <c r="AB29" s="158" t="s">
        <v>135</v>
      </c>
      <c r="AC29" s="154">
        <v>156</v>
      </c>
      <c r="AD29" s="154">
        <f t="shared" si="6"/>
        <v>163.80000000000001</v>
      </c>
      <c r="AE29" s="155">
        <v>150</v>
      </c>
      <c r="AF29" s="155">
        <v>26.756499999999999</v>
      </c>
      <c r="AG29" s="154">
        <v>15</v>
      </c>
      <c r="AH29" s="153">
        <f>AG29*'FeilLønnskost og Tidsbruk'!$C$15</f>
        <v>63.286872395833328</v>
      </c>
      <c r="AI29" s="156">
        <f t="shared" si="5"/>
        <v>59.95662760416667</v>
      </c>
      <c r="AJ29" s="156">
        <f t="shared" si="7"/>
        <v>9820.8956015625008</v>
      </c>
      <c r="AK29" s="156">
        <f t="shared" si="8"/>
        <v>4382.7147000000004</v>
      </c>
      <c r="AL29" s="151"/>
      <c r="AM29" s="156">
        <f t="shared" si="9"/>
        <v>24570</v>
      </c>
      <c r="AN29" s="156">
        <f t="shared" si="10"/>
        <v>12285</v>
      </c>
      <c r="AO29" s="156">
        <f t="shared" si="11"/>
        <v>11056.5</v>
      </c>
      <c r="AP29" s="151"/>
      <c r="AQ29" s="151"/>
      <c r="AR29" s="151"/>
    </row>
    <row r="30" spans="2:44">
      <c r="B30" t="s">
        <v>167</v>
      </c>
      <c r="C30" t="s">
        <v>134</v>
      </c>
      <c r="D30">
        <v>36</v>
      </c>
      <c r="E30" s="49">
        <v>2.4489795918367346E-2</v>
      </c>
      <c r="F30" s="14">
        <v>71.78</v>
      </c>
      <c r="G30" s="1">
        <f t="shared" si="12"/>
        <v>128.81679389312976</v>
      </c>
      <c r="H30" s="14">
        <f t="shared" si="13"/>
        <v>9246.4694656488537</v>
      </c>
      <c r="J30" s="14"/>
      <c r="K30">
        <v>15</v>
      </c>
      <c r="L30" t="s">
        <v>113</v>
      </c>
      <c r="M30" s="15">
        <v>10981.932449457299</v>
      </c>
      <c r="N30" s="1">
        <v>132.39503816793894</v>
      </c>
      <c r="O30" s="17">
        <f t="shared" si="14"/>
        <v>2.5170853403498498E-2</v>
      </c>
      <c r="P30" s="1">
        <v>132.39503816793894</v>
      </c>
      <c r="Q30" s="17">
        <f t="shared" si="15"/>
        <v>3.3279079439501154E-2</v>
      </c>
      <c r="R30" s="1">
        <f t="shared" si="16"/>
        <v>175.04313111506337</v>
      </c>
      <c r="T30" s="28">
        <v>18</v>
      </c>
      <c r="U30" s="78" t="s">
        <v>131</v>
      </c>
      <c r="V30" s="128"/>
      <c r="X30" s="139"/>
      <c r="Y30" s="151"/>
      <c r="Z30" s="151"/>
      <c r="AA30" s="151">
        <v>18</v>
      </c>
      <c r="AB30" s="158" t="s">
        <v>131</v>
      </c>
      <c r="AC30" s="154">
        <v>123</v>
      </c>
      <c r="AD30" s="154">
        <f t="shared" si="6"/>
        <v>129.15</v>
      </c>
      <c r="AE30" s="155">
        <v>175</v>
      </c>
      <c r="AF30" s="156">
        <v>28.416449499999999</v>
      </c>
      <c r="AG30" s="154">
        <v>17</v>
      </c>
      <c r="AH30" s="153">
        <f>AG30*'FeilLønnskost og Tidsbruk'!$C$15</f>
        <v>71.725122048611112</v>
      </c>
      <c r="AI30" s="156">
        <f t="shared" si="5"/>
        <v>74.858428451388889</v>
      </c>
      <c r="AJ30" s="156">
        <f t="shared" si="7"/>
        <v>9667.9660344968761</v>
      </c>
      <c r="AK30" s="156">
        <f t="shared" si="8"/>
        <v>3669.9844529249999</v>
      </c>
      <c r="AL30" s="151"/>
      <c r="AM30" s="156">
        <f t="shared" si="9"/>
        <v>22601.25</v>
      </c>
      <c r="AN30" s="156">
        <f t="shared" si="10"/>
        <v>11300.625</v>
      </c>
      <c r="AO30" s="156">
        <f t="shared" si="11"/>
        <v>10170.5625</v>
      </c>
      <c r="AP30" s="151"/>
      <c r="AQ30" s="151"/>
      <c r="AR30" s="151"/>
    </row>
    <row r="31" spans="2:44">
      <c r="B31" t="s">
        <v>167</v>
      </c>
      <c r="C31" t="s">
        <v>106</v>
      </c>
      <c r="D31">
        <v>36</v>
      </c>
      <c r="E31" s="49">
        <v>2.4489795918367346E-2</v>
      </c>
      <c r="F31" s="14">
        <v>86.79</v>
      </c>
      <c r="G31" s="1">
        <f t="shared" si="12"/>
        <v>128.81679389312976</v>
      </c>
      <c r="H31" s="14">
        <f t="shared" si="13"/>
        <v>11180.009541984733</v>
      </c>
      <c r="J31" s="14"/>
      <c r="K31">
        <v>16</v>
      </c>
      <c r="L31" t="s">
        <v>184</v>
      </c>
      <c r="M31" s="15">
        <v>10169.584923664122</v>
      </c>
      <c r="N31" s="1">
        <v>93</v>
      </c>
      <c r="O31" s="17">
        <f t="shared" si="14"/>
        <v>1.7681095899953713E-2</v>
      </c>
      <c r="P31" s="1">
        <v>0</v>
      </c>
      <c r="Q31" s="17">
        <f t="shared" si="15"/>
        <v>0</v>
      </c>
      <c r="R31" s="1">
        <f t="shared" si="16"/>
        <v>0</v>
      </c>
      <c r="T31" s="28">
        <v>19</v>
      </c>
      <c r="U31" s="78" t="s">
        <v>132</v>
      </c>
      <c r="V31" s="128"/>
      <c r="X31" s="139"/>
      <c r="Y31" s="151"/>
      <c r="Z31" s="151"/>
      <c r="AA31" s="151">
        <v>19</v>
      </c>
      <c r="AB31" s="158" t="s">
        <v>132</v>
      </c>
      <c r="AC31" s="154">
        <v>18.509786088073586</v>
      </c>
      <c r="AD31" s="154">
        <f t="shared" si="6"/>
        <v>19.435275392477266</v>
      </c>
      <c r="AE31" s="155">
        <v>225</v>
      </c>
      <c r="AF31" s="156">
        <v>33.403657500000001</v>
      </c>
      <c r="AG31" s="154">
        <v>21</v>
      </c>
      <c r="AH31" s="153">
        <f>AG31*'FeilLønnskost og Tidsbruk'!$C$15</f>
        <v>88.601621354166667</v>
      </c>
      <c r="AI31" s="156">
        <f t="shared" si="5"/>
        <v>102.99472114583332</v>
      </c>
      <c r="AJ31" s="156">
        <f t="shared" si="7"/>
        <v>2001.7307694406722</v>
      </c>
      <c r="AK31" s="156">
        <f t="shared" si="8"/>
        <v>649.20928262848872</v>
      </c>
      <c r="AL31" s="151"/>
      <c r="AM31" s="156">
        <f t="shared" si="9"/>
        <v>4372.9369633073848</v>
      </c>
      <c r="AN31" s="156">
        <f t="shared" si="10"/>
        <v>2186.4684816536924</v>
      </c>
      <c r="AO31" s="156">
        <f t="shared" si="11"/>
        <v>1967.8216334883232</v>
      </c>
      <c r="AP31" s="151"/>
      <c r="AQ31" s="151"/>
      <c r="AR31" s="151"/>
    </row>
    <row r="32" spans="2:44">
      <c r="B32" t="s">
        <v>168</v>
      </c>
      <c r="C32" t="s">
        <v>135</v>
      </c>
      <c r="D32">
        <v>33</v>
      </c>
      <c r="E32" s="49">
        <v>2.2448979591836733E-2</v>
      </c>
      <c r="F32" s="14">
        <v>59.95662760416667</v>
      </c>
      <c r="G32" s="1">
        <f t="shared" si="12"/>
        <v>118.08206106870227</v>
      </c>
      <c r="H32" s="14">
        <f t="shared" si="13"/>
        <v>7079.8021622286487</v>
      </c>
      <c r="J32" s="14"/>
      <c r="K32">
        <v>17</v>
      </c>
      <c r="L32" t="s">
        <v>115</v>
      </c>
      <c r="M32" s="15">
        <v>10039.397214933208</v>
      </c>
      <c r="N32" s="1">
        <v>129</v>
      </c>
      <c r="O32" s="17">
        <f t="shared" si="14"/>
        <v>2.4525391087032569E-2</v>
      </c>
      <c r="P32" s="1">
        <v>0</v>
      </c>
      <c r="Q32" s="17">
        <f t="shared" si="15"/>
        <v>0</v>
      </c>
      <c r="R32" s="1">
        <f t="shared" si="16"/>
        <v>0</v>
      </c>
      <c r="T32" s="28">
        <v>20</v>
      </c>
      <c r="U32" s="78" t="s">
        <v>140</v>
      </c>
      <c r="V32" s="128"/>
      <c r="X32" s="139"/>
      <c r="Y32" s="151"/>
      <c r="Z32" s="151"/>
      <c r="AA32" s="151">
        <v>20</v>
      </c>
      <c r="AB32" s="158" t="s">
        <v>140</v>
      </c>
      <c r="AC32" s="154">
        <v>27.6</v>
      </c>
      <c r="AD32" s="154">
        <f t="shared" si="6"/>
        <v>28.980000000000004</v>
      </c>
      <c r="AE32" s="155">
        <v>308.33</v>
      </c>
      <c r="AF32" s="156">
        <v>61.732294999999993</v>
      </c>
      <c r="AG32" s="154">
        <v>18</v>
      </c>
      <c r="AH32" s="153">
        <f>AG32*'FeilLønnskost og Tidsbruk'!$C$15</f>
        <v>75.944246875000005</v>
      </c>
      <c r="AI32" s="156">
        <f t="shared" si="5"/>
        <v>170.65345812499999</v>
      </c>
      <c r="AJ32" s="156">
        <f t="shared" si="7"/>
        <v>4945.5372164625005</v>
      </c>
      <c r="AK32" s="156">
        <f t="shared" si="8"/>
        <v>1789.0019091000001</v>
      </c>
      <c r="AL32" s="151"/>
      <c r="AM32" s="156">
        <f t="shared" si="9"/>
        <v>8935.4034000000011</v>
      </c>
      <c r="AN32" s="156">
        <f t="shared" si="10"/>
        <v>4467.7017000000005</v>
      </c>
      <c r="AO32" s="156">
        <f t="shared" si="11"/>
        <v>4020.9315300000007</v>
      </c>
      <c r="AP32" s="151"/>
      <c r="AQ32" s="151"/>
      <c r="AR32" s="151"/>
    </row>
    <row r="33" spans="2:44">
      <c r="B33" t="s">
        <v>169</v>
      </c>
      <c r="C33" t="s">
        <v>21</v>
      </c>
      <c r="D33">
        <v>28</v>
      </c>
      <c r="E33" s="49">
        <v>1.9047619047619049E-2</v>
      </c>
      <c r="F33" s="14">
        <v>125.68</v>
      </c>
      <c r="G33" s="1">
        <f t="shared" si="12"/>
        <v>100.19083969465649</v>
      </c>
      <c r="H33" s="14">
        <f t="shared" si="13"/>
        <v>12591.984732824429</v>
      </c>
      <c r="J33" s="14"/>
      <c r="K33">
        <v>18</v>
      </c>
      <c r="L33" t="s">
        <v>134</v>
      </c>
      <c r="M33" s="15">
        <v>9246.4694656488537</v>
      </c>
      <c r="N33" s="1">
        <v>128.81679389312978</v>
      </c>
      <c r="O33" s="17">
        <f t="shared" si="14"/>
        <v>2.4490560068268812E-2</v>
      </c>
      <c r="P33" s="1">
        <v>128.81679389312978</v>
      </c>
      <c r="Q33" s="17">
        <f t="shared" si="15"/>
        <v>3.2379644860055179E-2</v>
      </c>
      <c r="R33" s="1">
        <f t="shared" si="16"/>
        <v>170.31223567952114</v>
      </c>
      <c r="T33" s="28">
        <v>21</v>
      </c>
      <c r="U33" s="78" t="s">
        <v>141</v>
      </c>
      <c r="V33" s="128"/>
      <c r="X33" s="139"/>
      <c r="Y33" s="151"/>
      <c r="Z33" s="151"/>
      <c r="AA33" s="151">
        <v>21</v>
      </c>
      <c r="AB33" s="158" t="s">
        <v>141</v>
      </c>
      <c r="AC33" s="154">
        <v>47.8</v>
      </c>
      <c r="AD33" s="154">
        <f t="shared" si="6"/>
        <v>50.19</v>
      </c>
      <c r="AE33" s="155">
        <v>382.5</v>
      </c>
      <c r="AF33" s="156">
        <v>81.692134999999993</v>
      </c>
      <c r="AG33" s="154">
        <v>22</v>
      </c>
      <c r="AH33" s="153">
        <f>AG33*'FeilLønnskost og Tidsbruk'!$C$15</f>
        <v>92.820746180555545</v>
      </c>
      <c r="AI33" s="156">
        <f t="shared" si="5"/>
        <v>207.98711881944445</v>
      </c>
      <c r="AJ33" s="156">
        <f t="shared" si="7"/>
        <v>10438.873493547917</v>
      </c>
      <c r="AK33" s="156">
        <f t="shared" si="8"/>
        <v>4100.1282556499991</v>
      </c>
      <c r="AL33" s="151"/>
      <c r="AM33" s="156">
        <f t="shared" si="9"/>
        <v>19197.674999999999</v>
      </c>
      <c r="AN33" s="156">
        <f t="shared" si="10"/>
        <v>9598.8374999999996</v>
      </c>
      <c r="AO33" s="156">
        <f t="shared" si="11"/>
        <v>8638.9537500000006</v>
      </c>
      <c r="AP33" s="151"/>
      <c r="AQ33" s="151"/>
      <c r="AR33" s="151"/>
    </row>
    <row r="34" spans="2:44">
      <c r="B34" t="s">
        <v>170</v>
      </c>
      <c r="C34" t="s">
        <v>22</v>
      </c>
      <c r="D34">
        <v>27</v>
      </c>
      <c r="E34" s="49">
        <v>1.8367346938775512E-2</v>
      </c>
      <c r="F34" s="14">
        <v>88.95</v>
      </c>
      <c r="G34" s="1">
        <f t="shared" si="12"/>
        <v>96.612595419847324</v>
      </c>
      <c r="H34" s="14">
        <f t="shared" si="13"/>
        <v>8593.6903625954201</v>
      </c>
      <c r="K34">
        <v>19</v>
      </c>
      <c r="L34" t="s">
        <v>22</v>
      </c>
      <c r="M34" s="15">
        <v>8593.6903625954201</v>
      </c>
      <c r="N34" s="1">
        <v>96.612595419847338</v>
      </c>
      <c r="O34" s="17">
        <f t="shared" si="14"/>
        <v>1.8367920051201608E-2</v>
      </c>
      <c r="P34" s="1">
        <v>96.612595419847338</v>
      </c>
      <c r="Q34" s="17">
        <f t="shared" si="15"/>
        <v>2.4284733645041384E-2</v>
      </c>
      <c r="R34" s="1">
        <f t="shared" si="16"/>
        <v>127.73417675964086</v>
      </c>
      <c r="T34" s="28"/>
      <c r="U34" s="78"/>
      <c r="V34" s="128"/>
      <c r="X34" s="139"/>
      <c r="Y34" s="151"/>
      <c r="Z34" s="151"/>
      <c r="AA34" s="151"/>
      <c r="AB34" s="158" t="s">
        <v>44</v>
      </c>
      <c r="AC34" s="154">
        <f>SUM(AC12:AC33)</f>
        <v>5260.1905942435806</v>
      </c>
      <c r="AD34" s="154">
        <f t="shared" si="6"/>
        <v>5523.2001239557594</v>
      </c>
      <c r="AE34" s="151"/>
      <c r="AF34" s="151"/>
      <c r="AG34" s="154"/>
      <c r="AH34" s="153"/>
      <c r="AI34" s="156"/>
      <c r="AJ34" s="156"/>
      <c r="AK34" s="156"/>
      <c r="AL34" s="151"/>
      <c r="AM34" s="156"/>
      <c r="AN34" s="156">
        <f t="shared" si="10"/>
        <v>0</v>
      </c>
      <c r="AO34" s="156">
        <f t="shared" si="11"/>
        <v>0</v>
      </c>
      <c r="AP34" s="151"/>
      <c r="AQ34" s="151"/>
      <c r="AR34" s="151"/>
    </row>
    <row r="35" spans="2:44">
      <c r="B35" t="s">
        <v>171</v>
      </c>
      <c r="C35" t="s">
        <v>109</v>
      </c>
      <c r="D35">
        <v>26</v>
      </c>
      <c r="E35" s="49">
        <v>1.7687074829931974E-2</v>
      </c>
      <c r="F35" s="14">
        <v>89.95</v>
      </c>
      <c r="G35" s="1">
        <f t="shared" si="12"/>
        <v>93.034351145038173</v>
      </c>
      <c r="H35" s="14">
        <f t="shared" si="13"/>
        <v>8368.4398854961837</v>
      </c>
      <c r="K35">
        <v>20</v>
      </c>
      <c r="L35" t="s">
        <v>109</v>
      </c>
      <c r="M35" s="15">
        <v>8368.4398854961837</v>
      </c>
      <c r="N35" s="1">
        <v>93.034351145038173</v>
      </c>
      <c r="O35" s="17">
        <f t="shared" si="14"/>
        <v>1.7687626715971919E-2</v>
      </c>
      <c r="P35" s="1">
        <v>0</v>
      </c>
      <c r="Q35" s="17">
        <f t="shared" si="15"/>
        <v>0</v>
      </c>
      <c r="R35" s="1">
        <f t="shared" si="16"/>
        <v>0</v>
      </c>
      <c r="T35" s="28"/>
      <c r="U35" s="78"/>
      <c r="V35" s="128"/>
      <c r="X35" s="139"/>
      <c r="Y35" s="151"/>
      <c r="Z35" s="151"/>
      <c r="AA35" s="151"/>
      <c r="AB35" s="158"/>
      <c r="AC35" s="151"/>
      <c r="AD35" s="154"/>
      <c r="AE35" s="151"/>
      <c r="AF35" s="151"/>
      <c r="AG35" s="154"/>
      <c r="AH35" s="153"/>
      <c r="AI35" s="156"/>
      <c r="AJ35" s="156"/>
      <c r="AK35" s="156"/>
      <c r="AL35" s="151"/>
      <c r="AM35" s="156"/>
      <c r="AN35" s="156">
        <f t="shared" si="10"/>
        <v>0</v>
      </c>
      <c r="AO35" s="156">
        <f t="shared" si="11"/>
        <v>0</v>
      </c>
      <c r="AP35" s="151"/>
      <c r="AQ35" s="151"/>
      <c r="AR35" s="151"/>
    </row>
    <row r="36" spans="2:44">
      <c r="B36" t="s">
        <v>171</v>
      </c>
      <c r="C36" t="s">
        <v>184</v>
      </c>
      <c r="D36">
        <v>26</v>
      </c>
      <c r="E36" s="49">
        <v>1.7687074829931974E-2</v>
      </c>
      <c r="F36" s="14">
        <v>109.31</v>
      </c>
      <c r="G36" s="1">
        <f t="shared" si="12"/>
        <v>93.034351145038173</v>
      </c>
      <c r="H36" s="14">
        <f t="shared" si="13"/>
        <v>10169.584923664122</v>
      </c>
      <c r="J36" s="14"/>
      <c r="K36">
        <v>21</v>
      </c>
      <c r="L36" t="s">
        <v>105</v>
      </c>
      <c r="M36" s="15">
        <v>7713.2633587786249</v>
      </c>
      <c r="N36" s="1">
        <v>71.564885496183209</v>
      </c>
      <c r="O36" s="17">
        <f t="shared" si="14"/>
        <v>1.3605866704593784E-2</v>
      </c>
      <c r="P36" s="1">
        <v>0</v>
      </c>
      <c r="Q36" s="17">
        <f t="shared" si="15"/>
        <v>0</v>
      </c>
      <c r="R36" s="1">
        <f t="shared" si="16"/>
        <v>0</v>
      </c>
      <c r="T36" s="28"/>
      <c r="U36" s="26" t="s">
        <v>94</v>
      </c>
      <c r="V36" s="128"/>
      <c r="X36" s="139"/>
      <c r="Y36" s="151"/>
      <c r="Z36" s="151"/>
      <c r="AA36" s="151"/>
      <c r="AB36" s="151" t="s">
        <v>94</v>
      </c>
      <c r="AC36" s="151"/>
      <c r="AD36" s="154"/>
      <c r="AE36" s="151"/>
      <c r="AF36" s="151"/>
      <c r="AG36" s="154"/>
      <c r="AH36" s="153"/>
      <c r="AI36" s="156"/>
      <c r="AJ36" s="156"/>
      <c r="AK36" s="156"/>
      <c r="AL36" s="151"/>
      <c r="AM36" s="156"/>
      <c r="AN36" s="156">
        <f t="shared" si="10"/>
        <v>0</v>
      </c>
      <c r="AO36" s="156">
        <f t="shared" si="11"/>
        <v>0</v>
      </c>
      <c r="AP36" s="151"/>
      <c r="AQ36" s="151"/>
      <c r="AR36" s="151"/>
    </row>
    <row r="37" spans="2:44">
      <c r="B37" t="s">
        <v>171</v>
      </c>
      <c r="C37" t="s">
        <v>131</v>
      </c>
      <c r="D37">
        <v>26</v>
      </c>
      <c r="E37" s="49">
        <v>1.7687074829931974E-2</v>
      </c>
      <c r="F37" s="14">
        <v>74.53</v>
      </c>
      <c r="G37" s="1">
        <f t="shared" si="12"/>
        <v>93.034351145038173</v>
      </c>
      <c r="H37" s="14">
        <f t="shared" si="13"/>
        <v>6933.8501908396947</v>
      </c>
      <c r="J37" s="14"/>
      <c r="K37">
        <v>22</v>
      </c>
      <c r="L37" t="s">
        <v>189</v>
      </c>
      <c r="M37" s="15">
        <v>7426.8450794171422</v>
      </c>
      <c r="N37" s="1">
        <v>35.782442748091604</v>
      </c>
      <c r="O37" s="17">
        <f t="shared" si="14"/>
        <v>6.8029333522968919E-3</v>
      </c>
      <c r="P37" s="1">
        <v>36</v>
      </c>
      <c r="Q37" s="17">
        <f t="shared" si="15"/>
        <v>9.0490314168900857E-3</v>
      </c>
      <c r="R37" s="1">
        <f t="shared" si="16"/>
        <v>47.596592797903497</v>
      </c>
      <c r="T37" s="28">
        <v>22</v>
      </c>
      <c r="U37" s="77" t="s">
        <v>137</v>
      </c>
      <c r="V37" s="128"/>
      <c r="X37" s="139"/>
      <c r="Y37" s="151"/>
      <c r="Z37" s="151"/>
      <c r="AA37" s="151">
        <v>22</v>
      </c>
      <c r="AB37" s="151" t="s">
        <v>137</v>
      </c>
      <c r="AC37" s="154">
        <v>53.67366412213741</v>
      </c>
      <c r="AD37" s="154">
        <f>AC37*$AE$2</f>
        <v>56.357347328244281</v>
      </c>
      <c r="AE37" s="155">
        <v>66.67</v>
      </c>
      <c r="AF37" s="156">
        <v>9.8506</v>
      </c>
      <c r="AG37" s="154">
        <v>6</v>
      </c>
      <c r="AH37" s="153">
        <f>AG37*'FeilLønnskost og Tidsbruk'!$C$15</f>
        <v>25.314748958333332</v>
      </c>
      <c r="AI37" s="156">
        <f t="shared" ref="AI37:AI40" si="17">AE37-AF37-AH37</f>
        <v>31.504651041666669</v>
      </c>
      <c r="AJ37" s="156">
        <f>AI37*AD37</f>
        <v>1775.5185612103414</v>
      </c>
      <c r="AK37" s="156">
        <f>AF37*AD37</f>
        <v>555.15368559160311</v>
      </c>
      <c r="AL37" s="151"/>
      <c r="AM37" s="156">
        <f>AD37*AE37</f>
        <v>3757.3443463740464</v>
      </c>
      <c r="AN37" s="156">
        <f t="shared" si="10"/>
        <v>1878.6721731870232</v>
      </c>
      <c r="AO37" s="156">
        <f t="shared" si="11"/>
        <v>1690.8049558683208</v>
      </c>
      <c r="AP37" s="151"/>
      <c r="AQ37" s="151"/>
      <c r="AR37" s="151"/>
    </row>
    <row r="38" spans="2:44">
      <c r="B38" t="s">
        <v>172</v>
      </c>
      <c r="C38" t="s">
        <v>123</v>
      </c>
      <c r="D38">
        <v>25</v>
      </c>
      <c r="E38" s="49">
        <v>1.7006802721088437E-2</v>
      </c>
      <c r="F38" s="14">
        <v>78.17</v>
      </c>
      <c r="G38" s="1">
        <f t="shared" si="12"/>
        <v>89.456106870229007</v>
      </c>
      <c r="H38" s="14">
        <f t="shared" si="13"/>
        <v>6992.7838740458019</v>
      </c>
      <c r="J38" s="14"/>
      <c r="K38">
        <v>23</v>
      </c>
      <c r="L38" t="s">
        <v>135</v>
      </c>
      <c r="M38" s="15">
        <v>7079.8021622286487</v>
      </c>
      <c r="N38" s="1">
        <v>118.08206106870227</v>
      </c>
      <c r="O38" s="17">
        <f t="shared" si="14"/>
        <v>2.244968006257974E-2</v>
      </c>
      <c r="P38" s="1">
        <v>118</v>
      </c>
      <c r="Q38" s="17">
        <f t="shared" si="15"/>
        <v>2.9660714088695282E-2</v>
      </c>
      <c r="R38" s="1">
        <f t="shared" si="16"/>
        <v>156.01105417090591</v>
      </c>
      <c r="T38" s="28">
        <v>23</v>
      </c>
      <c r="U38" s="77" t="s">
        <v>59</v>
      </c>
      <c r="V38" s="128"/>
      <c r="X38" s="139"/>
      <c r="Y38" s="151"/>
      <c r="Z38" s="151"/>
      <c r="AA38" s="151">
        <v>23</v>
      </c>
      <c r="AB38" s="151" t="s">
        <v>59</v>
      </c>
      <c r="AC38" s="154">
        <v>53.67366412213741</v>
      </c>
      <c r="AD38" s="154">
        <f>AC38*$AE$2</f>
        <v>56.357347328244281</v>
      </c>
      <c r="AE38" s="155">
        <v>66.67</v>
      </c>
      <c r="AF38" s="156">
        <v>13.807599999999999</v>
      </c>
      <c r="AG38" s="154">
        <v>12</v>
      </c>
      <c r="AH38" s="153">
        <f>AG38*'FeilLønnskost og Tidsbruk'!$C$15</f>
        <v>50.629497916666665</v>
      </c>
      <c r="AI38" s="156">
        <f t="shared" si="17"/>
        <v>2.232902083333336</v>
      </c>
      <c r="AJ38" s="156">
        <f>AI38*AD38</f>
        <v>125.84043826037707</v>
      </c>
      <c r="AK38" s="156">
        <f>AF38*AD38</f>
        <v>778.15970896946567</v>
      </c>
      <c r="AL38" s="151"/>
      <c r="AM38" s="156">
        <f>AD38*AE38</f>
        <v>3757.3443463740464</v>
      </c>
      <c r="AN38" s="156">
        <f t="shared" si="10"/>
        <v>1878.6721731870232</v>
      </c>
      <c r="AO38" s="156">
        <f t="shared" si="11"/>
        <v>1690.8049558683208</v>
      </c>
      <c r="AP38" s="151"/>
      <c r="AQ38" s="151"/>
      <c r="AR38" s="151"/>
    </row>
    <row r="39" spans="2:44">
      <c r="B39" t="s">
        <v>173</v>
      </c>
      <c r="C39" t="s">
        <v>127</v>
      </c>
      <c r="D39">
        <v>21</v>
      </c>
      <c r="E39" s="49">
        <v>1.4285714285714285E-2</v>
      </c>
      <c r="F39" s="14">
        <v>80.92</v>
      </c>
      <c r="G39" s="1">
        <f t="shared" si="12"/>
        <v>75.14312977099236</v>
      </c>
      <c r="H39" s="14">
        <f t="shared" si="13"/>
        <v>6080.5820610687015</v>
      </c>
      <c r="J39" s="14"/>
      <c r="K39">
        <v>24</v>
      </c>
      <c r="L39" t="s">
        <v>123</v>
      </c>
      <c r="M39" s="15">
        <v>6992.7838740458019</v>
      </c>
      <c r="N39" s="1">
        <v>89.456106870229007</v>
      </c>
      <c r="O39" s="17">
        <f t="shared" si="14"/>
        <v>1.7007333380742229E-2</v>
      </c>
      <c r="P39" s="1">
        <v>0</v>
      </c>
      <c r="Q39" s="17">
        <f t="shared" si="15"/>
        <v>0</v>
      </c>
      <c r="R39" s="1">
        <f t="shared" si="16"/>
        <v>0</v>
      </c>
      <c r="T39" s="28">
        <v>24</v>
      </c>
      <c r="U39" s="77" t="s">
        <v>138</v>
      </c>
      <c r="V39" s="128"/>
      <c r="X39" s="139"/>
      <c r="Y39" s="151"/>
      <c r="Z39" s="151"/>
      <c r="AA39" s="151">
        <v>24</v>
      </c>
      <c r="AB39" s="151" t="s">
        <v>138</v>
      </c>
      <c r="AC39" s="154">
        <v>39.360687022900763</v>
      </c>
      <c r="AD39" s="154">
        <f>AC39*$AE$2</f>
        <v>41.328721374045806</v>
      </c>
      <c r="AE39" s="155">
        <v>75</v>
      </c>
      <c r="AF39" s="156">
        <v>13.341600000000001</v>
      </c>
      <c r="AG39" s="154">
        <v>6</v>
      </c>
      <c r="AH39" s="153">
        <f>AG39*'FeilLønnskost og Tidsbruk'!$C$15</f>
        <v>25.314748958333332</v>
      </c>
      <c r="AI39" s="156">
        <f t="shared" si="17"/>
        <v>36.343651041666668</v>
      </c>
      <c r="AJ39" s="156">
        <f>AI39*AD39</f>
        <v>1502.0366276165914</v>
      </c>
      <c r="AK39" s="156">
        <f>AF39*AD39</f>
        <v>551.39126908396963</v>
      </c>
      <c r="AL39" s="151"/>
      <c r="AM39" s="156">
        <f>AD39*AE39</f>
        <v>3099.6541030534354</v>
      </c>
      <c r="AN39" s="156">
        <f t="shared" si="10"/>
        <v>1549.8270515267177</v>
      </c>
      <c r="AO39" s="156">
        <f t="shared" si="11"/>
        <v>1394.8443463740459</v>
      </c>
      <c r="AP39" s="151"/>
      <c r="AQ39" s="151"/>
      <c r="AR39" s="151"/>
    </row>
    <row r="40" spans="2:44">
      <c r="B40" t="s">
        <v>174</v>
      </c>
      <c r="C40" t="s">
        <v>185</v>
      </c>
      <c r="D40">
        <v>20</v>
      </c>
      <c r="E40" s="49">
        <v>1.3605442176870748E-2</v>
      </c>
      <c r="F40" s="14">
        <v>83.2</v>
      </c>
      <c r="G40" s="1">
        <f t="shared" si="12"/>
        <v>71.564885496183194</v>
      </c>
      <c r="H40" s="14">
        <f t="shared" si="13"/>
        <v>5954.1984732824421</v>
      </c>
      <c r="K40">
        <v>25</v>
      </c>
      <c r="L40" t="s">
        <v>131</v>
      </c>
      <c r="M40" s="15">
        <v>6933.8501908396947</v>
      </c>
      <c r="N40" s="1">
        <v>93.034351145038173</v>
      </c>
      <c r="O40" s="17">
        <f t="shared" si="14"/>
        <v>1.7687626715971919E-2</v>
      </c>
      <c r="P40" s="1">
        <v>93</v>
      </c>
      <c r="Q40" s="17">
        <f t="shared" si="15"/>
        <v>2.3376664493632723E-2</v>
      </c>
      <c r="R40" s="1">
        <f t="shared" si="16"/>
        <v>122.95786472791738</v>
      </c>
      <c r="T40" s="28">
        <v>25</v>
      </c>
      <c r="U40" s="77" t="s">
        <v>135</v>
      </c>
      <c r="V40" s="128"/>
      <c r="X40" s="139"/>
      <c r="Y40" s="151"/>
      <c r="Z40" s="151"/>
      <c r="AA40" s="151">
        <v>25</v>
      </c>
      <c r="AB40" s="151" t="s">
        <v>135</v>
      </c>
      <c r="AC40" s="154">
        <v>28.7259541984733</v>
      </c>
      <c r="AD40" s="154">
        <f>AC40*$AE$2</f>
        <v>30.162251908396968</v>
      </c>
      <c r="AE40" s="155">
        <v>82.5</v>
      </c>
      <c r="AF40" s="156">
        <v>14.015999999999998</v>
      </c>
      <c r="AG40" s="154">
        <v>12</v>
      </c>
      <c r="AH40" s="153">
        <f>AG40*'FeilLønnskost og Tidsbruk'!$C$15</f>
        <v>50.629497916666665</v>
      </c>
      <c r="AI40" s="156">
        <f t="shared" si="17"/>
        <v>17.854502083333344</v>
      </c>
      <c r="AJ40" s="156">
        <f>AI40*AD40</f>
        <v>538.53198953649883</v>
      </c>
      <c r="AK40" s="156">
        <f>AF40*AD40</f>
        <v>422.75412274809185</v>
      </c>
      <c r="AL40" s="151"/>
      <c r="AM40" s="156">
        <f>AD40*AE40</f>
        <v>2488.38578244275</v>
      </c>
      <c r="AN40" s="156">
        <f t="shared" si="10"/>
        <v>1244.192891221375</v>
      </c>
      <c r="AO40" s="156">
        <f t="shared" si="11"/>
        <v>1119.7736020992375</v>
      </c>
      <c r="AP40" s="151"/>
      <c r="AQ40" s="151"/>
      <c r="AR40" s="151"/>
    </row>
    <row r="41" spans="2:44">
      <c r="B41" t="s">
        <v>174</v>
      </c>
      <c r="C41" t="s">
        <v>105</v>
      </c>
      <c r="D41">
        <v>20</v>
      </c>
      <c r="E41" s="49">
        <v>1.3605442176870748E-2</v>
      </c>
      <c r="F41" s="14">
        <v>107.78</v>
      </c>
      <c r="G41" s="1">
        <f t="shared" si="12"/>
        <v>71.564885496183194</v>
      </c>
      <c r="H41" s="14">
        <f t="shared" si="13"/>
        <v>7713.2633587786249</v>
      </c>
      <c r="J41" s="14"/>
      <c r="K41">
        <v>26</v>
      </c>
      <c r="L41" t="s">
        <v>127</v>
      </c>
      <c r="M41" s="15">
        <v>6080.5820610687015</v>
      </c>
      <c r="N41" s="1">
        <v>75.14312977099236</v>
      </c>
      <c r="O41" s="17">
        <f t="shared" si="14"/>
        <v>1.428616003982347E-2</v>
      </c>
      <c r="P41" s="1">
        <v>0</v>
      </c>
      <c r="Q41" s="17">
        <f t="shared" si="15"/>
        <v>0</v>
      </c>
      <c r="R41" s="1">
        <f t="shared" si="16"/>
        <v>0</v>
      </c>
      <c r="T41" s="28"/>
      <c r="U41" s="77" t="s">
        <v>44</v>
      </c>
      <c r="V41" s="128"/>
      <c r="X41" s="139"/>
      <c r="Y41" s="151"/>
      <c r="Z41" s="151"/>
      <c r="AA41" s="151"/>
      <c r="AB41" s="151" t="s">
        <v>44</v>
      </c>
      <c r="AC41" s="154">
        <f>SUM(AC37:AC40)</f>
        <v>175.43396946564889</v>
      </c>
      <c r="AD41" s="154">
        <f>AC41*$AE$2</f>
        <v>184.20566793893133</v>
      </c>
      <c r="AE41" s="151"/>
      <c r="AF41" s="156"/>
      <c r="AG41" s="154"/>
      <c r="AH41" s="153"/>
      <c r="AI41" s="156"/>
      <c r="AJ41" s="156"/>
      <c r="AK41" s="156"/>
      <c r="AL41" s="151"/>
      <c r="AM41" s="156"/>
      <c r="AN41" s="156">
        <f t="shared" si="10"/>
        <v>0</v>
      </c>
      <c r="AO41" s="156">
        <f t="shared" si="11"/>
        <v>0</v>
      </c>
      <c r="AP41" s="151"/>
      <c r="AQ41" s="151"/>
      <c r="AR41" s="151"/>
    </row>
    <row r="42" spans="2:44">
      <c r="B42" t="s">
        <v>175</v>
      </c>
      <c r="C42" t="s">
        <v>187</v>
      </c>
      <c r="D42">
        <v>18</v>
      </c>
      <c r="E42" s="49">
        <v>1.2244897959183673E-2</v>
      </c>
      <c r="F42" s="14">
        <v>82.63</v>
      </c>
      <c r="G42" s="1">
        <f t="shared" si="12"/>
        <v>64.408396946564878</v>
      </c>
      <c r="H42" s="14">
        <f t="shared" si="13"/>
        <v>5322.0658396946556</v>
      </c>
      <c r="J42" s="14"/>
      <c r="K42">
        <v>27</v>
      </c>
      <c r="L42" t="s">
        <v>185</v>
      </c>
      <c r="M42" s="15">
        <v>5954.1984732824421</v>
      </c>
      <c r="N42" s="1">
        <v>71.564885496183209</v>
      </c>
      <c r="O42" s="17">
        <f t="shared" si="14"/>
        <v>1.3605866704593784E-2</v>
      </c>
      <c r="P42" s="1">
        <v>0</v>
      </c>
      <c r="Q42" s="17">
        <f t="shared" si="15"/>
        <v>0</v>
      </c>
      <c r="R42" s="1">
        <f t="shared" si="16"/>
        <v>0</v>
      </c>
      <c r="T42" s="28"/>
      <c r="U42" s="78"/>
      <c r="V42" s="128"/>
      <c r="X42" s="139"/>
      <c r="Y42" s="151"/>
      <c r="Z42" s="151"/>
      <c r="AA42" s="151"/>
      <c r="AB42" s="158"/>
      <c r="AC42" s="151"/>
      <c r="AD42" s="154"/>
      <c r="AE42" s="151"/>
      <c r="AF42" s="156"/>
      <c r="AG42" s="154"/>
      <c r="AH42" s="153"/>
      <c r="AI42" s="156"/>
      <c r="AJ42" s="156"/>
      <c r="AK42" s="156"/>
      <c r="AL42" s="151"/>
      <c r="AM42" s="156"/>
      <c r="AN42" s="156">
        <f t="shared" si="10"/>
        <v>0</v>
      </c>
      <c r="AO42" s="156">
        <f t="shared" si="11"/>
        <v>0</v>
      </c>
      <c r="AP42" s="151"/>
      <c r="AQ42" s="151"/>
      <c r="AR42" s="151"/>
    </row>
    <row r="43" spans="2:44">
      <c r="B43" t="s">
        <v>175</v>
      </c>
      <c r="C43" t="s">
        <v>129</v>
      </c>
      <c r="D43">
        <v>18</v>
      </c>
      <c r="E43" s="49">
        <v>1.2244897959183673E-2</v>
      </c>
      <c r="F43" s="14">
        <v>91.53</v>
      </c>
      <c r="G43" s="1">
        <f t="shared" si="12"/>
        <v>64.408396946564878</v>
      </c>
      <c r="H43" s="14">
        <f t="shared" si="13"/>
        <v>5895.3005725190833</v>
      </c>
      <c r="J43" s="14"/>
      <c r="K43">
        <v>28</v>
      </c>
      <c r="L43" t="s">
        <v>129</v>
      </c>
      <c r="M43" s="15">
        <v>5895.3005725190833</v>
      </c>
      <c r="N43" s="1">
        <v>64.408396946564892</v>
      </c>
      <c r="O43" s="17">
        <f t="shared" si="14"/>
        <v>1.2245280034134406E-2</v>
      </c>
      <c r="P43" s="1">
        <v>0</v>
      </c>
      <c r="Q43" s="17">
        <f t="shared" si="15"/>
        <v>0</v>
      </c>
      <c r="R43" s="1">
        <f t="shared" si="16"/>
        <v>0</v>
      </c>
      <c r="T43" s="28"/>
      <c r="U43" s="26" t="s">
        <v>144</v>
      </c>
      <c r="V43" s="128"/>
      <c r="X43" s="139"/>
      <c r="Y43" s="151"/>
      <c r="Z43" s="151"/>
      <c r="AA43" s="151"/>
      <c r="AB43" s="151" t="s">
        <v>144</v>
      </c>
      <c r="AC43" s="151"/>
      <c r="AD43" s="154"/>
      <c r="AE43" s="151"/>
      <c r="AF43" s="151"/>
      <c r="AG43" s="154"/>
      <c r="AH43" s="153"/>
      <c r="AI43" s="156"/>
      <c r="AJ43" s="156"/>
      <c r="AK43" s="156"/>
      <c r="AL43" s="151"/>
      <c r="AM43" s="156"/>
      <c r="AN43" s="156">
        <f t="shared" si="10"/>
        <v>0</v>
      </c>
      <c r="AO43" s="156">
        <f t="shared" si="11"/>
        <v>0</v>
      </c>
      <c r="AP43" s="151"/>
      <c r="AQ43" s="151"/>
      <c r="AR43" s="151"/>
    </row>
    <row r="44" spans="2:44">
      <c r="B44" t="s">
        <v>176</v>
      </c>
      <c r="C44" t="s">
        <v>151</v>
      </c>
      <c r="D44">
        <v>15</v>
      </c>
      <c r="E44" s="49">
        <v>1.020408163265306E-2</v>
      </c>
      <c r="F44" s="14">
        <v>68.459999999999994</v>
      </c>
      <c r="G44" s="1">
        <f t="shared" si="12"/>
        <v>53.673664122137396</v>
      </c>
      <c r="H44" s="14">
        <f t="shared" si="13"/>
        <v>3674.4990458015259</v>
      </c>
      <c r="J44" s="14"/>
      <c r="K44">
        <v>29</v>
      </c>
      <c r="L44" t="s">
        <v>187</v>
      </c>
      <c r="M44" s="15">
        <v>5322.0658396946556</v>
      </c>
      <c r="N44" s="1">
        <v>64.408396946564892</v>
      </c>
      <c r="O44" s="17">
        <f t="shared" si="14"/>
        <v>1.2245280034134406E-2</v>
      </c>
      <c r="P44" s="1">
        <v>0</v>
      </c>
      <c r="Q44" s="17">
        <f t="shared" si="15"/>
        <v>0</v>
      </c>
      <c r="R44" s="1">
        <f t="shared" si="16"/>
        <v>0</v>
      </c>
      <c r="T44" s="28">
        <v>26</v>
      </c>
      <c r="U44" s="26" t="s">
        <v>146</v>
      </c>
      <c r="V44" s="128"/>
      <c r="X44" s="139"/>
      <c r="Y44" s="151"/>
      <c r="Z44" s="151"/>
      <c r="AA44" s="151">
        <v>26</v>
      </c>
      <c r="AB44" s="151" t="s">
        <v>146</v>
      </c>
      <c r="AC44" s="154">
        <v>243.32061068702288</v>
      </c>
      <c r="AD44" s="154">
        <f t="shared" ref="AD44:AD49" si="18">AC44*$AE$2</f>
        <v>255.48664122137404</v>
      </c>
      <c r="AE44" s="156">
        <v>66.67</v>
      </c>
      <c r="AF44" s="156">
        <v>5.2951000000000006</v>
      </c>
      <c r="AG44" s="154">
        <v>5</v>
      </c>
      <c r="AH44" s="153">
        <f>AG44*'FeilLønnskost og Tidsbruk'!$C$15</f>
        <v>21.095624131944444</v>
      </c>
      <c r="AI44" s="156">
        <f>AE44-AF44-AH44</f>
        <v>40.279275868055564</v>
      </c>
      <c r="AJ44" s="156">
        <f>AI44*AD44</f>
        <v>10290.816902358662</v>
      </c>
      <c r="AK44" s="156">
        <f>AF44*AD44</f>
        <v>1352.8273139312978</v>
      </c>
      <c r="AL44" s="151"/>
      <c r="AM44" s="156">
        <f>AD44*AE44</f>
        <v>17033.294370229007</v>
      </c>
      <c r="AN44" s="156">
        <f t="shared" si="10"/>
        <v>8516.6471851145034</v>
      </c>
      <c r="AO44" s="156">
        <f t="shared" si="11"/>
        <v>7664.9824666030536</v>
      </c>
      <c r="AP44" s="151"/>
      <c r="AQ44" s="151"/>
      <c r="AR44" s="151"/>
    </row>
    <row r="45" spans="2:44">
      <c r="B45" t="s">
        <v>177</v>
      </c>
      <c r="C45" t="s">
        <v>188</v>
      </c>
      <c r="D45">
        <v>13</v>
      </c>
      <c r="E45" s="49">
        <v>8.8435374149659872E-3</v>
      </c>
      <c r="F45" s="14">
        <v>94.670668750000019</v>
      </c>
      <c r="G45" s="1">
        <f t="shared" si="12"/>
        <v>46.517175572519086</v>
      </c>
      <c r="H45" s="14">
        <f t="shared" si="13"/>
        <v>4403.8121198115468</v>
      </c>
      <c r="K45">
        <v>30</v>
      </c>
      <c r="L45" t="s">
        <v>108</v>
      </c>
      <c r="M45" s="15">
        <v>4893.6068702290077</v>
      </c>
      <c r="N45" s="1">
        <v>46.517175572519086</v>
      </c>
      <c r="O45" s="17">
        <f t="shared" si="14"/>
        <v>8.8438133579859593E-3</v>
      </c>
      <c r="P45" s="1">
        <v>0</v>
      </c>
      <c r="Q45" s="17">
        <f t="shared" si="15"/>
        <v>0</v>
      </c>
      <c r="R45" s="1">
        <f t="shared" si="16"/>
        <v>0</v>
      </c>
      <c r="T45" s="28">
        <v>27</v>
      </c>
      <c r="U45" s="26" t="s">
        <v>149</v>
      </c>
      <c r="V45" s="128"/>
      <c r="X45" s="139"/>
      <c r="Y45" s="151"/>
      <c r="Z45" s="151"/>
      <c r="AA45" s="151">
        <v>27</v>
      </c>
      <c r="AB45" s="151" t="s">
        <v>149</v>
      </c>
      <c r="AC45" s="154">
        <v>153.8645038167939</v>
      </c>
      <c r="AD45" s="154">
        <f t="shared" si="18"/>
        <v>161.55772900763361</v>
      </c>
      <c r="AE45" s="156">
        <v>66.67</v>
      </c>
      <c r="AF45" s="156">
        <v>5.95</v>
      </c>
      <c r="AG45" s="154">
        <v>5</v>
      </c>
      <c r="AH45" s="153">
        <f>AG45*'FeilLønnskost og Tidsbruk'!$C$15</f>
        <v>21.095624131944444</v>
      </c>
      <c r="AI45" s="156">
        <f>AE45-AF45-AH45</f>
        <v>39.624375868055552</v>
      </c>
      <c r="AJ45" s="156">
        <f>AI45*AD45</f>
        <v>6401.6241785879356</v>
      </c>
      <c r="AK45" s="156">
        <f>AF45*AD45</f>
        <v>961.26848759541997</v>
      </c>
      <c r="AL45" s="151"/>
      <c r="AM45" s="156">
        <f>AD45*AE45</f>
        <v>10771.053792938934</v>
      </c>
      <c r="AN45" s="156">
        <f t="shared" si="10"/>
        <v>5385.5268964694669</v>
      </c>
      <c r="AO45" s="156">
        <f t="shared" si="11"/>
        <v>4846.9742068225205</v>
      </c>
      <c r="AP45" s="151"/>
      <c r="AQ45" s="151"/>
      <c r="AR45" s="151"/>
    </row>
    <row r="46" spans="2:44">
      <c r="B46" t="s">
        <v>177</v>
      </c>
      <c r="C46" t="s">
        <v>108</v>
      </c>
      <c r="D46">
        <v>13</v>
      </c>
      <c r="E46" s="49">
        <v>8.8435374149659872E-3</v>
      </c>
      <c r="F46" s="14">
        <v>105.2</v>
      </c>
      <c r="G46" s="1">
        <f t="shared" si="12"/>
        <v>46.517175572519086</v>
      </c>
      <c r="H46" s="14">
        <f t="shared" si="13"/>
        <v>4893.6068702290077</v>
      </c>
      <c r="K46">
        <v>31</v>
      </c>
      <c r="L46" t="s">
        <v>188</v>
      </c>
      <c r="M46" s="15">
        <v>4403.8121198115468</v>
      </c>
      <c r="N46" s="1">
        <v>46.517175572519086</v>
      </c>
      <c r="O46" s="17">
        <f t="shared" si="14"/>
        <v>8.8438133579859593E-3</v>
      </c>
      <c r="P46" s="1">
        <v>0</v>
      </c>
      <c r="Q46" s="17">
        <f t="shared" si="15"/>
        <v>0</v>
      </c>
      <c r="R46" s="1">
        <f t="shared" si="16"/>
        <v>0</v>
      </c>
      <c r="T46" s="28">
        <v>28</v>
      </c>
      <c r="U46" s="26" t="s">
        <v>148</v>
      </c>
      <c r="V46" s="128"/>
      <c r="X46" s="139"/>
      <c r="Y46" s="151"/>
      <c r="Z46" s="151"/>
      <c r="AA46" s="151">
        <v>28</v>
      </c>
      <c r="AB46" s="151" t="s">
        <v>148</v>
      </c>
      <c r="AC46" s="154">
        <v>128.81679389312978</v>
      </c>
      <c r="AD46" s="154">
        <f t="shared" si="18"/>
        <v>135.25763358778627</v>
      </c>
      <c r="AE46" s="156">
        <v>18.329999999999998</v>
      </c>
      <c r="AF46" s="156">
        <v>3.3600000000000003</v>
      </c>
      <c r="AG46" s="154">
        <v>1</v>
      </c>
      <c r="AH46" s="153">
        <f>AG46*'FeilLønnskost og Tidsbruk'!$C$15</f>
        <v>4.2191248263888887</v>
      </c>
      <c r="AI46" s="156">
        <f>AE46-AF46-AH46</f>
        <v>10.75087517361111</v>
      </c>
      <c r="AJ46" s="156">
        <f>AI46*AD46</f>
        <v>1454.1379349803196</v>
      </c>
      <c r="AK46" s="156">
        <f>AF46*AD46</f>
        <v>454.4656488549619</v>
      </c>
      <c r="AL46" s="151"/>
      <c r="AM46" s="156">
        <f>AD46*AE46</f>
        <v>2479.272423664122</v>
      </c>
      <c r="AN46" s="156">
        <f t="shared" si="10"/>
        <v>1239.636211832061</v>
      </c>
      <c r="AO46" s="156">
        <f t="shared" si="11"/>
        <v>1115.672590648855</v>
      </c>
      <c r="AP46" s="151"/>
      <c r="AQ46" s="151"/>
      <c r="AR46" s="151"/>
    </row>
    <row r="47" spans="2:44">
      <c r="B47" t="s">
        <v>177</v>
      </c>
      <c r="C47" t="s">
        <v>103</v>
      </c>
      <c r="D47">
        <v>13</v>
      </c>
      <c r="E47" s="49">
        <v>8.8435374149659872E-3</v>
      </c>
      <c r="F47" s="14">
        <v>70.010000000000005</v>
      </c>
      <c r="G47" s="1">
        <f t="shared" si="12"/>
        <v>46.517175572519086</v>
      </c>
      <c r="H47" s="14">
        <f t="shared" si="13"/>
        <v>3256.6674618320617</v>
      </c>
      <c r="J47" s="14"/>
      <c r="K47">
        <v>32</v>
      </c>
      <c r="L47" t="s">
        <v>126</v>
      </c>
      <c r="M47" s="15">
        <v>4078.1607824427474</v>
      </c>
      <c r="N47" s="1">
        <v>39.360687022900763</v>
      </c>
      <c r="O47" s="17">
        <f t="shared" si="14"/>
        <v>7.4832266875265799E-3</v>
      </c>
      <c r="P47" s="1">
        <v>0</v>
      </c>
      <c r="Q47" s="17">
        <f t="shared" si="15"/>
        <v>0</v>
      </c>
      <c r="R47" s="1">
        <f t="shared" si="16"/>
        <v>0</v>
      </c>
      <c r="T47" s="28">
        <v>29</v>
      </c>
      <c r="U47" s="26" t="s">
        <v>145</v>
      </c>
      <c r="V47" s="128"/>
      <c r="X47" s="139"/>
      <c r="Y47" s="151"/>
      <c r="Z47" s="151"/>
      <c r="AA47" s="151">
        <v>29</v>
      </c>
      <c r="AB47" s="151" t="s">
        <v>145</v>
      </c>
      <c r="AC47" s="154">
        <v>103.76908396946564</v>
      </c>
      <c r="AD47" s="154">
        <f t="shared" si="18"/>
        <v>108.95753816793892</v>
      </c>
      <c r="AE47" s="156">
        <v>66.67</v>
      </c>
      <c r="AF47" s="156">
        <v>4.29</v>
      </c>
      <c r="AG47" s="154">
        <v>5</v>
      </c>
      <c r="AH47" s="153">
        <f>AG47*'FeilLønnskost og Tidsbruk'!$C$15</f>
        <v>21.095624131944444</v>
      </c>
      <c r="AI47" s="156">
        <f>AE47-AF47-AH47</f>
        <v>41.284375868055562</v>
      </c>
      <c r="AJ47" s="156">
        <f>AI47*AD47</f>
        <v>4498.2439593832005</v>
      </c>
      <c r="AK47" s="156">
        <f>AF47*AD47</f>
        <v>467.42783874045796</v>
      </c>
      <c r="AL47" s="151"/>
      <c r="AM47" s="156">
        <f>AD47*AE47</f>
        <v>7264.1990696564881</v>
      </c>
      <c r="AN47" s="156">
        <f t="shared" si="10"/>
        <v>3632.099534828244</v>
      </c>
      <c r="AO47" s="156">
        <f t="shared" si="11"/>
        <v>3268.8895813454196</v>
      </c>
      <c r="AP47" s="151"/>
      <c r="AQ47" s="151"/>
      <c r="AR47" s="151"/>
    </row>
    <row r="48" spans="2:44">
      <c r="B48" t="s">
        <v>178</v>
      </c>
      <c r="C48" t="s">
        <v>126</v>
      </c>
      <c r="D48">
        <v>11</v>
      </c>
      <c r="E48" s="49">
        <v>7.4829931972789114E-3</v>
      </c>
      <c r="F48" s="14">
        <v>103.61</v>
      </c>
      <c r="G48" s="1">
        <f t="shared" si="12"/>
        <v>39.360687022900755</v>
      </c>
      <c r="H48" s="14">
        <f t="shared" si="13"/>
        <v>4078.1607824427474</v>
      </c>
      <c r="J48" s="14"/>
      <c r="K48">
        <v>33</v>
      </c>
      <c r="L48" t="s">
        <v>190</v>
      </c>
      <c r="M48" s="15">
        <v>4063.4541984732818</v>
      </c>
      <c r="N48" s="1">
        <v>35.782442748091604</v>
      </c>
      <c r="O48" s="17">
        <f t="shared" si="14"/>
        <v>6.8029333522968919E-3</v>
      </c>
      <c r="P48" s="1">
        <v>0</v>
      </c>
      <c r="Q48" s="17">
        <f t="shared" si="15"/>
        <v>0</v>
      </c>
      <c r="R48" s="1">
        <f t="shared" si="16"/>
        <v>0</v>
      </c>
      <c r="T48" s="28">
        <v>30</v>
      </c>
      <c r="U48" s="26" t="s">
        <v>147</v>
      </c>
      <c r="V48" s="128"/>
      <c r="X48" s="139"/>
      <c r="Y48" s="151"/>
      <c r="Z48" s="151"/>
      <c r="AA48" s="151">
        <v>30</v>
      </c>
      <c r="AB48" s="151" t="s">
        <v>147</v>
      </c>
      <c r="AC48" s="154">
        <v>67.986641221374043</v>
      </c>
      <c r="AD48" s="154">
        <f t="shared" si="18"/>
        <v>71.385973282442748</v>
      </c>
      <c r="AE48" s="156">
        <v>66.67</v>
      </c>
      <c r="AF48" s="156">
        <v>5.8100000000000005</v>
      </c>
      <c r="AG48" s="154">
        <v>5</v>
      </c>
      <c r="AH48" s="153">
        <f>AG48*'FeilLønnskost og Tidsbruk'!$C$15</f>
        <v>21.095624131944444</v>
      </c>
      <c r="AI48" s="156">
        <f>AE48-AF48-AH48</f>
        <v>39.764375868055552</v>
      </c>
      <c r="AJ48" s="156">
        <f>AI48*AD48</f>
        <v>2838.6186733100249</v>
      </c>
      <c r="AK48" s="156">
        <f>AF48*AD48</f>
        <v>414.7525047709924</v>
      </c>
      <c r="AL48" s="151"/>
      <c r="AM48" s="156">
        <f>AD48*AE48</f>
        <v>4759.3028387404584</v>
      </c>
      <c r="AN48" s="156">
        <f t="shared" si="10"/>
        <v>2379.6514193702292</v>
      </c>
      <c r="AO48" s="156">
        <f t="shared" si="11"/>
        <v>2141.6862774332062</v>
      </c>
      <c r="AP48" s="151"/>
      <c r="AQ48" s="151"/>
      <c r="AR48" s="151"/>
    </row>
    <row r="49" spans="2:44">
      <c r="B49" t="s">
        <v>179</v>
      </c>
      <c r="C49" t="s">
        <v>189</v>
      </c>
      <c r="D49">
        <v>10</v>
      </c>
      <c r="E49" s="49">
        <v>6.8027210884353739E-3</v>
      </c>
      <c r="F49" s="14">
        <v>207.55556381944444</v>
      </c>
      <c r="G49" s="1">
        <f t="shared" si="12"/>
        <v>35.782442748091597</v>
      </c>
      <c r="H49" s="14">
        <f t="shared" si="13"/>
        <v>7426.8450794171422</v>
      </c>
      <c r="J49" s="14"/>
      <c r="K49">
        <v>34</v>
      </c>
      <c r="L49" t="s">
        <v>151</v>
      </c>
      <c r="M49" s="15">
        <v>3674.4990458015259</v>
      </c>
      <c r="N49" s="1">
        <v>53.673664122137403</v>
      </c>
      <c r="O49" s="17">
        <f t="shared" si="14"/>
        <v>1.0204400028445337E-2</v>
      </c>
      <c r="P49" s="1">
        <v>0</v>
      </c>
      <c r="Q49" s="17">
        <f t="shared" si="15"/>
        <v>0</v>
      </c>
      <c r="R49" s="1">
        <f t="shared" si="16"/>
        <v>0</v>
      </c>
      <c r="T49" s="28"/>
      <c r="U49" s="26"/>
      <c r="V49" s="128"/>
      <c r="X49" s="139"/>
      <c r="Y49" s="151"/>
      <c r="Z49" s="151"/>
      <c r="AA49" s="151"/>
      <c r="AB49" s="151"/>
      <c r="AC49" s="154">
        <f>SUM(AC44:AC48)</f>
        <v>697.75763358778624</v>
      </c>
      <c r="AD49" s="154">
        <f t="shared" si="18"/>
        <v>732.6455152671756</v>
      </c>
      <c r="AE49" s="156"/>
      <c r="AF49" s="151"/>
      <c r="AG49" s="154"/>
      <c r="AH49" s="153"/>
      <c r="AI49" s="156"/>
      <c r="AJ49" s="156"/>
      <c r="AK49" s="156"/>
      <c r="AL49" s="151"/>
      <c r="AM49" s="156"/>
      <c r="AN49" s="156">
        <f t="shared" si="10"/>
        <v>0</v>
      </c>
      <c r="AO49" s="156">
        <f t="shared" si="11"/>
        <v>0</v>
      </c>
      <c r="AP49" s="151"/>
      <c r="AQ49" s="151"/>
      <c r="AR49" s="151"/>
    </row>
    <row r="50" spans="2:44" ht="16" thickBot="1">
      <c r="B50" t="s">
        <v>179</v>
      </c>
      <c r="C50" t="s">
        <v>136</v>
      </c>
      <c r="D50">
        <v>10</v>
      </c>
      <c r="E50" s="49">
        <v>6.8027210884353739E-3</v>
      </c>
      <c r="F50" s="14">
        <v>19.285379340277771</v>
      </c>
      <c r="G50" s="1">
        <f t="shared" si="12"/>
        <v>35.782442748091597</v>
      </c>
      <c r="H50" s="14">
        <f t="shared" si="13"/>
        <v>690.07798211871784</v>
      </c>
      <c r="K50">
        <v>35</v>
      </c>
      <c r="L50" t="s">
        <v>139</v>
      </c>
      <c r="M50" s="15">
        <v>3649.2775002981875</v>
      </c>
      <c r="N50" s="1">
        <v>21.46946564885496</v>
      </c>
      <c r="O50" s="17">
        <f t="shared" si="14"/>
        <v>4.0817600113781348E-3</v>
      </c>
      <c r="P50" s="1">
        <v>21</v>
      </c>
      <c r="Q50" s="17">
        <f t="shared" si="15"/>
        <v>5.2786016598525502E-3</v>
      </c>
      <c r="R50" s="1">
        <f t="shared" si="16"/>
        <v>27.764679132110377</v>
      </c>
      <c r="T50" s="29">
        <v>31</v>
      </c>
      <c r="U50" s="30" t="s">
        <v>143</v>
      </c>
      <c r="V50" s="129"/>
      <c r="X50" s="139"/>
      <c r="Y50" s="151"/>
      <c r="Z50" s="151"/>
      <c r="AA50" s="151"/>
      <c r="AB50" s="151"/>
      <c r="AC50" s="151"/>
      <c r="AD50" s="154"/>
      <c r="AE50" s="151"/>
      <c r="AF50" s="151"/>
      <c r="AG50" s="154"/>
      <c r="AH50" s="153"/>
      <c r="AI50" s="156"/>
      <c r="AJ50" s="156"/>
      <c r="AK50" s="156"/>
      <c r="AL50" s="151"/>
      <c r="AM50" s="156"/>
      <c r="AN50" s="156">
        <f t="shared" si="10"/>
        <v>0</v>
      </c>
      <c r="AO50" s="156">
        <f t="shared" si="11"/>
        <v>0</v>
      </c>
      <c r="AP50" s="151"/>
      <c r="AQ50" s="151"/>
      <c r="AR50" s="151"/>
    </row>
    <row r="51" spans="2:44">
      <c r="B51" t="s">
        <v>179</v>
      </c>
      <c r="C51" t="s">
        <v>190</v>
      </c>
      <c r="D51">
        <v>10</v>
      </c>
      <c r="E51" s="49">
        <v>6.8027210884353739E-3</v>
      </c>
      <c r="F51" s="14">
        <v>113.56</v>
      </c>
      <c r="G51" s="1">
        <f t="shared" si="12"/>
        <v>35.782442748091597</v>
      </c>
      <c r="H51" s="14">
        <f t="shared" si="13"/>
        <v>4063.4541984732818</v>
      </c>
      <c r="K51">
        <v>36</v>
      </c>
      <c r="L51" t="s">
        <v>120</v>
      </c>
      <c r="M51" s="15">
        <v>3307.3711832061067</v>
      </c>
      <c r="N51" s="1">
        <v>32.204198473282446</v>
      </c>
      <c r="O51" s="17">
        <f t="shared" si="14"/>
        <v>6.1226400170672031E-3</v>
      </c>
      <c r="P51" s="1">
        <v>0</v>
      </c>
      <c r="Q51" s="17">
        <f t="shared" si="15"/>
        <v>0</v>
      </c>
      <c r="R51" s="1">
        <f t="shared" si="16"/>
        <v>0</v>
      </c>
      <c r="X51" s="139"/>
      <c r="Y51" s="151"/>
      <c r="Z51" s="151"/>
      <c r="AA51" s="151"/>
      <c r="AB51" s="151"/>
      <c r="AC51" s="151"/>
      <c r="AD51" s="154"/>
      <c r="AE51" s="151"/>
      <c r="AF51" s="151"/>
      <c r="AG51" s="154"/>
      <c r="AH51" s="153"/>
      <c r="AI51" s="156"/>
      <c r="AJ51" s="156"/>
      <c r="AK51" s="156"/>
      <c r="AL51" s="151"/>
      <c r="AM51" s="156"/>
      <c r="AN51" s="156">
        <f t="shared" si="10"/>
        <v>0</v>
      </c>
      <c r="AO51" s="156">
        <f t="shared" si="11"/>
        <v>0</v>
      </c>
      <c r="AP51" s="151"/>
      <c r="AQ51" s="151"/>
      <c r="AR51" s="151"/>
    </row>
    <row r="52" spans="2:44">
      <c r="B52" t="s">
        <v>179</v>
      </c>
      <c r="C52" t="s">
        <v>117</v>
      </c>
      <c r="D52">
        <v>10</v>
      </c>
      <c r="E52" s="49">
        <v>6.8027210884353739E-3</v>
      </c>
      <c r="F52" s="14">
        <v>77.53</v>
      </c>
      <c r="G52" s="1">
        <f t="shared" si="12"/>
        <v>35.782442748091597</v>
      </c>
      <c r="H52" s="14">
        <f t="shared" si="13"/>
        <v>2774.2127862595416</v>
      </c>
      <c r="K52">
        <v>37</v>
      </c>
      <c r="L52" t="s">
        <v>103</v>
      </c>
      <c r="M52" s="15">
        <v>3256.6674618320617</v>
      </c>
      <c r="N52" s="1">
        <v>46.517175572519086</v>
      </c>
      <c r="O52" s="17">
        <f t="shared" si="14"/>
        <v>8.8438133579859593E-3</v>
      </c>
      <c r="P52" s="1">
        <v>0</v>
      </c>
      <c r="Q52" s="17">
        <f t="shared" si="15"/>
        <v>0</v>
      </c>
      <c r="R52" s="1">
        <f t="shared" si="16"/>
        <v>0</v>
      </c>
      <c r="X52" s="139"/>
      <c r="Y52" s="151"/>
      <c r="Z52" s="151"/>
      <c r="AA52" s="151"/>
      <c r="AB52" s="151"/>
      <c r="AC52" s="151"/>
      <c r="AD52" s="154"/>
      <c r="AE52" s="151"/>
      <c r="AF52" s="151"/>
      <c r="AG52" s="154"/>
      <c r="AH52" s="153"/>
      <c r="AI52" s="156"/>
      <c r="AJ52" s="156"/>
      <c r="AK52" s="156"/>
      <c r="AL52" s="151"/>
      <c r="AM52" s="156"/>
      <c r="AN52" s="156">
        <f t="shared" si="10"/>
        <v>0</v>
      </c>
      <c r="AO52" s="156">
        <f t="shared" si="11"/>
        <v>0</v>
      </c>
      <c r="AP52" s="151"/>
      <c r="AQ52" s="151"/>
      <c r="AR52" s="151"/>
    </row>
    <row r="53" spans="2:44">
      <c r="B53" t="s">
        <v>180</v>
      </c>
      <c r="C53" t="s">
        <v>120</v>
      </c>
      <c r="D53">
        <v>9</v>
      </c>
      <c r="E53" s="49">
        <v>6.1224489795918364E-3</v>
      </c>
      <c r="F53" s="14">
        <v>102.7</v>
      </c>
      <c r="G53" s="1">
        <f t="shared" si="12"/>
        <v>32.204198473282439</v>
      </c>
      <c r="H53" s="14">
        <f t="shared" si="13"/>
        <v>3307.3711832061067</v>
      </c>
      <c r="K53">
        <v>38</v>
      </c>
      <c r="L53" t="s">
        <v>104</v>
      </c>
      <c r="M53" s="15">
        <v>2813.3587786259541</v>
      </c>
      <c r="N53" s="1">
        <v>25.047709923664122</v>
      </c>
      <c r="O53" s="17">
        <f t="shared" si="14"/>
        <v>4.7620533466078236E-3</v>
      </c>
      <c r="P53" s="1">
        <v>0</v>
      </c>
      <c r="Q53" s="17">
        <f t="shared" si="15"/>
        <v>0</v>
      </c>
      <c r="R53" s="1">
        <f t="shared" si="16"/>
        <v>0</v>
      </c>
      <c r="X53" s="139"/>
      <c r="Y53" s="151"/>
      <c r="Z53" s="151"/>
      <c r="AA53" s="151">
        <v>32</v>
      </c>
      <c r="AB53" s="151" t="s">
        <v>143</v>
      </c>
      <c r="AC53" s="154">
        <v>519</v>
      </c>
      <c r="AD53" s="154">
        <f>AC53*$AE$2</f>
        <v>544.95000000000005</v>
      </c>
      <c r="AE53" s="156">
        <v>74.17</v>
      </c>
      <c r="AF53" s="151">
        <v>13.7</v>
      </c>
      <c r="AG53" s="154">
        <v>8</v>
      </c>
      <c r="AH53" s="153">
        <f>AG53*'FeilLønnskost og Tidsbruk'!$C$15</f>
        <v>33.75299861111111</v>
      </c>
      <c r="AI53" s="156">
        <f>AE53-AF53-AH53</f>
        <v>26.717001388888889</v>
      </c>
      <c r="AJ53" s="156">
        <f>AI53*AD53</f>
        <v>14559.429906875001</v>
      </c>
      <c r="AK53" s="156">
        <f>AF53*AD53</f>
        <v>7465.8150000000005</v>
      </c>
      <c r="AL53" s="151"/>
      <c r="AM53" s="156">
        <f>AD53*AE53</f>
        <v>40418.941500000001</v>
      </c>
      <c r="AN53" s="156">
        <f t="shared" si="10"/>
        <v>20209.47075</v>
      </c>
      <c r="AO53" s="156">
        <f t="shared" si="11"/>
        <v>18188.523675</v>
      </c>
      <c r="AP53" s="151"/>
      <c r="AQ53" s="151"/>
      <c r="AR53" s="151"/>
    </row>
    <row r="54" spans="2:44">
      <c r="B54" t="s">
        <v>180</v>
      </c>
      <c r="C54" t="s">
        <v>191</v>
      </c>
      <c r="D54">
        <v>9</v>
      </c>
      <c r="E54" s="49">
        <v>6.1224489795918364E-3</v>
      </c>
      <c r="F54" s="14">
        <v>77.92</v>
      </c>
      <c r="G54" s="1">
        <f t="shared" si="12"/>
        <v>32.204198473282439</v>
      </c>
      <c r="H54" s="14">
        <f t="shared" si="13"/>
        <v>2509.3511450381675</v>
      </c>
      <c r="K54">
        <v>39</v>
      </c>
      <c r="L54" t="s">
        <v>117</v>
      </c>
      <c r="M54" s="15">
        <v>2774.2127862595416</v>
      </c>
      <c r="N54" s="1">
        <v>35.782442748091604</v>
      </c>
      <c r="O54" s="17">
        <f t="shared" si="14"/>
        <v>6.8029333522968919E-3</v>
      </c>
      <c r="P54" s="1">
        <v>0</v>
      </c>
      <c r="Q54" s="17">
        <f t="shared" si="15"/>
        <v>0</v>
      </c>
      <c r="R54" s="1">
        <f t="shared" si="16"/>
        <v>0</v>
      </c>
      <c r="T54" s="1"/>
      <c r="X54" s="139"/>
      <c r="Y54" s="151"/>
      <c r="Z54" s="151"/>
      <c r="AA54" s="151"/>
      <c r="AB54" s="158"/>
      <c r="AC54" s="151"/>
      <c r="AD54" s="151"/>
      <c r="AE54" s="151"/>
      <c r="AF54" s="151"/>
      <c r="AG54" s="151"/>
      <c r="AH54" s="151"/>
      <c r="AI54" s="151"/>
      <c r="AJ54" s="151"/>
      <c r="AK54" s="151"/>
      <c r="AL54" s="151"/>
      <c r="AM54" s="156"/>
      <c r="AN54" s="156"/>
      <c r="AO54" s="156"/>
      <c r="AP54" s="156"/>
      <c r="AQ54" s="151"/>
      <c r="AR54" s="151"/>
    </row>
    <row r="55" spans="2:44">
      <c r="B55" t="s">
        <v>181</v>
      </c>
      <c r="C55" t="s">
        <v>104</v>
      </c>
      <c r="D55">
        <v>7</v>
      </c>
      <c r="E55" s="49">
        <v>4.7619047619047623E-3</v>
      </c>
      <c r="F55" s="14">
        <v>112.32</v>
      </c>
      <c r="G55" s="1">
        <f t="shared" si="12"/>
        <v>25.047709923664122</v>
      </c>
      <c r="H55" s="14">
        <f t="shared" si="13"/>
        <v>2813.3587786259541</v>
      </c>
      <c r="K55">
        <v>40</v>
      </c>
      <c r="L55" t="s">
        <v>119</v>
      </c>
      <c r="M55" s="15">
        <v>2575.9064885496186</v>
      </c>
      <c r="N55" s="1">
        <v>25.047709923664122</v>
      </c>
      <c r="O55" s="17">
        <f t="shared" si="14"/>
        <v>4.7620533466078236E-3</v>
      </c>
      <c r="P55" s="1">
        <v>0</v>
      </c>
      <c r="Q55" s="17">
        <f t="shared" si="15"/>
        <v>0</v>
      </c>
      <c r="R55" s="1">
        <f t="shared" si="16"/>
        <v>0</v>
      </c>
      <c r="T55" s="1"/>
      <c r="X55" s="139"/>
      <c r="Y55" s="151"/>
      <c r="Z55" s="151"/>
      <c r="AA55" s="151"/>
      <c r="AB55" s="158"/>
      <c r="AC55" s="151"/>
      <c r="AD55" s="151"/>
      <c r="AE55" s="151"/>
      <c r="AF55" s="151"/>
      <c r="AG55" s="151"/>
      <c r="AH55" s="151"/>
      <c r="AI55" s="151"/>
      <c r="AJ55" s="151"/>
      <c r="AK55" s="151"/>
      <c r="AL55" s="151"/>
      <c r="AM55" s="156"/>
      <c r="AN55" s="151"/>
      <c r="AO55" s="151"/>
      <c r="AP55" s="151"/>
      <c r="AQ55" s="151"/>
      <c r="AR55" s="151"/>
    </row>
    <row r="56" spans="2:44">
      <c r="B56" t="s">
        <v>181</v>
      </c>
      <c r="C56" t="s">
        <v>102</v>
      </c>
      <c r="D56">
        <v>7</v>
      </c>
      <c r="E56" s="49">
        <v>4.7619047619047623E-3</v>
      </c>
      <c r="F56" s="14">
        <v>68.45</v>
      </c>
      <c r="G56" s="1">
        <f t="shared" si="12"/>
        <v>25.047709923664122</v>
      </c>
      <c r="H56" s="14">
        <f t="shared" si="13"/>
        <v>1714.5157442748093</v>
      </c>
      <c r="J56" s="14"/>
      <c r="K56">
        <v>41</v>
      </c>
      <c r="L56" t="s">
        <v>191</v>
      </c>
      <c r="M56" s="15">
        <v>2509.3511450381675</v>
      </c>
      <c r="N56" s="1">
        <v>32.204198473282446</v>
      </c>
      <c r="O56" s="17">
        <f t="shared" si="14"/>
        <v>6.1226400170672031E-3</v>
      </c>
      <c r="P56" s="1">
        <v>0</v>
      </c>
      <c r="Q56" s="17">
        <f t="shared" si="15"/>
        <v>0</v>
      </c>
      <c r="R56" s="1">
        <f t="shared" si="16"/>
        <v>0</v>
      </c>
      <c r="T56" s="1"/>
      <c r="X56" s="139"/>
      <c r="Y56" s="151"/>
      <c r="Z56" s="151"/>
      <c r="AA56" s="151"/>
      <c r="AB56" s="158"/>
      <c r="AC56" s="151"/>
      <c r="AD56" s="151"/>
      <c r="AE56" s="151"/>
      <c r="AF56" s="151"/>
      <c r="AG56" s="151"/>
      <c r="AH56" s="151"/>
      <c r="AI56" s="151"/>
      <c r="AJ56" s="151"/>
      <c r="AK56" s="151"/>
      <c r="AL56" s="151"/>
      <c r="AM56" s="151"/>
      <c r="AN56" s="151"/>
      <c r="AO56" s="151"/>
      <c r="AP56" s="156"/>
      <c r="AQ56" s="151"/>
      <c r="AR56" s="151"/>
    </row>
    <row r="57" spans="2:44">
      <c r="B57" t="s">
        <v>181</v>
      </c>
      <c r="C57" t="s">
        <v>119</v>
      </c>
      <c r="D57">
        <v>7</v>
      </c>
      <c r="E57" s="49">
        <v>4.7619047619047623E-3</v>
      </c>
      <c r="F57" s="14">
        <v>102.84</v>
      </c>
      <c r="G57" s="1">
        <f t="shared" si="12"/>
        <v>25.047709923664122</v>
      </c>
      <c r="H57" s="14">
        <f t="shared" si="13"/>
        <v>2575.9064885496186</v>
      </c>
      <c r="I57" s="72"/>
      <c r="K57">
        <v>42</v>
      </c>
      <c r="L57" t="s">
        <v>142</v>
      </c>
      <c r="M57" s="15">
        <v>2429.2734225906488</v>
      </c>
      <c r="N57" s="1">
        <v>14.31297709923664</v>
      </c>
      <c r="O57" s="17">
        <f t="shared" si="14"/>
        <v>2.7211733409187562E-3</v>
      </c>
      <c r="P57" s="1">
        <v>0</v>
      </c>
      <c r="Q57" s="17">
        <f t="shared" si="15"/>
        <v>0</v>
      </c>
      <c r="R57" s="1">
        <f t="shared" si="16"/>
        <v>0</v>
      </c>
      <c r="T57" s="1"/>
      <c r="X57" s="139"/>
      <c r="Y57" s="151"/>
      <c r="Z57" s="158" t="s">
        <v>347</v>
      </c>
      <c r="AA57" s="151"/>
      <c r="AB57" s="151"/>
      <c r="AC57" s="154">
        <f>AC53+AC49+AC41+AC9+AC34</f>
        <v>7499.5921972970154</v>
      </c>
      <c r="AD57" s="154">
        <f>AD53+AD49+AD41+AD9+AD34</f>
        <v>7874.5718071618667</v>
      </c>
      <c r="AE57" s="151"/>
      <c r="AF57" s="151"/>
      <c r="AG57" s="151"/>
      <c r="AH57" s="151"/>
      <c r="AI57" s="151"/>
      <c r="AJ57" s="156"/>
      <c r="AK57" s="156"/>
      <c r="AL57" s="151"/>
      <c r="AM57" s="151"/>
      <c r="AN57" s="151"/>
      <c r="AO57" s="151"/>
      <c r="AP57" s="151"/>
      <c r="AQ57" s="151"/>
      <c r="AR57" s="151"/>
    </row>
    <row r="58" spans="2:44">
      <c r="B58" t="s">
        <v>182</v>
      </c>
      <c r="C58" t="s">
        <v>139</v>
      </c>
      <c r="D58">
        <v>6</v>
      </c>
      <c r="E58" s="49">
        <v>4.0816326530612249E-3</v>
      </c>
      <c r="F58" s="14">
        <v>169.97523645833337</v>
      </c>
      <c r="G58" s="1">
        <f t="shared" si="12"/>
        <v>21.46946564885496</v>
      </c>
      <c r="H58" s="14">
        <f t="shared" si="13"/>
        <v>3649.2775002981875</v>
      </c>
      <c r="I58" s="72"/>
      <c r="K58">
        <v>43</v>
      </c>
      <c r="L58" t="s">
        <v>128</v>
      </c>
      <c r="M58" s="15">
        <v>1950.500954198473</v>
      </c>
      <c r="N58" s="1">
        <v>21.46946564885496</v>
      </c>
      <c r="O58" s="17">
        <f t="shared" si="14"/>
        <v>4.0817600113781348E-3</v>
      </c>
      <c r="P58" s="1">
        <v>0</v>
      </c>
      <c r="Q58" s="17">
        <f t="shared" si="15"/>
        <v>0</v>
      </c>
      <c r="R58" s="1">
        <f t="shared" si="16"/>
        <v>0</v>
      </c>
      <c r="T58" s="1"/>
      <c r="X58" s="139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</row>
    <row r="59" spans="2:44">
      <c r="B59" t="s">
        <v>182</v>
      </c>
      <c r="C59" t="s">
        <v>128</v>
      </c>
      <c r="D59">
        <v>6</v>
      </c>
      <c r="E59" s="49">
        <v>4.0816326530612249E-3</v>
      </c>
      <c r="F59" s="14">
        <v>90.85</v>
      </c>
      <c r="G59" s="1">
        <f t="shared" si="12"/>
        <v>21.46946564885496</v>
      </c>
      <c r="H59" s="14">
        <f t="shared" si="13"/>
        <v>1950.500954198473</v>
      </c>
      <c r="K59">
        <v>44</v>
      </c>
      <c r="L59" t="s">
        <v>102</v>
      </c>
      <c r="M59" s="15">
        <v>1714.5157442748093</v>
      </c>
      <c r="N59" s="1">
        <v>25.047709923664122</v>
      </c>
      <c r="O59" s="17">
        <f t="shared" si="14"/>
        <v>4.7620533466078236E-3</v>
      </c>
      <c r="P59" s="1">
        <v>0</v>
      </c>
      <c r="Q59" s="17">
        <f t="shared" si="15"/>
        <v>0</v>
      </c>
      <c r="R59" s="1">
        <f t="shared" si="16"/>
        <v>0</v>
      </c>
      <c r="T59" s="1"/>
      <c r="X59" s="159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</row>
    <row r="60" spans="2:44">
      <c r="B60" t="s">
        <v>183</v>
      </c>
      <c r="C60" t="s">
        <v>142</v>
      </c>
      <c r="D60">
        <v>4</v>
      </c>
      <c r="E60" s="49">
        <v>2.7210884353741495E-3</v>
      </c>
      <c r="F60" s="14">
        <v>169.72523645833337</v>
      </c>
      <c r="G60" s="1">
        <f t="shared" si="12"/>
        <v>14.312977099236639</v>
      </c>
      <c r="H60" s="14">
        <f t="shared" si="13"/>
        <v>2429.2734225906488</v>
      </c>
      <c r="J60" s="14"/>
      <c r="K60">
        <v>45</v>
      </c>
      <c r="L60" t="s">
        <v>132</v>
      </c>
      <c r="M60" s="15">
        <v>1468.7977099236639</v>
      </c>
      <c r="N60" s="1">
        <v>14</v>
      </c>
      <c r="O60" s="17">
        <f t="shared" si="14"/>
        <v>2.6616703505306662E-3</v>
      </c>
      <c r="P60" s="1">
        <v>14</v>
      </c>
      <c r="Q60" s="17">
        <f t="shared" si="15"/>
        <v>3.5190677732350336E-3</v>
      </c>
      <c r="R60" s="1">
        <f t="shared" si="16"/>
        <v>18.509786088073586</v>
      </c>
      <c r="T60" s="1"/>
      <c r="X60" s="159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</row>
    <row r="61" spans="2:44">
      <c r="B61" t="s">
        <v>183</v>
      </c>
      <c r="C61" t="s">
        <v>186</v>
      </c>
      <c r="D61">
        <v>4</v>
      </c>
      <c r="E61" s="49">
        <v>2.7210884353741495E-3</v>
      </c>
      <c r="F61" s="14">
        <v>66.09</v>
      </c>
      <c r="G61" s="1">
        <f t="shared" si="12"/>
        <v>14.312977099236639</v>
      </c>
      <c r="H61" s="14">
        <f t="shared" si="13"/>
        <v>945.94465648854953</v>
      </c>
      <c r="K61">
        <v>46</v>
      </c>
      <c r="L61" t="s">
        <v>186</v>
      </c>
      <c r="M61" s="15">
        <v>945.94465648854953</v>
      </c>
      <c r="N61" s="1">
        <v>14.31297709923664</v>
      </c>
      <c r="O61" s="17">
        <f t="shared" si="14"/>
        <v>2.7211733409187562E-3</v>
      </c>
      <c r="P61" s="1">
        <v>0</v>
      </c>
      <c r="Q61" s="17">
        <f t="shared" si="15"/>
        <v>0</v>
      </c>
      <c r="R61" s="1">
        <f t="shared" si="16"/>
        <v>0</v>
      </c>
      <c r="T61" s="1"/>
      <c r="X61" s="159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</row>
    <row r="62" spans="2:44">
      <c r="B62" t="s">
        <v>183</v>
      </c>
      <c r="C62" t="s">
        <v>132</v>
      </c>
      <c r="D62">
        <v>4</v>
      </c>
      <c r="E62" s="49">
        <v>2.7210884353741495E-3</v>
      </c>
      <c r="F62" s="14">
        <v>102.62</v>
      </c>
      <c r="G62" s="1">
        <f t="shared" si="12"/>
        <v>14.312977099236639</v>
      </c>
      <c r="H62" s="14">
        <f t="shared" si="13"/>
        <v>1468.7977099236639</v>
      </c>
      <c r="K62">
        <v>47</v>
      </c>
      <c r="L62" t="s">
        <v>136</v>
      </c>
      <c r="M62" s="15">
        <v>690.07798211871784</v>
      </c>
      <c r="N62" s="1">
        <v>35.782442748091604</v>
      </c>
      <c r="O62" s="17">
        <f t="shared" si="14"/>
        <v>6.8029333522968919E-3</v>
      </c>
      <c r="P62" s="1">
        <v>0</v>
      </c>
      <c r="Q62" s="17">
        <f t="shared" si="15"/>
        <v>0</v>
      </c>
      <c r="R62" s="1">
        <f t="shared" si="16"/>
        <v>0</v>
      </c>
      <c r="T62" s="1"/>
      <c r="X62" s="159"/>
      <c r="Y62" s="151"/>
      <c r="Z62" s="156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</row>
    <row r="63" spans="2:44">
      <c r="C63" t="s">
        <v>44</v>
      </c>
      <c r="D63">
        <v>1470</v>
      </c>
      <c r="E63" s="49">
        <v>1</v>
      </c>
      <c r="I63" s="127" t="s">
        <v>334</v>
      </c>
      <c r="J63" s="127">
        <v>175.33396946564886</v>
      </c>
      <c r="L63" t="s">
        <v>44</v>
      </c>
      <c r="N63" s="1">
        <f>SUM(N16:N62)</f>
        <v>5259.8549618320585</v>
      </c>
      <c r="O63" s="17">
        <f>SUM(O16:O62)</f>
        <v>1.0000000000000002</v>
      </c>
      <c r="P63" s="1">
        <f>SUM(P16:P62)</f>
        <v>3978.3263358778627</v>
      </c>
      <c r="Q63" s="17">
        <f>SUM(Q16:Q62)</f>
        <v>0.99999999999999978</v>
      </c>
      <c r="R63" s="1">
        <f>SUM(R16:R62)</f>
        <v>5259.8549618320576</v>
      </c>
      <c r="T63" s="1"/>
      <c r="X63" s="159"/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</row>
    <row r="64" spans="2:44">
      <c r="E64" s="49"/>
      <c r="T64" s="1"/>
      <c r="X64" s="159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</row>
    <row r="65" spans="2:44">
      <c r="B65" t="s">
        <v>195</v>
      </c>
      <c r="E65" s="49" t="s">
        <v>340</v>
      </c>
      <c r="F65" t="s">
        <v>319</v>
      </c>
      <c r="G65" t="s">
        <v>320</v>
      </c>
      <c r="H65" t="s">
        <v>341</v>
      </c>
      <c r="J65" s="14"/>
      <c r="L65" t="s">
        <v>94</v>
      </c>
      <c r="M65" t="s">
        <v>341</v>
      </c>
      <c r="R65" t="s">
        <v>421</v>
      </c>
      <c r="T65" s="1"/>
      <c r="X65" s="159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</row>
    <row r="66" spans="2:44">
      <c r="B66" t="s">
        <v>152</v>
      </c>
      <c r="C66" t="s">
        <v>137</v>
      </c>
      <c r="D66">
        <v>15</v>
      </c>
      <c r="E66" s="49">
        <v>0.30612244897959184</v>
      </c>
      <c r="F66" s="14">
        <v>31.501317708333339</v>
      </c>
      <c r="G66" s="1">
        <f>$J$63*E66</f>
        <v>53.67366412213741</v>
      </c>
      <c r="H66" s="14">
        <f>G66*F66</f>
        <v>1690.7911460818229</v>
      </c>
      <c r="K66">
        <v>26</v>
      </c>
      <c r="L66" s="73" t="s">
        <v>137</v>
      </c>
      <c r="M66" s="14">
        <v>1690.7911460818229</v>
      </c>
      <c r="N66" s="1"/>
      <c r="O66" s="62"/>
      <c r="R66" s="1">
        <v>53.67366412213741</v>
      </c>
      <c r="T66" s="1"/>
      <c r="X66" s="15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  <c r="AN66" s="139"/>
      <c r="AO66" s="139"/>
      <c r="AP66" s="139"/>
      <c r="AQ66" s="139"/>
      <c r="AR66" s="139"/>
    </row>
    <row r="67" spans="2:44">
      <c r="B67" t="s">
        <v>156</v>
      </c>
      <c r="C67" t="s">
        <v>59</v>
      </c>
      <c r="D67">
        <v>15</v>
      </c>
      <c r="E67" s="49">
        <v>0.30612244897959184</v>
      </c>
      <c r="F67" s="14">
        <v>10.562902083333334</v>
      </c>
      <c r="G67" s="1">
        <f>$J$63*E67</f>
        <v>53.67366412213741</v>
      </c>
      <c r="H67" s="14">
        <f t="shared" ref="H67:H69" si="19">G67*F67</f>
        <v>566.94965857585885</v>
      </c>
      <c r="K67">
        <v>27</v>
      </c>
      <c r="L67" s="73" t="s">
        <v>59</v>
      </c>
      <c r="M67" s="14">
        <v>566.94965857585885</v>
      </c>
      <c r="N67" s="1"/>
      <c r="O67" s="62"/>
      <c r="R67" s="1">
        <v>53.67366412213741</v>
      </c>
      <c r="T67" s="1"/>
      <c r="X67" s="15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  <c r="AN67" s="139"/>
      <c r="AO67" s="139"/>
      <c r="AP67" s="139"/>
      <c r="AQ67" s="139"/>
      <c r="AR67" s="139"/>
    </row>
    <row r="68" spans="2:44">
      <c r="B68" t="s">
        <v>155</v>
      </c>
      <c r="C68" t="s">
        <v>138</v>
      </c>
      <c r="D68">
        <v>11</v>
      </c>
      <c r="E68" s="49">
        <v>0.22448979591836735</v>
      </c>
      <c r="F68" s="14">
        <v>27.844317708333335</v>
      </c>
      <c r="G68" s="1">
        <f>$J$63*E68</f>
        <v>39.360687022900763</v>
      </c>
      <c r="H68" s="14">
        <f t="shared" si="19"/>
        <v>1095.9714746839218</v>
      </c>
      <c r="K68">
        <v>28</v>
      </c>
      <c r="L68" s="73" t="s">
        <v>138</v>
      </c>
      <c r="M68" s="14">
        <v>1095.9714746839218</v>
      </c>
      <c r="N68" s="1"/>
      <c r="O68" s="62"/>
      <c r="R68" s="1">
        <v>39.360687022900763</v>
      </c>
      <c r="T68" s="1"/>
      <c r="X68" s="17"/>
    </row>
    <row r="69" spans="2:44">
      <c r="B69" t="s">
        <v>154</v>
      </c>
      <c r="C69" t="s">
        <v>135</v>
      </c>
      <c r="D69">
        <v>8</v>
      </c>
      <c r="E69" s="49">
        <v>0.16326530612244897</v>
      </c>
      <c r="F69" s="14">
        <v>17.854502083333344</v>
      </c>
      <c r="G69" s="1">
        <f>$J$63*E69</f>
        <v>28.625954198473281</v>
      </c>
      <c r="H69" s="14">
        <f t="shared" si="19"/>
        <v>511.1021588740461</v>
      </c>
      <c r="K69">
        <v>29</v>
      </c>
      <c r="L69" s="73" t="s">
        <v>135</v>
      </c>
      <c r="M69" s="14">
        <v>511.1021588740461</v>
      </c>
      <c r="N69" s="1"/>
      <c r="O69" s="62"/>
      <c r="R69" s="1">
        <v>28.625954198473281</v>
      </c>
      <c r="T69" s="1"/>
      <c r="X69" s="17"/>
    </row>
    <row r="70" spans="2:44">
      <c r="C70" t="s">
        <v>44</v>
      </c>
      <c r="D70">
        <v>49</v>
      </c>
      <c r="E70" s="49">
        <v>1</v>
      </c>
      <c r="L70" s="73" t="s">
        <v>44</v>
      </c>
      <c r="M70" s="14"/>
      <c r="N70" s="1"/>
      <c r="O70" s="62"/>
      <c r="R70" s="1">
        <f>SUM(R66:R69)</f>
        <v>175.33396946564886</v>
      </c>
      <c r="T70" s="1"/>
      <c r="X70" s="17"/>
    </row>
    <row r="71" spans="2:44">
      <c r="E71" s="49"/>
      <c r="I71" s="127" t="s">
        <v>335</v>
      </c>
      <c r="J71" s="127">
        <v>697.75763358778624</v>
      </c>
      <c r="T71" s="1"/>
    </row>
    <row r="72" spans="2:44">
      <c r="B72" t="s">
        <v>197</v>
      </c>
      <c r="E72" s="49" t="s">
        <v>340</v>
      </c>
      <c r="F72" t="s">
        <v>319</v>
      </c>
      <c r="G72" t="s">
        <v>320</v>
      </c>
      <c r="H72" t="s">
        <v>341</v>
      </c>
      <c r="L72" t="s">
        <v>144</v>
      </c>
      <c r="R72" t="s">
        <v>421</v>
      </c>
      <c r="T72" s="1"/>
    </row>
    <row r="73" spans="2:44">
      <c r="B73" t="s">
        <v>198</v>
      </c>
      <c r="C73" t="s">
        <v>146</v>
      </c>
      <c r="D73">
        <v>68</v>
      </c>
      <c r="E73" s="49">
        <v>0.3487179487179487</v>
      </c>
      <c r="F73" s="14">
        <v>40.275942534722233</v>
      </c>
      <c r="G73" s="1">
        <f>$J$71*E73</f>
        <v>243.32061068702288</v>
      </c>
      <c r="H73" s="14">
        <f>G73*F73</f>
        <v>9799.966933544054</v>
      </c>
      <c r="K73">
        <v>30</v>
      </c>
      <c r="L73" t="s">
        <v>146</v>
      </c>
      <c r="M73">
        <v>243.32061068702288</v>
      </c>
      <c r="R73" s="1">
        <v>243.32061068702288</v>
      </c>
      <c r="T73" s="1"/>
    </row>
    <row r="74" spans="2:44">
      <c r="B74" t="s">
        <v>199</v>
      </c>
      <c r="C74" t="s">
        <v>149</v>
      </c>
      <c r="D74">
        <v>43</v>
      </c>
      <c r="E74" s="49">
        <v>0.22051282051282051</v>
      </c>
      <c r="F74" s="14">
        <v>39.621042534722221</v>
      </c>
      <c r="G74" s="1">
        <f>$J$71*E74</f>
        <v>153.8645038167939</v>
      </c>
      <c r="H74" s="14">
        <f t="shared" ref="H74:H77" si="20">G74*F74</f>
        <v>6096.2720503091205</v>
      </c>
      <c r="K74">
        <v>31</v>
      </c>
      <c r="L74" t="s">
        <v>149</v>
      </c>
      <c r="M74">
        <v>153.8645038167939</v>
      </c>
      <c r="R74" s="1">
        <v>153.8645038167939</v>
      </c>
      <c r="T74" s="1"/>
    </row>
    <row r="75" spans="2:44">
      <c r="B75" t="s">
        <v>200</v>
      </c>
      <c r="C75" t="s">
        <v>148</v>
      </c>
      <c r="D75">
        <v>36</v>
      </c>
      <c r="E75" s="49">
        <v>0.18461538461538463</v>
      </c>
      <c r="F75" s="14">
        <v>10.754208506944448</v>
      </c>
      <c r="G75" s="1">
        <f>$J$71*E75</f>
        <v>128.81679389312978</v>
      </c>
      <c r="H75" s="14">
        <f t="shared" si="20"/>
        <v>1385.3226607228059</v>
      </c>
      <c r="K75">
        <v>32</v>
      </c>
      <c r="L75" t="s">
        <v>148</v>
      </c>
      <c r="M75">
        <v>128.81679389312978</v>
      </c>
      <c r="R75" s="1">
        <v>128.81679389312978</v>
      </c>
      <c r="T75" s="1"/>
    </row>
    <row r="76" spans="2:44">
      <c r="B76" t="s">
        <v>201</v>
      </c>
      <c r="C76" t="s">
        <v>145</v>
      </c>
      <c r="D76">
        <v>29</v>
      </c>
      <c r="E76" s="49">
        <v>0.14871794871794872</v>
      </c>
      <c r="F76" s="14">
        <v>41.281042534722232</v>
      </c>
      <c r="G76" s="1">
        <f>$J$71*E76</f>
        <v>103.76908396946564</v>
      </c>
      <c r="H76" s="14">
        <f t="shared" si="20"/>
        <v>4283.6959691326738</v>
      </c>
      <c r="K76">
        <v>33</v>
      </c>
      <c r="L76" t="s">
        <v>145</v>
      </c>
      <c r="M76">
        <v>103.76908396946564</v>
      </c>
      <c r="R76" s="1">
        <v>103.76908396946564</v>
      </c>
      <c r="T76" s="1"/>
    </row>
    <row r="77" spans="2:44">
      <c r="B77" t="s">
        <v>202</v>
      </c>
      <c r="C77" t="s">
        <v>147</v>
      </c>
      <c r="D77">
        <v>19</v>
      </c>
      <c r="E77" s="49">
        <v>9.7435897435897437E-2</v>
      </c>
      <c r="F77" s="14">
        <v>39.761042534722222</v>
      </c>
      <c r="G77" s="1">
        <f>$J$71*E77</f>
        <v>67.986641221374043</v>
      </c>
      <c r="H77" s="14">
        <f t="shared" si="20"/>
        <v>2703.2197333959525</v>
      </c>
      <c r="K77">
        <v>34</v>
      </c>
      <c r="L77" t="s">
        <v>147</v>
      </c>
      <c r="M77">
        <v>67.986641221374043</v>
      </c>
      <c r="R77" s="1">
        <v>67.986641221374043</v>
      </c>
      <c r="T77" s="1"/>
    </row>
    <row r="78" spans="2:44">
      <c r="C78" t="s">
        <v>44</v>
      </c>
      <c r="D78">
        <v>195</v>
      </c>
      <c r="E78" s="49">
        <v>1</v>
      </c>
      <c r="R78" s="1">
        <f>SUM(R73:R77)</f>
        <v>697.75763358778624</v>
      </c>
      <c r="T78" s="1"/>
    </row>
    <row r="79" spans="2:44">
      <c r="E79" s="49"/>
      <c r="T79" s="1"/>
    </row>
    <row r="80" spans="2:44">
      <c r="C80" t="s">
        <v>143</v>
      </c>
      <c r="D80">
        <v>145</v>
      </c>
      <c r="E80" s="49">
        <v>1</v>
      </c>
      <c r="F80" s="14">
        <v>26.713668055555559</v>
      </c>
      <c r="G80">
        <v>519</v>
      </c>
      <c r="H80" s="14">
        <f>G80*F80</f>
        <v>13864.393720833335</v>
      </c>
      <c r="K80">
        <v>35</v>
      </c>
      <c r="L80" t="s">
        <v>143</v>
      </c>
      <c r="M80">
        <v>518.84541984732823</v>
      </c>
      <c r="R80" s="1">
        <v>519</v>
      </c>
      <c r="T80" s="1"/>
    </row>
    <row r="81" spans="20:20">
      <c r="T81" s="1"/>
    </row>
    <row r="82" spans="20:20">
      <c r="T82" s="1"/>
    </row>
    <row r="83" spans="20:20">
      <c r="T83" s="1"/>
    </row>
  </sheetData>
  <sortState ref="L16:M62">
    <sortCondition descending="1" ref="M16:M62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Y59"/>
  <sheetViews>
    <sheetView zoomScale="88" zoomScaleNormal="88" zoomScalePageLayoutView="88" workbookViewId="0">
      <selection activeCell="T60" sqref="T60"/>
    </sheetView>
  </sheetViews>
  <sheetFormatPr baseColWidth="10" defaultRowHeight="15" x14ac:dyDescent="0"/>
  <cols>
    <col min="4" max="4" width="20" bestFit="1" customWidth="1"/>
    <col min="5" max="5" width="13" bestFit="1" customWidth="1"/>
    <col min="7" max="7" width="14.1640625" bestFit="1" customWidth="1"/>
    <col min="8" max="8" width="12" bestFit="1" customWidth="1"/>
    <col min="9" max="9" width="12.83203125" bestFit="1" customWidth="1"/>
    <col min="10" max="10" width="12" bestFit="1" customWidth="1"/>
    <col min="12" max="12" width="19.33203125" bestFit="1" customWidth="1"/>
    <col min="16" max="16" width="17.1640625" bestFit="1" customWidth="1"/>
    <col min="19" max="19" width="15.83203125" bestFit="1" customWidth="1"/>
    <col min="20" max="20" width="13.5" bestFit="1" customWidth="1"/>
    <col min="22" max="22" width="11.83203125" bestFit="1" customWidth="1"/>
  </cols>
  <sheetData>
    <row r="2" spans="2:20">
      <c r="F2" t="s">
        <v>374</v>
      </c>
      <c r="G2">
        <f>1-0.02</f>
        <v>0.98</v>
      </c>
      <c r="I2" t="s">
        <v>385</v>
      </c>
      <c r="K2">
        <v>0.9</v>
      </c>
    </row>
    <row r="4" spans="2:20">
      <c r="F4" t="s">
        <v>352</v>
      </c>
      <c r="G4" s="2">
        <v>1.05</v>
      </c>
    </row>
    <row r="6" spans="2:20">
      <c r="B6" t="s">
        <v>372</v>
      </c>
      <c r="J6" s="14"/>
      <c r="K6" s="63"/>
    </row>
    <row r="7" spans="2:20">
      <c r="D7" t="s">
        <v>330</v>
      </c>
      <c r="E7" t="s">
        <v>353</v>
      </c>
      <c r="F7" t="s">
        <v>351</v>
      </c>
      <c r="G7" t="s">
        <v>346</v>
      </c>
      <c r="H7" t="s">
        <v>373</v>
      </c>
      <c r="I7" s="1" t="s">
        <v>375</v>
      </c>
      <c r="J7" s="14" t="s">
        <v>379</v>
      </c>
      <c r="K7" s="63" t="s">
        <v>376</v>
      </c>
      <c r="L7" t="s">
        <v>377</v>
      </c>
      <c r="O7" t="s">
        <v>239</v>
      </c>
      <c r="P7" t="s">
        <v>387</v>
      </c>
      <c r="R7" t="s">
        <v>429</v>
      </c>
      <c r="S7" t="s">
        <v>428</v>
      </c>
      <c r="T7" t="s">
        <v>426</v>
      </c>
    </row>
    <row r="8" spans="2:20">
      <c r="C8">
        <v>1</v>
      </c>
      <c r="D8" s="73" t="s">
        <v>95</v>
      </c>
      <c r="E8" s="1">
        <v>591.83972602739698</v>
      </c>
      <c r="F8" s="1">
        <f>E8*$G$4</f>
        <v>621.43171232876682</v>
      </c>
      <c r="G8" s="71">
        <v>45</v>
      </c>
      <c r="H8" s="79">
        <f>'Mengde råvarer i hver rett'!F3*Biff*Rab+'Mengde råvarer i hver rett'!H3*Indrefilet*Rab+'Mengde råvarer i hver rett'!X3*'Prisliste og råvarekost + Svinn'!C27+'Mengde råvarer i hver rett'!Z3*Gulrot+'Mengde råvarer i hver rett'!AB3*Løk+Div+'Mengde råvarer i hver rett'!AM3*Isbergsalat+'Mengde råvarer i hver rett'!AO3*'Prisliste og råvarekost + Svinn'!C44</f>
        <v>8.9819019999999998</v>
      </c>
      <c r="I8" s="1">
        <f>F8-E8</f>
        <v>29.591986301369843</v>
      </c>
      <c r="J8" s="14">
        <f>G8*I8</f>
        <v>1331.6393835616429</v>
      </c>
      <c r="K8" s="63">
        <f>J8/2</f>
        <v>665.81969178082147</v>
      </c>
      <c r="L8" s="34">
        <f>J8/2*$K$2</f>
        <v>599.23772260273938</v>
      </c>
      <c r="M8" s="34"/>
      <c r="O8" s="34">
        <f>H8*I8</f>
        <v>265.7923209442464</v>
      </c>
      <c r="P8" s="32">
        <f>('Prisliste og råvarekost + Svinn'!K5-'Beregning av resultateffekt'!H8)*'Beregning av resultateffekt'!E8</f>
        <v>76.405324950685383</v>
      </c>
      <c r="R8" s="34">
        <f>(F8*0.5)*G8</f>
        <v>13982.213527397253</v>
      </c>
      <c r="S8" s="34">
        <f>F8/2*$K$2*G8</f>
        <v>12583.992174657529</v>
      </c>
      <c r="T8" s="34">
        <f>F8*H8</f>
        <v>5581.6387398291754</v>
      </c>
    </row>
    <row r="9" spans="2:20">
      <c r="C9">
        <v>2</v>
      </c>
      <c r="D9" s="73" t="s">
        <v>101</v>
      </c>
      <c r="E9" s="1">
        <v>181.87625570776299</v>
      </c>
      <c r="F9" s="1">
        <f t="shared" ref="F9:F55" si="0">E9*$G$4</f>
        <v>190.97006849315116</v>
      </c>
      <c r="G9" s="71">
        <v>54.17</v>
      </c>
      <c r="H9" s="79">
        <f>'Mengde råvarer i hver rett'!I9*Kylling*Rab+'Mengde råvarer i hver rett'!U9*'Prisliste og råvarekost + Svinn'!C21+'Mengde råvarer i hver rett'!Z9*Gulrot+Div</f>
        <v>2.7817600000000002</v>
      </c>
      <c r="I9" s="1">
        <f t="shared" ref="I9:I55" si="1">F9-E9</f>
        <v>9.0938127853881667</v>
      </c>
      <c r="J9" s="14">
        <f t="shared" ref="J9:J55" si="2">G9*I9</f>
        <v>492.61183858447703</v>
      </c>
      <c r="K9" s="63">
        <f t="shared" ref="K9:K55" si="3">J9/2</f>
        <v>246.30591929223851</v>
      </c>
      <c r="L9" s="34">
        <f t="shared" ref="L9:L55" si="4">J9/2*$K$2</f>
        <v>221.67532736301467</v>
      </c>
      <c r="M9" s="34"/>
      <c r="O9" s="34">
        <f t="shared" ref="O9:O55" si="5">H9*I9</f>
        <v>25.296804653881388</v>
      </c>
      <c r="P9" s="15">
        <f>('Prisliste og råvarekost + Svinn'!K11-'Beregning av resultateffekt'!H9)*'Beregning av resultateffekt'!E9</f>
        <v>6.0382916894977123</v>
      </c>
      <c r="R9" s="34">
        <f t="shared" ref="R9:R55" si="6">(F9*0.5)*G9</f>
        <v>5172.4243051369995</v>
      </c>
      <c r="S9" s="34">
        <f t="shared" ref="S9:S55" si="7">F9/2*$K$2*G9</f>
        <v>4655.1818746232993</v>
      </c>
      <c r="T9" s="34">
        <f t="shared" ref="T9:T55" si="8">F9*H9</f>
        <v>531.23289773150816</v>
      </c>
    </row>
    <row r="10" spans="2:20">
      <c r="C10">
        <v>3</v>
      </c>
      <c r="D10" s="73" t="s">
        <v>96</v>
      </c>
      <c r="E10" s="1">
        <v>73.494018264840193</v>
      </c>
      <c r="F10" s="1">
        <f t="shared" si="0"/>
        <v>77.168719178082199</v>
      </c>
      <c r="G10" s="71">
        <v>65.83</v>
      </c>
      <c r="H10" s="63">
        <f>'Mengde råvarer i hver rett'!J4*Scampi*Rab+'Mengde råvarer i hver rett'!AM4*Isbergsalat+'Mengde råvarer i hver rett'!AO4*Agurk+Div</f>
        <v>8.7464999999999993</v>
      </c>
      <c r="I10" s="1">
        <f t="shared" si="1"/>
        <v>3.6747009132420061</v>
      </c>
      <c r="J10" s="14">
        <f t="shared" si="2"/>
        <v>241.90556111872127</v>
      </c>
      <c r="K10" s="63">
        <f t="shared" si="3"/>
        <v>120.95278055936063</v>
      </c>
      <c r="L10" s="34">
        <f t="shared" si="4"/>
        <v>108.85750250342457</v>
      </c>
      <c r="M10" s="34"/>
      <c r="O10" s="34">
        <f t="shared" si="5"/>
        <v>32.140771537671206</v>
      </c>
      <c r="P10" s="15">
        <f>('Prisliste og råvarekost + Svinn'!K6-'Beregning av resultateffekt'!H10)*'Beregning av resultateffekt'!E10</f>
        <v>11.288681205479516</v>
      </c>
      <c r="R10" s="34">
        <f t="shared" si="6"/>
        <v>2540.0083917465754</v>
      </c>
      <c r="S10" s="34">
        <f t="shared" si="7"/>
        <v>2286.007552571918</v>
      </c>
      <c r="T10" s="34">
        <f t="shared" si="8"/>
        <v>674.95620229109591</v>
      </c>
    </row>
    <row r="11" spans="2:20">
      <c r="D11" s="73" t="s">
        <v>44</v>
      </c>
      <c r="E11" s="1">
        <f>SUM(E8:E10)</f>
        <v>847.21000000000015</v>
      </c>
      <c r="F11" s="1">
        <f t="shared" si="0"/>
        <v>889.57050000000015</v>
      </c>
      <c r="H11" s="63"/>
      <c r="I11" s="1">
        <f t="shared" si="1"/>
        <v>42.360500000000002</v>
      </c>
      <c r="J11" s="14"/>
      <c r="K11" s="63"/>
      <c r="L11" s="34"/>
      <c r="M11" s="34"/>
      <c r="O11" s="34">
        <f t="shared" si="5"/>
        <v>0</v>
      </c>
      <c r="P11" s="15"/>
      <c r="R11" s="34">
        <f t="shared" si="6"/>
        <v>0</v>
      </c>
      <c r="S11" s="34">
        <f t="shared" si="7"/>
        <v>0</v>
      </c>
      <c r="T11" s="34">
        <f t="shared" si="8"/>
        <v>0</v>
      </c>
    </row>
    <row r="12" spans="2:20">
      <c r="F12" s="1"/>
      <c r="H12" s="63"/>
      <c r="I12" s="1"/>
      <c r="J12" s="14"/>
      <c r="K12" s="63"/>
      <c r="L12" s="34"/>
      <c r="M12" s="34"/>
      <c r="O12" s="34">
        <f t="shared" si="5"/>
        <v>0</v>
      </c>
      <c r="P12" s="15"/>
      <c r="R12" s="34">
        <f t="shared" si="6"/>
        <v>0</v>
      </c>
      <c r="S12" s="34">
        <f t="shared" si="7"/>
        <v>0</v>
      </c>
      <c r="T12" s="34">
        <f t="shared" si="8"/>
        <v>0</v>
      </c>
    </row>
    <row r="13" spans="2:20">
      <c r="D13" s="73" t="s">
        <v>331</v>
      </c>
      <c r="F13" s="1"/>
      <c r="H13" s="63"/>
      <c r="I13" s="1"/>
      <c r="J13" s="14"/>
      <c r="K13" s="63"/>
      <c r="L13" s="34"/>
      <c r="M13" s="34"/>
      <c r="O13" s="34">
        <f t="shared" si="5"/>
        <v>0</v>
      </c>
      <c r="P13" s="15"/>
      <c r="R13" s="34">
        <f t="shared" si="6"/>
        <v>0</v>
      </c>
      <c r="S13" s="34">
        <f t="shared" si="7"/>
        <v>0</v>
      </c>
      <c r="T13" s="34">
        <f t="shared" si="8"/>
        <v>0</v>
      </c>
    </row>
    <row r="14" spans="2:20">
      <c r="C14">
        <v>1</v>
      </c>
      <c r="D14" t="s">
        <v>122</v>
      </c>
      <c r="E14" s="1">
        <v>752.21237425121819</v>
      </c>
      <c r="F14" s="1">
        <f t="shared" si="0"/>
        <v>789.82299296377914</v>
      </c>
      <c r="G14" s="71">
        <v>131.66999999999999</v>
      </c>
      <c r="H14" s="71">
        <f>'Mengde råvarer i hver rett'!F32*Biff*Rab+'Mengde råvarer i hver rett'!R32*Ris+Wok+Div</f>
        <v>27.790394999999997</v>
      </c>
      <c r="I14" s="1">
        <f t="shared" si="1"/>
        <v>37.610618712560949</v>
      </c>
      <c r="J14" s="14">
        <f t="shared" si="2"/>
        <v>4952.1901658829001</v>
      </c>
      <c r="K14" s="63">
        <f t="shared" si="3"/>
        <v>2476.0950829414501</v>
      </c>
      <c r="L14" s="34">
        <f t="shared" si="4"/>
        <v>2228.4855746473049</v>
      </c>
      <c r="M14" s="34"/>
      <c r="O14" s="34">
        <f t="shared" si="5"/>
        <v>1045.21395021646</v>
      </c>
      <c r="P14" s="15">
        <f>('Prisliste og råvarekost + Svinn'!K35-'Beregning av resultateffekt'!H14)*'Beregning av resultateffekt'!E14</f>
        <v>294.15641001281125</v>
      </c>
      <c r="R14" s="34">
        <f t="shared" si="6"/>
        <v>51997.996741770396</v>
      </c>
      <c r="S14" s="34">
        <f t="shared" si="7"/>
        <v>46798.197067593363</v>
      </c>
      <c r="T14" s="34">
        <f t="shared" si="8"/>
        <v>21949.49295454564</v>
      </c>
    </row>
    <row r="15" spans="2:20">
      <c r="C15">
        <v>2</v>
      </c>
      <c r="D15" t="s">
        <v>111</v>
      </c>
      <c r="E15" s="1">
        <v>439.97327550542957</v>
      </c>
      <c r="F15" s="1">
        <f t="shared" si="0"/>
        <v>461.97193928070106</v>
      </c>
      <c r="G15" s="71">
        <v>145.83000000000001</v>
      </c>
      <c r="H15" s="34">
        <f>'Mengde råvarer i hver rett'!I20*Kylling*Rab+'Mengde råvarer i hver rett'!R20*Ris+Wok+Div</f>
        <v>22.863199999999999</v>
      </c>
      <c r="I15" s="1">
        <f t="shared" si="1"/>
        <v>21.998663775271496</v>
      </c>
      <c r="J15" s="14">
        <f t="shared" si="2"/>
        <v>3208.0651383478425</v>
      </c>
      <c r="K15" s="63">
        <f t="shared" si="3"/>
        <v>1604.0325691739213</v>
      </c>
      <c r="L15" s="34">
        <f t="shared" si="4"/>
        <v>1443.6293122565291</v>
      </c>
      <c r="M15" s="34"/>
      <c r="O15" s="34">
        <f t="shared" si="5"/>
        <v>502.95984962678722</v>
      </c>
      <c r="P15" s="15">
        <f>('Prisliste og råvarekost + Svinn'!K22-'Beregning av resultateffekt'!H15)*'Beregning av resultateffekt'!E15</f>
        <v>127.8122365343264</v>
      </c>
      <c r="R15" s="34">
        <f t="shared" si="6"/>
        <v>33684.683952652318</v>
      </c>
      <c r="S15" s="34">
        <f t="shared" si="7"/>
        <v>30316.215557387091</v>
      </c>
      <c r="T15" s="34">
        <f t="shared" si="8"/>
        <v>10562.156842162523</v>
      </c>
    </row>
    <row r="16" spans="2:20">
      <c r="C16">
        <v>3</v>
      </c>
      <c r="D16" t="s">
        <v>20</v>
      </c>
      <c r="E16" s="1">
        <v>274.39193526145073</v>
      </c>
      <c r="F16" s="1">
        <f t="shared" si="0"/>
        <v>288.11153202452329</v>
      </c>
      <c r="G16" s="71">
        <v>183.33</v>
      </c>
      <c r="H16" s="34">
        <f>'Mengde råvarer i hver rett'!F26*Biff*Rab+'Mengde råvarer i hver rett'!I26*Kylling*Rab+'Mengde råvarer i hver rett'!J26*Rab*Scampi+Wok+Div+'Mengde råvarer i hver rett'!R25*Ris</f>
        <v>23.674492999999998</v>
      </c>
      <c r="I16" s="1">
        <f t="shared" si="1"/>
        <v>13.719596763072559</v>
      </c>
      <c r="J16" s="14">
        <f t="shared" si="2"/>
        <v>2515.2136745740922</v>
      </c>
      <c r="K16" s="63">
        <f t="shared" si="3"/>
        <v>1257.6068372870461</v>
      </c>
      <c r="L16" s="34">
        <f t="shared" si="4"/>
        <v>1131.8461535583415</v>
      </c>
      <c r="M16" s="34"/>
      <c r="O16" s="34">
        <f t="shared" si="5"/>
        <v>324.80449753018394</v>
      </c>
      <c r="P16" s="15">
        <f>('Prisliste og råvarekost + Svinn'!K28-'Beregning av resultateffekt'!H16)*'Beregning av resultateffekt'!E16</f>
        <v>84.253964465575379</v>
      </c>
      <c r="R16" s="34">
        <f t="shared" si="6"/>
        <v>26409.743583027928</v>
      </c>
      <c r="S16" s="34">
        <f t="shared" si="7"/>
        <v>23768.769224725136</v>
      </c>
      <c r="T16" s="34">
        <f t="shared" si="8"/>
        <v>6820.8944481338522</v>
      </c>
    </row>
    <row r="17" spans="2:20">
      <c r="C17">
        <v>4</v>
      </c>
      <c r="D17" t="s">
        <v>114</v>
      </c>
      <c r="E17" s="1">
        <v>458.89685724759858</v>
      </c>
      <c r="F17" s="1">
        <f t="shared" si="0"/>
        <v>481.84170010997855</v>
      </c>
      <c r="G17" s="71">
        <v>131.66999999999999</v>
      </c>
      <c r="H17" s="71">
        <f>'Mengde råvarer i hver rett'!I24*Kylling*Rab+'Mengde råvarer i hver rett'!R25*Ris+'Mengde råvarer i hver rett'!AM24*Isbergsalat+Div</f>
        <v>16.910499999999999</v>
      </c>
      <c r="I17" s="1">
        <f t="shared" si="1"/>
        <v>22.944842862379971</v>
      </c>
      <c r="J17" s="14">
        <f t="shared" si="2"/>
        <v>3021.1474596895705</v>
      </c>
      <c r="K17" s="63">
        <f t="shared" si="3"/>
        <v>1510.5737298447852</v>
      </c>
      <c r="L17" s="34">
        <f t="shared" si="4"/>
        <v>1359.5163568603068</v>
      </c>
      <c r="M17" s="34"/>
      <c r="O17" s="34">
        <f t="shared" si="5"/>
        <v>388.00876522427649</v>
      </c>
      <c r="P17" s="15">
        <f>('Prisliste og råvarekost + Svinn'!K26-'Beregning av resultateffekt'!H17)*'Beregning av resultateffekt'!E17</f>
        <v>133.30953703042647</v>
      </c>
      <c r="R17" s="34">
        <f t="shared" si="6"/>
        <v>31722.048326740434</v>
      </c>
      <c r="S17" s="34">
        <f t="shared" si="7"/>
        <v>28549.843494066394</v>
      </c>
      <c r="T17" s="34">
        <f t="shared" si="8"/>
        <v>8148.1840697097914</v>
      </c>
    </row>
    <row r="18" spans="2:20">
      <c r="C18">
        <v>5</v>
      </c>
      <c r="D18" t="s">
        <v>133</v>
      </c>
      <c r="E18" s="1">
        <v>217.62119003494362</v>
      </c>
      <c r="F18" s="1">
        <f t="shared" si="0"/>
        <v>228.50224953669081</v>
      </c>
      <c r="G18" s="71">
        <v>249.17</v>
      </c>
      <c r="H18" s="71">
        <f>'Mengde råvarer i hver rett'!H49*Indrefilet*Rab+'Mengde råvarer i hver rett'!S49*Pommes+'Mengde råvarer i hver rett'!AM50*Isbergsalat+Div</f>
        <v>51.870599999999996</v>
      </c>
      <c r="I18" s="1">
        <f t="shared" si="1"/>
        <v>10.881059501747188</v>
      </c>
      <c r="J18" s="14">
        <f t="shared" si="2"/>
        <v>2711.2335960503469</v>
      </c>
      <c r="K18" s="63">
        <f t="shared" si="3"/>
        <v>1355.6167980251735</v>
      </c>
      <c r="L18" s="34">
        <f t="shared" si="4"/>
        <v>1220.0551182226561</v>
      </c>
      <c r="M18" s="34"/>
      <c r="O18" s="34">
        <f t="shared" si="5"/>
        <v>564.40708499132768</v>
      </c>
      <c r="P18" s="15">
        <f>('Prisliste og råvarekost + Svinn'!K51-'Beregning av resultateffekt'!H18)*'Beregning av resultateffekt'!E18</f>
        <v>202.58356580352927</v>
      </c>
      <c r="R18" s="34">
        <f t="shared" si="6"/>
        <v>28467.952758528623</v>
      </c>
      <c r="S18" s="34">
        <f t="shared" si="7"/>
        <v>25621.157482675761</v>
      </c>
      <c r="T18" s="34">
        <f t="shared" si="8"/>
        <v>11852.548784817873</v>
      </c>
    </row>
    <row r="19" spans="2:20">
      <c r="C19">
        <v>6</v>
      </c>
      <c r="D19" t="s">
        <v>112</v>
      </c>
      <c r="E19" s="1">
        <v>293.31551700361973</v>
      </c>
      <c r="F19" s="1">
        <f t="shared" si="0"/>
        <v>307.98129285380071</v>
      </c>
      <c r="G19" s="71">
        <v>131.66999999999999</v>
      </c>
      <c r="H19" s="34">
        <f>'Mengde råvarer i hver rett'!I22*Kylling*Rab+'Mengde råvarer i hver rett'!R22*Ris+Wok+Div</f>
        <v>22.863199999999999</v>
      </c>
      <c r="I19" s="1">
        <f t="shared" si="1"/>
        <v>14.665775850180978</v>
      </c>
      <c r="J19" s="14">
        <f t="shared" si="2"/>
        <v>1931.0427061933292</v>
      </c>
      <c r="K19" s="63">
        <f t="shared" si="3"/>
        <v>965.5213530966646</v>
      </c>
      <c r="L19" s="34">
        <f t="shared" si="4"/>
        <v>868.96921778699812</v>
      </c>
      <c r="M19" s="34"/>
      <c r="O19" s="34">
        <f t="shared" si="5"/>
        <v>335.30656641785771</v>
      </c>
      <c r="P19" s="15">
        <f>('Prisliste og råvarekost + Svinn'!K24-'Beregning av resultateffekt'!H19)*'Beregning av resultateffekt'!E19</f>
        <v>85.208157689550944</v>
      </c>
      <c r="R19" s="34">
        <f t="shared" si="6"/>
        <v>20275.948415029969</v>
      </c>
      <c r="S19" s="34">
        <f t="shared" si="7"/>
        <v>18248.353573526972</v>
      </c>
      <c r="T19" s="34">
        <f t="shared" si="8"/>
        <v>7041.4378947750165</v>
      </c>
    </row>
    <row r="20" spans="2:20">
      <c r="C20">
        <v>7</v>
      </c>
      <c r="D20" t="s">
        <v>125</v>
      </c>
      <c r="E20" s="1">
        <v>335.89357592350001</v>
      </c>
      <c r="F20" s="1">
        <f t="shared" si="0"/>
        <v>352.688254719675</v>
      </c>
      <c r="G20" s="71">
        <v>131.66999999999999</v>
      </c>
      <c r="H20" s="34">
        <f>'Mengde råvarer i hver rett'!G38*Svinenakke*Rab+'Mengde råvarer i hver rett'!R38*Ris+Wok+Div</f>
        <v>11.0297</v>
      </c>
      <c r="I20" s="1">
        <f t="shared" si="1"/>
        <v>16.794678796174992</v>
      </c>
      <c r="J20" s="14">
        <f t="shared" si="2"/>
        <v>2211.3553570923609</v>
      </c>
      <c r="K20" s="63">
        <f t="shared" si="3"/>
        <v>1105.6776785461805</v>
      </c>
      <c r="L20" s="34">
        <f t="shared" si="4"/>
        <v>995.10991069156239</v>
      </c>
      <c r="M20" s="34"/>
      <c r="O20" s="34">
        <f t="shared" si="5"/>
        <v>185.24026871817131</v>
      </c>
      <c r="P20" s="15">
        <f>('Prisliste og råvarekost + Svinn'!K40-'Beregning av resultateffekt'!H20)*'Beregning av resultateffekt'!E20</f>
        <v>16.458785220251329</v>
      </c>
      <c r="R20" s="34">
        <f t="shared" si="6"/>
        <v>23219.231249469802</v>
      </c>
      <c r="S20" s="34">
        <f t="shared" si="7"/>
        <v>20897.30812452282</v>
      </c>
      <c r="T20" s="34">
        <f t="shared" si="8"/>
        <v>3890.0456430815993</v>
      </c>
    </row>
    <row r="21" spans="2:20">
      <c r="C21">
        <v>8</v>
      </c>
      <c r="D21" t="s">
        <v>121</v>
      </c>
      <c r="E21" s="1">
        <v>250.73745808373943</v>
      </c>
      <c r="F21" s="1">
        <f t="shared" si="0"/>
        <v>263.27433098792642</v>
      </c>
      <c r="G21" s="71">
        <v>145.83000000000001</v>
      </c>
      <c r="H21" s="34">
        <f>'Mengde råvarer i hver rett'!F32*Biff*Rab+'Mengde råvarer i hver rett'!R32*Ris+Wok+Div</f>
        <v>27.790394999999997</v>
      </c>
      <c r="I21" s="1">
        <f t="shared" si="1"/>
        <v>12.536872904186993</v>
      </c>
      <c r="J21" s="14">
        <f t="shared" si="2"/>
        <v>1828.2521756175893</v>
      </c>
      <c r="K21" s="63">
        <f t="shared" si="3"/>
        <v>914.12608780879464</v>
      </c>
      <c r="L21" s="34">
        <f t="shared" si="4"/>
        <v>822.71347902791524</v>
      </c>
      <c r="M21" s="34"/>
      <c r="O21" s="34">
        <f t="shared" si="5"/>
        <v>348.40465007215363</v>
      </c>
      <c r="P21" s="15">
        <f>('Prisliste og råvarekost + Svinn'!K34-'Beregning av resultateffekt'!H21)*'Beregning av resultateffekt'!E21</f>
        <v>98.052136670937088</v>
      </c>
      <c r="R21" s="34">
        <f t="shared" si="6"/>
        <v>19196.647843984658</v>
      </c>
      <c r="S21" s="34">
        <f t="shared" si="7"/>
        <v>17276.983059586193</v>
      </c>
      <c r="T21" s="34">
        <f t="shared" si="8"/>
        <v>7316.4976515152148</v>
      </c>
    </row>
    <row r="22" spans="2:20">
      <c r="C22">
        <v>9</v>
      </c>
      <c r="D22" t="s">
        <v>163</v>
      </c>
      <c r="E22" s="1">
        <v>421.449693763261</v>
      </c>
      <c r="F22" s="1">
        <f t="shared" si="0"/>
        <v>442.52217845142405</v>
      </c>
      <c r="G22" s="71">
        <v>131.66999999999999</v>
      </c>
      <c r="H22" s="34">
        <f>'Mengde råvarer i hver rett'!D44*Biff*Rab+'Mengde råvarer i hver rett'!Q44*Nudler+Div+Wok</f>
        <v>27.667894999999998</v>
      </c>
      <c r="I22" s="1">
        <f t="shared" si="1"/>
        <v>21.072484688163058</v>
      </c>
      <c r="J22" s="14">
        <f t="shared" si="2"/>
        <v>2774.6140588904295</v>
      </c>
      <c r="K22" s="63">
        <f t="shared" si="3"/>
        <v>1387.3070294452148</v>
      </c>
      <c r="L22" s="34">
        <f t="shared" si="4"/>
        <v>1248.5763265006933</v>
      </c>
      <c r="M22" s="34"/>
      <c r="O22" s="34">
        <f t="shared" si="5"/>
        <v>583.03129374120317</v>
      </c>
      <c r="P22" s="15">
        <f>('Prisliste og råvarekost + Svinn'!K46-'Beregning av resultateffekt'!H22)*'Beregning av resultateffekt'!E22</f>
        <v>164.81000999459266</v>
      </c>
      <c r="R22" s="34">
        <f t="shared" si="6"/>
        <v>29133.447618349499</v>
      </c>
      <c r="S22" s="34">
        <f t="shared" si="7"/>
        <v>26220.10285651455</v>
      </c>
      <c r="T22" s="34">
        <f t="shared" si="8"/>
        <v>12243.657168565262</v>
      </c>
    </row>
    <row r="23" spans="2:20">
      <c r="C23">
        <v>10</v>
      </c>
      <c r="D23" t="s">
        <v>118</v>
      </c>
      <c r="E23" s="1">
        <v>231.81387634157042</v>
      </c>
      <c r="F23" s="1">
        <f t="shared" si="0"/>
        <v>243.40457015864897</v>
      </c>
      <c r="G23" s="71">
        <v>140</v>
      </c>
      <c r="H23" s="63">
        <f>'Mengde råvarer i hver rett'!F29*Biff*Rab+'Mengde råvarer i hver rett'!R29*Ris+Wok+Div</f>
        <v>27.790394999999997</v>
      </c>
      <c r="I23" s="1">
        <f t="shared" si="1"/>
        <v>11.590693817078545</v>
      </c>
      <c r="J23" s="14">
        <f t="shared" si="2"/>
        <v>1622.6971343909963</v>
      </c>
      <c r="K23" s="63">
        <f t="shared" si="3"/>
        <v>811.34856719549816</v>
      </c>
      <c r="L23" s="34">
        <f t="shared" si="4"/>
        <v>730.21371047594835</v>
      </c>
      <c r="M23" s="34"/>
      <c r="O23" s="34">
        <f t="shared" si="5"/>
        <v>322.10995950067047</v>
      </c>
      <c r="P23" s="15">
        <f>('Prisliste og råvarekost + Svinn'!K31-'Beregning av resultateffekt'!H23)*'Beregning av resultateffekt'!E23</f>
        <v>90.65197541275316</v>
      </c>
      <c r="R23" s="34">
        <f t="shared" si="6"/>
        <v>17038.319911105427</v>
      </c>
      <c r="S23" s="34">
        <f t="shared" si="7"/>
        <v>15334.487919994885</v>
      </c>
      <c r="T23" s="34">
        <f t="shared" si="8"/>
        <v>6764.309149514067</v>
      </c>
    </row>
    <row r="24" spans="2:20">
      <c r="C24">
        <v>11</v>
      </c>
      <c r="D24" t="s">
        <v>116</v>
      </c>
      <c r="E24" s="1">
        <v>189.23581742169014</v>
      </c>
      <c r="F24" s="1">
        <f t="shared" si="0"/>
        <v>198.69760829277465</v>
      </c>
      <c r="G24" s="71">
        <v>191.67</v>
      </c>
      <c r="H24" s="142">
        <f>'Mengde råvarer i hver rett'!H27*Indrefilet*Rab+'Mengde råvarer i hver rett'!I27*Kylling*Rab+'Mengde råvarer i hver rett'!J27*Rab*Scampi+'Mengde råvarer i hver rett'!AB27*Løk+'Mengde råvarer i hver rett'!AJ27*Grønn+'Mengde råvarer i hver rett'!AK27*Rød+Div+'Mengde råvarer i hver rett'!R27*Ris</f>
        <v>27.080329999999993</v>
      </c>
      <c r="I24" s="1">
        <f t="shared" si="1"/>
        <v>9.4617908710845029</v>
      </c>
      <c r="J24" s="14">
        <f t="shared" si="2"/>
        <v>1813.5414562607666</v>
      </c>
      <c r="K24" s="63">
        <f t="shared" si="3"/>
        <v>906.7707281303833</v>
      </c>
      <c r="L24" s="34">
        <f t="shared" si="4"/>
        <v>816.093655317345</v>
      </c>
      <c r="M24" s="34"/>
      <c r="O24" s="34">
        <f t="shared" si="5"/>
        <v>256.22841917995572</v>
      </c>
      <c r="P24" s="15">
        <f>('Prisliste og råvarekost + Svinn'!K29-'Beregning av resultateffekt'!H24)*'Beregning av resultateffekt'!E24</f>
        <v>91.925083028934182</v>
      </c>
      <c r="Q24" s="139"/>
      <c r="R24" s="34">
        <f t="shared" si="6"/>
        <v>19042.185290738056</v>
      </c>
      <c r="S24" s="34">
        <f t="shared" si="7"/>
        <v>17137.966761664251</v>
      </c>
      <c r="T24" s="34">
        <f t="shared" si="8"/>
        <v>5380.796802779073</v>
      </c>
    </row>
    <row r="25" spans="2:20">
      <c r="B25" s="14">
        <f>H26+H15+H20+H23</f>
        <v>81.193134999999998</v>
      </c>
      <c r="C25">
        <v>12</v>
      </c>
      <c r="D25" t="s">
        <v>21</v>
      </c>
      <c r="E25" s="1">
        <v>132.4650721951831</v>
      </c>
      <c r="F25" s="1">
        <f t="shared" si="0"/>
        <v>139.08832580494226</v>
      </c>
      <c r="G25" s="71">
        <v>249.17</v>
      </c>
      <c r="H25" s="71">
        <f>'Mengde råvarer i hver rett'!H48*Indrefilet*Rab+'Mengde råvarer i hver rett'!AL48*Bakepotet+'Mengde råvarer i hver rett'!AM48*Isbergsalat+Div</f>
        <v>50.826599999999999</v>
      </c>
      <c r="I25" s="1">
        <f t="shared" si="1"/>
        <v>6.6232536097591606</v>
      </c>
      <c r="J25" s="14">
        <f t="shared" si="2"/>
        <v>1650.31610194369</v>
      </c>
      <c r="K25" s="63">
        <f t="shared" si="3"/>
        <v>825.158050971845</v>
      </c>
      <c r="L25" s="34">
        <f t="shared" si="4"/>
        <v>742.64224587466049</v>
      </c>
      <c r="M25" s="34"/>
      <c r="O25" s="34">
        <f t="shared" si="5"/>
        <v>336.63746192178496</v>
      </c>
      <c r="P25" s="15">
        <f>('Prisliste og råvarekost + Svinn'!K50-'Beregning av resultateffekt'!H25)*'Beregning av resultateffekt'!E25</f>
        <v>123.31173570649609</v>
      </c>
      <c r="R25" s="34">
        <f t="shared" si="6"/>
        <v>17328.319070408732</v>
      </c>
      <c r="S25" s="34">
        <f t="shared" si="7"/>
        <v>15595.487163367858</v>
      </c>
      <c r="T25" s="34">
        <f t="shared" si="8"/>
        <v>7069.3867003574778</v>
      </c>
    </row>
    <row r="26" spans="2:20">
      <c r="B26" s="134" t="s">
        <v>386</v>
      </c>
      <c r="C26">
        <v>13</v>
      </c>
      <c r="D26" t="s">
        <v>130</v>
      </c>
      <c r="E26" s="1">
        <v>246.00656264819719</v>
      </c>
      <c r="F26" s="1">
        <f t="shared" si="0"/>
        <v>258.30689078060703</v>
      </c>
      <c r="G26" s="71">
        <v>131.66999999999999</v>
      </c>
      <c r="H26" s="63">
        <f>'Mengde råvarer i hver rett'!O43*Reker*Rab+'Mengde råvarer i hver rett'!R43*Ris+Div+Wok+'Mengde råvarer i hver rett'!W43*Amerikansk+'Mengde råvarer i hver rett'!AH43*Purreløk</f>
        <v>19.509840000000001</v>
      </c>
      <c r="I26" s="1">
        <f t="shared" si="1"/>
        <v>12.300328132409845</v>
      </c>
      <c r="J26" s="14">
        <f t="shared" si="2"/>
        <v>1619.5842051944041</v>
      </c>
      <c r="K26" s="63">
        <f t="shared" si="3"/>
        <v>809.79210259720207</v>
      </c>
      <c r="L26" s="34">
        <f t="shared" si="4"/>
        <v>728.81289233748191</v>
      </c>
      <c r="M26" s="34"/>
      <c r="O26" s="34">
        <f t="shared" si="5"/>
        <v>239.97743381081492</v>
      </c>
      <c r="P26" s="15">
        <f>('Prisliste og råvarekost + Svinn'!K45-'Beregning av resultateffekt'!H26)*'Beregning av resultateffekt'!E26</f>
        <v>49.20131252963926</v>
      </c>
      <c r="R26" s="34">
        <f t="shared" si="6"/>
        <v>17005.634154541262</v>
      </c>
      <c r="S26" s="34">
        <f t="shared" si="7"/>
        <v>15305.070739087138</v>
      </c>
      <c r="T26" s="34">
        <f t="shared" si="8"/>
        <v>5039.5261100271182</v>
      </c>
    </row>
    <row r="27" spans="2:20">
      <c r="C27">
        <v>14</v>
      </c>
      <c r="D27" t="s">
        <v>106</v>
      </c>
      <c r="E27" s="1">
        <v>170.31223567952114</v>
      </c>
      <c r="F27" s="1">
        <f t="shared" si="0"/>
        <v>178.82784746349719</v>
      </c>
      <c r="G27" s="71">
        <v>162.5</v>
      </c>
      <c r="H27" s="63">
        <f>'Mengde råvarer i hver rett'!J15*Scampi*Rab+'Mengde råvarer i hver rett'!R15*Ris+'Mengde råvarer i hver rett'!AM15*Isbergsalat+'Prisliste og råvarekost + Svinn'!G14</f>
        <v>24.627999999999997</v>
      </c>
      <c r="I27" s="1">
        <f t="shared" si="1"/>
        <v>8.5156117839760554</v>
      </c>
      <c r="J27" s="14">
        <f t="shared" si="2"/>
        <v>1383.786914896109</v>
      </c>
      <c r="K27" s="63">
        <f t="shared" si="3"/>
        <v>691.89345744805451</v>
      </c>
      <c r="L27" s="34">
        <f t="shared" si="4"/>
        <v>622.70411170324905</v>
      </c>
      <c r="M27" s="34"/>
      <c r="O27" s="34">
        <f t="shared" si="5"/>
        <v>209.72248701576225</v>
      </c>
      <c r="P27" s="15">
        <f>('Prisliste og råvarekost + Svinn'!K17-'Beregning av resultateffekt'!H27)*'Beregning av resultateffekt'!E27</f>
        <v>76.299881584425535</v>
      </c>
      <c r="R27" s="34">
        <f t="shared" si="6"/>
        <v>14529.762606409147</v>
      </c>
      <c r="S27" s="34">
        <f t="shared" si="7"/>
        <v>13076.786345768232</v>
      </c>
      <c r="T27" s="34">
        <f t="shared" si="8"/>
        <v>4404.1722273310079</v>
      </c>
    </row>
    <row r="28" spans="2:20">
      <c r="C28">
        <v>15</v>
      </c>
      <c r="D28" t="s">
        <v>113</v>
      </c>
      <c r="E28" s="1">
        <v>175.04313111506337</v>
      </c>
      <c r="F28" s="1">
        <f t="shared" si="0"/>
        <v>183.79528767081655</v>
      </c>
      <c r="G28" s="71">
        <v>131.66999999999999</v>
      </c>
      <c r="H28" s="71">
        <f>H19+'Mengde råvarer i hver rett'!AQ23*Ananas</f>
        <v>23.113199999999999</v>
      </c>
      <c r="I28" s="1">
        <f t="shared" si="1"/>
        <v>8.7521565557531744</v>
      </c>
      <c r="J28" s="14">
        <f t="shared" si="2"/>
        <v>1152.3964536960204</v>
      </c>
      <c r="K28" s="63">
        <f t="shared" si="3"/>
        <v>576.19822684801022</v>
      </c>
      <c r="L28" s="34">
        <f t="shared" si="4"/>
        <v>518.57840416320926</v>
      </c>
      <c r="M28" s="34"/>
      <c r="O28" s="34">
        <f t="shared" si="5"/>
        <v>202.29034490443425</v>
      </c>
      <c r="P28" s="15">
        <f>('Prisliste og råvarekost + Svinn'!K25-'Beregning av resultateffekt'!H28)*'Beregning av resultateffekt'!E28</f>
        <v>50.850029588925558</v>
      </c>
      <c r="R28" s="34">
        <f t="shared" si="6"/>
        <v>12100.162763808206</v>
      </c>
      <c r="S28" s="34">
        <f t="shared" si="7"/>
        <v>10890.146487427386</v>
      </c>
      <c r="T28" s="34">
        <f t="shared" si="8"/>
        <v>4248.0972429931171</v>
      </c>
    </row>
    <row r="29" spans="2:20">
      <c r="C29">
        <v>16</v>
      </c>
      <c r="D29" t="s">
        <v>134</v>
      </c>
      <c r="E29" s="1">
        <v>170</v>
      </c>
      <c r="F29" s="1">
        <f t="shared" si="0"/>
        <v>178.5</v>
      </c>
      <c r="G29" s="71">
        <v>154.16999999999999</v>
      </c>
      <c r="H29" s="34">
        <f>'Mengde råvarer i hver rett'!F51*Biff*Rab+'Mengde råvarer i hver rett'!S50*Pommes+Wok+Div</f>
        <v>31.370894999999997</v>
      </c>
      <c r="I29" s="1">
        <f t="shared" si="1"/>
        <v>8.5</v>
      </c>
      <c r="J29" s="14">
        <f t="shared" si="2"/>
        <v>1310.4449999999999</v>
      </c>
      <c r="K29" s="63">
        <f t="shared" si="3"/>
        <v>655.22249999999997</v>
      </c>
      <c r="L29" s="34">
        <f t="shared" si="4"/>
        <v>589.70024999999998</v>
      </c>
      <c r="M29" s="34"/>
      <c r="O29" s="34">
        <f t="shared" si="5"/>
        <v>266.65260749999999</v>
      </c>
      <c r="P29" s="15">
        <f>('Prisliste og råvarekost + Svinn'!K53-'Beregning av resultateffekt'!H29)*'Beregning av resultateffekt'!E29</f>
        <v>66.479350000000252</v>
      </c>
      <c r="R29" s="34">
        <f t="shared" si="6"/>
        <v>13759.672499999999</v>
      </c>
      <c r="S29" s="34">
        <f t="shared" si="7"/>
        <v>12383.705249999999</v>
      </c>
      <c r="T29" s="34">
        <f t="shared" si="8"/>
        <v>5599.7047574999997</v>
      </c>
    </row>
    <row r="30" spans="2:20">
      <c r="C30">
        <v>17</v>
      </c>
      <c r="D30" t="s">
        <v>22</v>
      </c>
      <c r="E30" s="1">
        <v>128</v>
      </c>
      <c r="F30" s="1">
        <f t="shared" si="0"/>
        <v>134.4</v>
      </c>
      <c r="G30" s="32">
        <v>137.5</v>
      </c>
      <c r="H30" s="34">
        <f>'Mengde råvarer i hver rett'!F37*Biff*Rab+'Mengde råvarer i hver rett'!R37*Ris+'Mengde råvarer i hver rett'!Z37*Gulrot+'Mengde råvarer i hver rett'!AB37*Løk+'Mengde råvarer i hver rett'!AJ37*Grønn+'Mengde råvarer i hver rett'!AK37*Rød+Div</f>
        <v>22.839294999999989</v>
      </c>
      <c r="I30" s="1">
        <f t="shared" si="1"/>
        <v>6.4000000000000057</v>
      </c>
      <c r="J30" s="14">
        <f t="shared" si="2"/>
        <v>880.0000000000008</v>
      </c>
      <c r="K30" s="63">
        <f t="shared" si="3"/>
        <v>440.0000000000004</v>
      </c>
      <c r="L30" s="34">
        <f t="shared" si="4"/>
        <v>396.00000000000034</v>
      </c>
      <c r="M30" s="34"/>
      <c r="O30" s="34">
        <f t="shared" si="5"/>
        <v>146.17148800000007</v>
      </c>
      <c r="P30" s="15">
        <f>('Prisliste og råvarekost + Svinn'!K39-'Beregning av resultateffekt'!H30)*'Beregning av resultateffekt'!E30</f>
        <v>50.05504000000019</v>
      </c>
      <c r="R30" s="34">
        <f t="shared" si="6"/>
        <v>9240</v>
      </c>
      <c r="S30" s="34">
        <f t="shared" si="7"/>
        <v>8316</v>
      </c>
      <c r="T30" s="34">
        <f t="shared" si="8"/>
        <v>3069.6012479999986</v>
      </c>
    </row>
    <row r="31" spans="2:20">
      <c r="C31">
        <v>17</v>
      </c>
      <c r="D31" s="17" t="s">
        <v>135</v>
      </c>
      <c r="E31" s="1">
        <v>156</v>
      </c>
      <c r="F31" s="1">
        <f t="shared" si="0"/>
        <v>163.80000000000001</v>
      </c>
      <c r="G31" s="71">
        <v>150</v>
      </c>
      <c r="H31" s="71">
        <f>'Mengde råvarer i hver rett'!M52*'Prisliste og råvarekost + Svinn'!C17+'Mengde råvarer i hver rett'!S52*Pommes+'Mengde råvarer i hver rett'!T52*'Prisliste og råvarekost + Svinn'!C26+'Mengde råvarer i hver rett'!AM52*Isbergsalat+Div</f>
        <v>26.756499999999999</v>
      </c>
      <c r="I31" s="1">
        <f t="shared" si="1"/>
        <v>7.8000000000000114</v>
      </c>
      <c r="J31" s="14">
        <f t="shared" si="2"/>
        <v>1170.0000000000018</v>
      </c>
      <c r="K31" s="63">
        <f t="shared" si="3"/>
        <v>585.00000000000091</v>
      </c>
      <c r="L31" s="34">
        <f t="shared" si="4"/>
        <v>526.5000000000008</v>
      </c>
      <c r="M31" s="34"/>
      <c r="O31" s="34">
        <f t="shared" si="5"/>
        <v>208.7007000000003</v>
      </c>
      <c r="P31" s="15">
        <f>('Prisliste og råvarekost + Svinn'!K54-'Beregning av resultateffekt'!H31)*'Beregning av resultateffekt'!E31</f>
        <v>0</v>
      </c>
      <c r="R31" s="34">
        <f t="shared" si="6"/>
        <v>12285</v>
      </c>
      <c r="S31" s="34">
        <f t="shared" si="7"/>
        <v>11056.500000000002</v>
      </c>
      <c r="T31" s="34">
        <f t="shared" si="8"/>
        <v>4382.7147000000004</v>
      </c>
    </row>
    <row r="32" spans="2:20">
      <c r="C32">
        <v>18</v>
      </c>
      <c r="D32" s="17" t="s">
        <v>131</v>
      </c>
      <c r="E32" s="1">
        <v>123</v>
      </c>
      <c r="F32" s="1">
        <f t="shared" si="0"/>
        <v>129.15</v>
      </c>
      <c r="G32" s="71">
        <v>175</v>
      </c>
      <c r="H32" s="34">
        <f>H8+(H14/2)+(H15/2)</f>
        <v>34.308699500000003</v>
      </c>
      <c r="I32" s="1">
        <f t="shared" si="1"/>
        <v>6.1500000000000057</v>
      </c>
      <c r="J32" s="14">
        <f t="shared" si="2"/>
        <v>1076.2500000000009</v>
      </c>
      <c r="K32" s="63">
        <f t="shared" si="3"/>
        <v>538.12500000000045</v>
      </c>
      <c r="L32" s="34">
        <f t="shared" si="4"/>
        <v>484.3125000000004</v>
      </c>
      <c r="M32" s="34"/>
      <c r="O32" s="34">
        <f t="shared" si="5"/>
        <v>210.99850192500023</v>
      </c>
      <c r="P32" s="15"/>
      <c r="R32" s="34">
        <f t="shared" si="6"/>
        <v>11300.625</v>
      </c>
      <c r="S32" s="34">
        <f t="shared" si="7"/>
        <v>10170.562500000002</v>
      </c>
      <c r="T32" s="34">
        <f t="shared" si="8"/>
        <v>4430.9685404250004</v>
      </c>
    </row>
    <row r="33" spans="3:20">
      <c r="C33">
        <v>19</v>
      </c>
      <c r="D33" s="17" t="s">
        <v>132</v>
      </c>
      <c r="E33" s="1">
        <v>18.509786088073586</v>
      </c>
      <c r="F33" s="1">
        <f t="shared" si="0"/>
        <v>19.435275392477266</v>
      </c>
      <c r="G33" s="71">
        <v>225</v>
      </c>
      <c r="H33" s="34">
        <f>H9+(H20/2)+(H21/2)+H49</f>
        <v>26.481807499999999</v>
      </c>
      <c r="I33" s="1">
        <f t="shared" si="1"/>
        <v>0.92548930440367982</v>
      </c>
      <c r="J33" s="14">
        <f t="shared" si="2"/>
        <v>208.23509349082795</v>
      </c>
      <c r="K33" s="63">
        <f t="shared" si="3"/>
        <v>104.11754674541397</v>
      </c>
      <c r="L33" s="34">
        <f t="shared" si="4"/>
        <v>93.705792070872576</v>
      </c>
      <c r="M33" s="34"/>
      <c r="O33" s="34">
        <f t="shared" si="5"/>
        <v>24.508629602527151</v>
      </c>
      <c r="P33" s="15"/>
      <c r="R33" s="34">
        <f t="shared" si="6"/>
        <v>2186.4684816536924</v>
      </c>
      <c r="S33" s="34">
        <f t="shared" si="7"/>
        <v>1967.8216334883234</v>
      </c>
      <c r="T33" s="34">
        <f t="shared" si="8"/>
        <v>514.68122165306988</v>
      </c>
    </row>
    <row r="34" spans="3:20">
      <c r="C34">
        <v>20</v>
      </c>
      <c r="D34" s="17" t="s">
        <v>140</v>
      </c>
      <c r="E34" s="1">
        <v>27.6</v>
      </c>
      <c r="F34" s="1">
        <f t="shared" si="0"/>
        <v>28.980000000000004</v>
      </c>
      <c r="G34" s="71">
        <v>308.33</v>
      </c>
      <c r="H34" s="34">
        <f>SUM(H26:H28)</f>
        <v>67.251039999999989</v>
      </c>
      <c r="I34" s="1">
        <f t="shared" si="1"/>
        <v>1.3800000000000026</v>
      </c>
      <c r="J34" s="14">
        <f t="shared" si="2"/>
        <v>425.49540000000076</v>
      </c>
      <c r="K34" s="63">
        <f t="shared" si="3"/>
        <v>212.74770000000038</v>
      </c>
      <c r="L34" s="34">
        <f t="shared" si="4"/>
        <v>191.47293000000033</v>
      </c>
      <c r="M34" s="34"/>
      <c r="O34" s="34">
        <f t="shared" si="5"/>
        <v>92.806435200000152</v>
      </c>
      <c r="P34" s="15">
        <f>('Prisliste og råvarekost + Svinn'!K57-'Beregning av resultateffekt'!H34)*'Beregning av resultateffekt'!E34</f>
        <v>25.902600000000135</v>
      </c>
      <c r="Q34" s="139"/>
      <c r="R34" s="34">
        <f t="shared" si="6"/>
        <v>4467.7017000000005</v>
      </c>
      <c r="S34" s="34">
        <f t="shared" si="7"/>
        <v>4020.9315300000003</v>
      </c>
      <c r="T34" s="34">
        <f t="shared" si="8"/>
        <v>1948.9351391999999</v>
      </c>
    </row>
    <row r="35" spans="3:20">
      <c r="C35">
        <v>21</v>
      </c>
      <c r="D35" s="17" t="s">
        <v>141</v>
      </c>
      <c r="E35" s="1">
        <v>47.8</v>
      </c>
      <c r="F35" s="1">
        <f t="shared" si="0"/>
        <v>50.19</v>
      </c>
      <c r="G35" s="71">
        <v>382.5</v>
      </c>
      <c r="H35" s="34">
        <f>H26+H15+H20+H23</f>
        <v>81.193134999999998</v>
      </c>
      <c r="I35" s="1">
        <f t="shared" si="1"/>
        <v>2.3900000000000006</v>
      </c>
      <c r="J35" s="14">
        <f t="shared" si="2"/>
        <v>914.17500000000018</v>
      </c>
      <c r="K35" s="63">
        <f t="shared" si="3"/>
        <v>457.08750000000009</v>
      </c>
      <c r="L35" s="34">
        <f t="shared" si="4"/>
        <v>411.37875000000008</v>
      </c>
      <c r="M35" s="34"/>
      <c r="O35" s="34">
        <f t="shared" si="5"/>
        <v>194.05159265000003</v>
      </c>
      <c r="P35" s="15">
        <f>('Prisliste og råvarekost + Svinn'!K58-'Beregning av resultateffekt'!H35)*'Beregning av resultateffekt'!E35</f>
        <v>44.480528999999912</v>
      </c>
      <c r="Q35" s="74"/>
      <c r="R35" s="34">
        <f t="shared" si="6"/>
        <v>9598.8374999999996</v>
      </c>
      <c r="S35" s="34">
        <f t="shared" si="7"/>
        <v>8638.9537500000006</v>
      </c>
      <c r="T35" s="34">
        <f t="shared" si="8"/>
        <v>4075.0834456499997</v>
      </c>
    </row>
    <row r="36" spans="3:20">
      <c r="D36" s="17" t="s">
        <v>44</v>
      </c>
      <c r="E36" s="1">
        <f>SUM(E14:E35)</f>
        <v>5260.27835856406</v>
      </c>
      <c r="F36" s="1">
        <f t="shared" si="0"/>
        <v>5523.2922764922632</v>
      </c>
      <c r="I36" s="1">
        <f t="shared" si="1"/>
        <v>263.01391792820323</v>
      </c>
      <c r="J36" s="14">
        <f t="shared" si="2"/>
        <v>0</v>
      </c>
      <c r="K36" s="63"/>
      <c r="L36" s="34"/>
      <c r="M36" s="34"/>
      <c r="O36" s="34"/>
      <c r="R36" s="34">
        <f t="shared" si="6"/>
        <v>0</v>
      </c>
      <c r="S36" s="34">
        <f t="shared" si="7"/>
        <v>0</v>
      </c>
      <c r="T36" s="34"/>
    </row>
    <row r="37" spans="3:20">
      <c r="D37" s="17"/>
      <c r="F37" s="1"/>
      <c r="I37" s="1"/>
      <c r="J37" s="14"/>
      <c r="K37" s="63"/>
      <c r="L37" s="34"/>
      <c r="M37" s="34"/>
      <c r="O37" s="34"/>
      <c r="R37" s="34">
        <f t="shared" si="6"/>
        <v>0</v>
      </c>
      <c r="S37" s="34">
        <f t="shared" si="7"/>
        <v>0</v>
      </c>
      <c r="T37" s="34"/>
    </row>
    <row r="38" spans="3:20">
      <c r="D38" t="s">
        <v>94</v>
      </c>
      <c r="F38" s="1"/>
      <c r="I38" s="1"/>
      <c r="J38" s="14"/>
      <c r="K38" s="63"/>
      <c r="L38" s="34"/>
      <c r="M38" s="34"/>
      <c r="O38" s="34"/>
      <c r="R38" s="34">
        <f t="shared" si="6"/>
        <v>0</v>
      </c>
      <c r="S38" s="34">
        <f t="shared" si="7"/>
        <v>0</v>
      </c>
      <c r="T38" s="34"/>
    </row>
    <row r="39" spans="3:20">
      <c r="C39">
        <v>22</v>
      </c>
      <c r="D39" s="73" t="s">
        <v>137</v>
      </c>
      <c r="E39" s="1">
        <v>53.67366412213741</v>
      </c>
      <c r="F39" s="1">
        <f t="shared" si="0"/>
        <v>56.357347328244281</v>
      </c>
      <c r="G39" s="71">
        <v>66.67</v>
      </c>
      <c r="H39" s="34">
        <f>'Mengde råvarer i hver rett'!V59*'Prisliste og råvarekost + Svinn'!C19+'Mengde råvarer i hver rett'!S59*Pommes+Div</f>
        <v>9.8506</v>
      </c>
      <c r="I39" s="1">
        <f t="shared" si="1"/>
        <v>2.6836832061068705</v>
      </c>
      <c r="J39" s="14">
        <f t="shared" si="2"/>
        <v>178.92115935114506</v>
      </c>
      <c r="K39" s="63">
        <f t="shared" si="3"/>
        <v>89.460579675572532</v>
      </c>
      <c r="L39" s="34">
        <f t="shared" si="4"/>
        <v>80.51452170801528</v>
      </c>
      <c r="M39" s="34"/>
      <c r="O39" s="34">
        <f t="shared" si="5"/>
        <v>26.435889790076338</v>
      </c>
      <c r="R39" s="34">
        <f t="shared" si="6"/>
        <v>1878.6721731870232</v>
      </c>
      <c r="S39" s="34">
        <f t="shared" si="7"/>
        <v>1690.804955868321</v>
      </c>
      <c r="T39" s="34">
        <f t="shared" si="8"/>
        <v>555.15368559160311</v>
      </c>
    </row>
    <row r="40" spans="3:20">
      <c r="C40">
        <v>23</v>
      </c>
      <c r="D40" s="73" t="s">
        <v>59</v>
      </c>
      <c r="E40" s="1">
        <v>53.67366412213741</v>
      </c>
      <c r="F40" s="1">
        <f t="shared" si="0"/>
        <v>56.357347328244281</v>
      </c>
      <c r="G40" s="71">
        <v>66.67</v>
      </c>
      <c r="H40" s="34">
        <f>'Prisliste og råvarekost + Svinn'!C18*'Mengde råvarer i hver rett'!N61+'Mengde råvarer i hver rett'!S60*Pommes+'Mengde råvarer i hver rett'!T61*'Prisliste og råvarekost + Svinn'!C26+Div</f>
        <v>13.807599999999999</v>
      </c>
      <c r="I40" s="1">
        <f t="shared" si="1"/>
        <v>2.6836832061068705</v>
      </c>
      <c r="J40" s="14">
        <f t="shared" si="2"/>
        <v>178.92115935114506</v>
      </c>
      <c r="K40" s="63">
        <f t="shared" si="3"/>
        <v>89.460579675572532</v>
      </c>
      <c r="L40" s="34">
        <f t="shared" si="4"/>
        <v>80.51452170801528</v>
      </c>
      <c r="M40" s="34"/>
      <c r="O40" s="34">
        <f t="shared" si="5"/>
        <v>37.055224236641223</v>
      </c>
      <c r="R40" s="34">
        <f t="shared" si="6"/>
        <v>1878.6721731870232</v>
      </c>
      <c r="S40" s="34">
        <f t="shared" si="7"/>
        <v>1690.804955868321</v>
      </c>
      <c r="T40" s="34">
        <f t="shared" si="8"/>
        <v>778.15970896946567</v>
      </c>
    </row>
    <row r="41" spans="3:20">
      <c r="C41">
        <v>24</v>
      </c>
      <c r="D41" s="73" t="s">
        <v>138</v>
      </c>
      <c r="E41" s="1">
        <v>39.360687022900763</v>
      </c>
      <c r="F41" s="1">
        <f t="shared" si="0"/>
        <v>41.328721374045806</v>
      </c>
      <c r="G41" s="71">
        <v>75</v>
      </c>
      <c r="H41" s="34">
        <f>'Mengde råvarer i hver rett'!I60*Kylling+'Mengde råvarer i hver rett'!S60*Pommes+Div</f>
        <v>13.507600000000002</v>
      </c>
      <c r="I41" s="1">
        <f t="shared" si="1"/>
        <v>1.9680343511450431</v>
      </c>
      <c r="J41" s="14">
        <f t="shared" si="2"/>
        <v>147.60257633587824</v>
      </c>
      <c r="K41" s="63">
        <f t="shared" si="3"/>
        <v>73.80128816793912</v>
      </c>
      <c r="L41" s="34">
        <f t="shared" si="4"/>
        <v>66.421159351145207</v>
      </c>
      <c r="M41" s="34"/>
      <c r="O41" s="34">
        <f t="shared" si="5"/>
        <v>26.583420801526788</v>
      </c>
      <c r="R41" s="34">
        <f t="shared" si="6"/>
        <v>1549.8270515267177</v>
      </c>
      <c r="S41" s="34">
        <f t="shared" si="7"/>
        <v>1394.8443463740459</v>
      </c>
      <c r="T41" s="34">
        <f t="shared" si="8"/>
        <v>558.25183683206114</v>
      </c>
    </row>
    <row r="42" spans="3:20">
      <c r="C42">
        <v>25</v>
      </c>
      <c r="D42" s="73" t="s">
        <v>135</v>
      </c>
      <c r="E42" s="1">
        <v>28.7259541984733</v>
      </c>
      <c r="F42" s="1">
        <f t="shared" si="0"/>
        <v>30.162251908396968</v>
      </c>
      <c r="G42" s="71">
        <v>82.5</v>
      </c>
      <c r="H42" s="34">
        <f>H40+Isbergsalat*'Mengde råvarer i hver rett'!AK62</f>
        <v>14.015999999999998</v>
      </c>
      <c r="I42" s="1">
        <f t="shared" si="1"/>
        <v>1.436297709923668</v>
      </c>
      <c r="J42" s="14">
        <f t="shared" si="2"/>
        <v>118.49456106870261</v>
      </c>
      <c r="K42" s="63">
        <f t="shared" si="3"/>
        <v>59.247280534351304</v>
      </c>
      <c r="L42" s="34">
        <f t="shared" si="4"/>
        <v>53.322552480916173</v>
      </c>
      <c r="M42" s="34"/>
      <c r="O42" s="34">
        <f t="shared" si="5"/>
        <v>20.13114870229013</v>
      </c>
      <c r="R42" s="34">
        <f t="shared" si="6"/>
        <v>1244.192891221375</v>
      </c>
      <c r="S42" s="34">
        <f t="shared" si="7"/>
        <v>1119.7736020992375</v>
      </c>
      <c r="T42" s="34">
        <f t="shared" si="8"/>
        <v>422.75412274809185</v>
      </c>
    </row>
    <row r="43" spans="3:20">
      <c r="D43" s="73" t="s">
        <v>44</v>
      </c>
      <c r="E43" s="1">
        <f>SUM(E39:E42)</f>
        <v>175.43396946564889</v>
      </c>
      <c r="F43" s="1">
        <f t="shared" si="0"/>
        <v>184.20566793893133</v>
      </c>
      <c r="H43" s="34"/>
      <c r="I43" s="1">
        <f t="shared" si="1"/>
        <v>8.7716984732824415</v>
      </c>
      <c r="J43" s="14">
        <f t="shared" si="2"/>
        <v>0</v>
      </c>
      <c r="K43" s="63"/>
      <c r="L43" s="34"/>
      <c r="M43" s="34"/>
      <c r="O43" s="34"/>
      <c r="R43" s="34">
        <f t="shared" si="6"/>
        <v>0</v>
      </c>
      <c r="S43" s="34">
        <f t="shared" si="7"/>
        <v>0</v>
      </c>
      <c r="T43" s="34"/>
    </row>
    <row r="44" spans="3:20">
      <c r="D44" s="17"/>
      <c r="F44" s="1"/>
      <c r="H44" s="34"/>
      <c r="I44" s="1"/>
      <c r="J44" s="14">
        <f t="shared" si="2"/>
        <v>0</v>
      </c>
      <c r="K44" s="63"/>
      <c r="L44" s="34"/>
      <c r="M44" s="34"/>
      <c r="O44" s="34"/>
      <c r="R44" s="34">
        <f t="shared" si="6"/>
        <v>0</v>
      </c>
      <c r="S44" s="34">
        <f t="shared" si="7"/>
        <v>0</v>
      </c>
      <c r="T44" s="34"/>
    </row>
    <row r="45" spans="3:20">
      <c r="D45" t="s">
        <v>144</v>
      </c>
      <c r="F45" s="1"/>
      <c r="I45" s="1"/>
      <c r="J45" s="14">
        <f t="shared" si="2"/>
        <v>0</v>
      </c>
      <c r="K45" s="63"/>
      <c r="L45" s="34"/>
      <c r="M45" s="34"/>
      <c r="O45" s="34"/>
      <c r="R45" s="34">
        <f t="shared" si="6"/>
        <v>0</v>
      </c>
      <c r="S45" s="34">
        <f t="shared" si="7"/>
        <v>0</v>
      </c>
      <c r="T45" s="34"/>
    </row>
    <row r="46" spans="3:20">
      <c r="C46">
        <v>26</v>
      </c>
      <c r="D46" t="s">
        <v>146</v>
      </c>
      <c r="E46" s="1">
        <v>243.32061068702288</v>
      </c>
      <c r="F46" s="1">
        <f t="shared" si="0"/>
        <v>255.48664122137404</v>
      </c>
      <c r="G46" s="79">
        <v>66.67</v>
      </c>
      <c r="H46">
        <f>Div+'Mengde råvarer i hver rett'!AP65*'Prisliste og råvarekost + Svinn'!C49+'Prisliste og råvarekost + Svinn'!C51*'Mengde råvarer i hver rett'!AT64</f>
        <v>5.2951000000000006</v>
      </c>
      <c r="I46" s="1">
        <f t="shared" si="1"/>
        <v>12.166030534351165</v>
      </c>
      <c r="J46" s="14">
        <f t="shared" si="2"/>
        <v>811.10925572519216</v>
      </c>
      <c r="K46" s="63">
        <f t="shared" si="3"/>
        <v>405.55462786259608</v>
      </c>
      <c r="L46" s="34">
        <f t="shared" si="4"/>
        <v>364.99916507633645</v>
      </c>
      <c r="M46" s="34"/>
      <c r="O46" s="34">
        <f t="shared" si="5"/>
        <v>64.420348282442859</v>
      </c>
      <c r="R46" s="34">
        <f t="shared" si="6"/>
        <v>8516.6471851145034</v>
      </c>
      <c r="S46" s="34">
        <f t="shared" si="7"/>
        <v>7664.9824666030536</v>
      </c>
      <c r="T46" s="34">
        <f t="shared" si="8"/>
        <v>1352.8273139312978</v>
      </c>
    </row>
    <row r="47" spans="3:20">
      <c r="C47">
        <v>27</v>
      </c>
      <c r="D47" t="s">
        <v>149</v>
      </c>
      <c r="E47" s="1">
        <v>153.8645038167939</v>
      </c>
      <c r="F47" s="1">
        <f t="shared" si="0"/>
        <v>161.55772900763361</v>
      </c>
      <c r="G47" s="79">
        <v>66.67</v>
      </c>
      <c r="H47" s="34">
        <f>'Mengde råvarer i hver rett'!AR66*'Prisliste og råvarekost + Svinn'!C50</f>
        <v>5.95</v>
      </c>
      <c r="I47" s="1">
        <f t="shared" si="1"/>
        <v>7.693225190839712</v>
      </c>
      <c r="J47" s="14">
        <f t="shared" si="2"/>
        <v>512.90732347328367</v>
      </c>
      <c r="K47" s="63">
        <f t="shared" si="3"/>
        <v>256.45366173664183</v>
      </c>
      <c r="L47" s="34">
        <f t="shared" si="4"/>
        <v>230.80829556297766</v>
      </c>
      <c r="M47" s="34"/>
      <c r="O47" s="34">
        <f t="shared" si="5"/>
        <v>45.774689885496286</v>
      </c>
      <c r="R47" s="34">
        <f t="shared" si="6"/>
        <v>5385.5268964694669</v>
      </c>
      <c r="S47" s="34">
        <f t="shared" si="7"/>
        <v>4846.9742068225196</v>
      </c>
      <c r="T47" s="34">
        <f t="shared" si="8"/>
        <v>961.26848759541997</v>
      </c>
    </row>
    <row r="48" spans="3:20">
      <c r="C48">
        <v>28</v>
      </c>
      <c r="D48" t="s">
        <v>148</v>
      </c>
      <c r="E48" s="1">
        <v>128.81679389312978</v>
      </c>
      <c r="F48" s="1">
        <f t="shared" si="0"/>
        <v>135.25763358778627</v>
      </c>
      <c r="G48" s="79">
        <v>18.329999999999998</v>
      </c>
      <c r="H48" s="34">
        <v>3.36</v>
      </c>
      <c r="I48" s="1">
        <f t="shared" si="1"/>
        <v>6.4408396946564892</v>
      </c>
      <c r="J48" s="14">
        <f t="shared" si="2"/>
        <v>118.06059160305344</v>
      </c>
      <c r="K48" s="63">
        <f t="shared" si="3"/>
        <v>59.030295801526719</v>
      </c>
      <c r="L48" s="34">
        <f t="shared" si="4"/>
        <v>53.12726622137405</v>
      </c>
      <c r="M48" s="34"/>
      <c r="O48" s="34">
        <f t="shared" si="5"/>
        <v>21.641221374045802</v>
      </c>
      <c r="R48" s="34">
        <f t="shared" si="6"/>
        <v>1239.636211832061</v>
      </c>
      <c r="S48" s="34">
        <f t="shared" si="7"/>
        <v>1115.672590648855</v>
      </c>
      <c r="T48" s="34">
        <f t="shared" si="8"/>
        <v>454.46564885496184</v>
      </c>
    </row>
    <row r="49" spans="2:25">
      <c r="C49">
        <v>29</v>
      </c>
      <c r="D49" t="s">
        <v>145</v>
      </c>
      <c r="E49" s="1">
        <v>103.76908396946564</v>
      </c>
      <c r="F49" s="1">
        <f t="shared" si="0"/>
        <v>108.95753816793892</v>
      </c>
      <c r="G49" s="79">
        <v>66.67</v>
      </c>
      <c r="H49" s="34">
        <f>'Mengde råvarer i hver rett'!AP64*'Prisliste og råvarekost + Svinn'!C49+'Prisliste og råvarekost + Svinn'!C51*'Mengde råvarer i hver rett'!AT64</f>
        <v>4.29</v>
      </c>
      <c r="I49" s="1">
        <f t="shared" si="1"/>
        <v>5.1884541984732806</v>
      </c>
      <c r="J49" s="14">
        <f t="shared" si="2"/>
        <v>345.91424141221364</v>
      </c>
      <c r="K49" s="63">
        <f t="shared" si="3"/>
        <v>172.95712070610682</v>
      </c>
      <c r="L49" s="34">
        <f t="shared" si="4"/>
        <v>155.66140863549614</v>
      </c>
      <c r="M49" s="34"/>
      <c r="O49" s="34">
        <f t="shared" si="5"/>
        <v>22.258468511450374</v>
      </c>
      <c r="R49" s="34">
        <f t="shared" si="6"/>
        <v>3632.099534828244</v>
      </c>
      <c r="S49" s="34">
        <f t="shared" si="7"/>
        <v>3268.8895813454201</v>
      </c>
      <c r="T49" s="34">
        <f t="shared" si="8"/>
        <v>467.42783874045796</v>
      </c>
    </row>
    <row r="50" spans="2:25">
      <c r="C50">
        <v>30</v>
      </c>
      <c r="D50" t="s">
        <v>147</v>
      </c>
      <c r="E50" s="1">
        <v>67.986641221374043</v>
      </c>
      <c r="F50" s="1">
        <f t="shared" si="0"/>
        <v>71.385973282442748</v>
      </c>
      <c r="G50" s="79">
        <v>66.67</v>
      </c>
      <c r="H50" s="34">
        <f>'Mengde råvarer i hver rett'!AS67*'Prisliste og råvarekost + Svinn'!C48+'Prisliste og råvarekost + Svinn'!C51*'Mengde råvarer i hver rett'!AT64</f>
        <v>5.8100000000000005</v>
      </c>
      <c r="I50" s="1">
        <f t="shared" si="1"/>
        <v>3.399332061068705</v>
      </c>
      <c r="J50" s="14">
        <f t="shared" si="2"/>
        <v>226.63346851145056</v>
      </c>
      <c r="K50" s="63">
        <f t="shared" si="3"/>
        <v>113.31673425572528</v>
      </c>
      <c r="L50" s="34">
        <f t="shared" si="4"/>
        <v>101.98506083015275</v>
      </c>
      <c r="M50" s="34"/>
      <c r="O50" s="34">
        <f t="shared" si="5"/>
        <v>19.750119274809176</v>
      </c>
      <c r="R50" s="34">
        <f t="shared" si="6"/>
        <v>2379.6514193702292</v>
      </c>
      <c r="S50" s="34">
        <f t="shared" si="7"/>
        <v>2141.6862774332062</v>
      </c>
      <c r="T50" s="34">
        <f t="shared" si="8"/>
        <v>414.7525047709924</v>
      </c>
    </row>
    <row r="51" spans="2:25">
      <c r="E51" s="1">
        <f>SUM(E46:E50)</f>
        <v>697.75763358778624</v>
      </c>
      <c r="F51" s="1">
        <f t="shared" si="0"/>
        <v>732.6455152671756</v>
      </c>
      <c r="G51" s="79"/>
      <c r="I51" s="1">
        <f t="shared" si="1"/>
        <v>34.887881679389352</v>
      </c>
      <c r="J51" s="14">
        <f t="shared" si="2"/>
        <v>0</v>
      </c>
      <c r="K51" s="63"/>
      <c r="L51" s="34"/>
      <c r="M51" s="34"/>
      <c r="O51" s="34"/>
      <c r="R51" s="34">
        <f t="shared" si="6"/>
        <v>0</v>
      </c>
      <c r="S51" s="34">
        <f t="shared" si="7"/>
        <v>0</v>
      </c>
      <c r="T51" s="34"/>
    </row>
    <row r="52" spans="2:25">
      <c r="F52" s="1"/>
      <c r="I52" s="1"/>
      <c r="J52" s="14"/>
      <c r="K52" s="63"/>
      <c r="L52" s="34"/>
      <c r="M52" s="34"/>
      <c r="O52" s="34"/>
      <c r="R52" s="34">
        <f t="shared" si="6"/>
        <v>0</v>
      </c>
      <c r="S52" s="34">
        <f t="shared" si="7"/>
        <v>0</v>
      </c>
      <c r="T52" s="34"/>
    </row>
    <row r="53" spans="2:25">
      <c r="F53" s="1"/>
      <c r="I53" s="1"/>
      <c r="J53" s="14"/>
      <c r="K53" s="63"/>
      <c r="L53" s="34"/>
      <c r="M53" s="34"/>
      <c r="O53" s="34"/>
      <c r="R53" s="34">
        <f t="shared" si="6"/>
        <v>0</v>
      </c>
      <c r="S53" s="34">
        <f t="shared" si="7"/>
        <v>0</v>
      </c>
      <c r="T53" s="34"/>
    </row>
    <row r="54" spans="2:25">
      <c r="F54" s="1"/>
      <c r="I54" s="1"/>
      <c r="J54" s="14"/>
      <c r="K54" s="63"/>
      <c r="L54" s="34"/>
      <c r="M54" s="34"/>
      <c r="O54" s="34"/>
      <c r="R54" s="34">
        <f t="shared" si="6"/>
        <v>0</v>
      </c>
      <c r="S54" s="34">
        <f t="shared" si="7"/>
        <v>0</v>
      </c>
      <c r="T54" s="34"/>
    </row>
    <row r="55" spans="2:25">
      <c r="C55">
        <v>32</v>
      </c>
      <c r="D55" t="s">
        <v>143</v>
      </c>
      <c r="E55" s="1">
        <v>519</v>
      </c>
      <c r="F55" s="1">
        <f t="shared" si="0"/>
        <v>544.95000000000005</v>
      </c>
      <c r="G55" s="79">
        <v>74.17</v>
      </c>
      <c r="H55">
        <v>13.7</v>
      </c>
      <c r="I55" s="1">
        <f t="shared" si="1"/>
        <v>25.950000000000045</v>
      </c>
      <c r="J55" s="14">
        <f t="shared" si="2"/>
        <v>1924.7115000000035</v>
      </c>
      <c r="K55" s="63">
        <f t="shared" si="3"/>
        <v>962.35575000000176</v>
      </c>
      <c r="L55" s="34">
        <f t="shared" si="4"/>
        <v>866.12017500000161</v>
      </c>
      <c r="M55" s="34"/>
      <c r="O55" s="34">
        <f t="shared" si="5"/>
        <v>355.51500000000061</v>
      </c>
      <c r="R55" s="34">
        <f t="shared" si="6"/>
        <v>20209.47075</v>
      </c>
      <c r="S55" s="34">
        <f t="shared" si="7"/>
        <v>18188.523675</v>
      </c>
      <c r="T55" s="34">
        <f t="shared" si="8"/>
        <v>7465.8150000000005</v>
      </c>
    </row>
    <row r="56" spans="2:25">
      <c r="D56" s="17"/>
      <c r="O56" s="34"/>
      <c r="V56" t="s">
        <v>427</v>
      </c>
    </row>
    <row r="57" spans="2:25">
      <c r="D57" s="17"/>
      <c r="I57" t="s">
        <v>44</v>
      </c>
      <c r="J57" s="14">
        <f>SUM(J8:J55)</f>
        <v>47009.469712308171</v>
      </c>
      <c r="K57" s="14">
        <f t="shared" ref="K57:L57" si="9">SUM(K8:K55)</f>
        <v>23504.734856154086</v>
      </c>
      <c r="L57" s="14">
        <f t="shared" si="9"/>
        <v>21154.261370538683</v>
      </c>
      <c r="O57" s="125">
        <f>SUM(O8:O55)</f>
        <v>7951.0284157439519</v>
      </c>
      <c r="P57" s="135">
        <f>SUM(P8:P55)</f>
        <v>1969.5346381188376</v>
      </c>
      <c r="R57" s="143" t="s">
        <v>430</v>
      </c>
      <c r="S57" s="144">
        <f>SUM(S8:S55)+SUM(R8:R55)</f>
        <v>937838.92076054774</v>
      </c>
      <c r="T57" s="34">
        <f>SUM(T8:T55)</f>
        <v>166971.59673062287</v>
      </c>
      <c r="U57" s="34"/>
      <c r="V57" s="34">
        <f>T57/0.95</f>
        <v>175759.57550591882</v>
      </c>
      <c r="Y57" s="15"/>
    </row>
    <row r="58" spans="2:25">
      <c r="D58" s="17"/>
    </row>
    <row r="59" spans="2:25">
      <c r="B59" s="17" t="s">
        <v>347</v>
      </c>
      <c r="E59" s="1">
        <f>E55+E51+E43+E11+E36</f>
        <v>7499.6799616174958</v>
      </c>
      <c r="F59" s="1">
        <f>F55+F51+F43+F11+F36</f>
        <v>7874.6639596983705</v>
      </c>
      <c r="L59" s="34" t="s">
        <v>378</v>
      </c>
      <c r="M59" s="125">
        <f>K57+L57</f>
        <v>44658.996226692769</v>
      </c>
      <c r="S59" s="145" t="s">
        <v>425</v>
      </c>
      <c r="T59" s="146">
        <f>V57/S57</f>
        <v>0.18740912923872388</v>
      </c>
    </row>
  </sheetData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P27"/>
  <sheetViews>
    <sheetView workbookViewId="0">
      <selection activeCell="K26" sqref="K26"/>
    </sheetView>
  </sheetViews>
  <sheetFormatPr baseColWidth="10" defaultRowHeight="15" x14ac:dyDescent="0"/>
  <cols>
    <col min="6" max="6" width="12.5" bestFit="1" customWidth="1"/>
    <col min="10" max="10" width="15.83203125" bestFit="1" customWidth="1"/>
    <col min="11" max="11" width="18.5" bestFit="1" customWidth="1"/>
    <col min="15" max="15" width="12.5" bestFit="1" customWidth="1"/>
  </cols>
  <sheetData>
    <row r="2" spans="3:16">
      <c r="H2" t="s">
        <v>384</v>
      </c>
      <c r="I2" s="2">
        <v>0.25</v>
      </c>
    </row>
    <row r="4" spans="3:16">
      <c r="K4" s="17"/>
    </row>
    <row r="6" spans="3:16">
      <c r="C6" s="26" t="s">
        <v>380</v>
      </c>
      <c r="D6" s="26"/>
      <c r="E6" s="26"/>
      <c r="F6" s="160">
        <f>'Beregning av resultateffekt'!M59</f>
        <v>44658.996226692769</v>
      </c>
    </row>
    <row r="7" spans="3:16">
      <c r="C7" s="26" t="s">
        <v>381</v>
      </c>
      <c r="D7" s="26"/>
      <c r="E7" s="26"/>
      <c r="F7" s="160">
        <f>'Beregning av resultateffekt'!O57*-1</f>
        <v>-7951.0284157439519</v>
      </c>
    </row>
    <row r="8" spans="3:16">
      <c r="C8" s="26" t="s">
        <v>382</v>
      </c>
      <c r="D8" s="26"/>
      <c r="E8" s="26"/>
      <c r="F8" s="161">
        <f>'Prisliste og råvarekost + Svinn'!K77*0.5</f>
        <v>9663.9616793893074</v>
      </c>
      <c r="L8" s="34"/>
    </row>
    <row r="9" spans="3:16">
      <c r="C9" s="74" t="s">
        <v>419</v>
      </c>
      <c r="D9" s="26"/>
      <c r="E9" s="26"/>
      <c r="F9" s="161">
        <f>'Beregning av resultateffekt'!P57</f>
        <v>1969.5346381188376</v>
      </c>
      <c r="L9" s="34"/>
    </row>
    <row r="10" spans="3:16">
      <c r="C10" s="26" t="s">
        <v>383</v>
      </c>
      <c r="D10" s="26"/>
      <c r="E10" s="26"/>
      <c r="F10" s="160">
        <f>(øktråvarekost/(1-('Prisliste og råvarekost + Svinn'!L77/2))-øktråvarekost)*-1</f>
        <v>-435.14790602758785</v>
      </c>
      <c r="K10" s="139"/>
      <c r="L10" s="139"/>
      <c r="M10" s="139"/>
      <c r="N10" s="139"/>
      <c r="O10" s="139"/>
      <c r="P10" s="139"/>
    </row>
    <row r="11" spans="3:16">
      <c r="C11" s="36"/>
      <c r="D11" s="36"/>
      <c r="E11" s="36"/>
      <c r="F11" s="162"/>
      <c r="K11" s="151"/>
      <c r="L11" s="151"/>
      <c r="M11" s="151"/>
      <c r="N11" s="151"/>
      <c r="O11" s="151"/>
      <c r="P11" s="151"/>
    </row>
    <row r="12" spans="3:16">
      <c r="C12" s="130" t="s">
        <v>433</v>
      </c>
      <c r="D12" s="131"/>
      <c r="E12" s="131"/>
      <c r="F12" s="163">
        <f>SUM(F6:F11)</f>
        <v>47906.31622242937</v>
      </c>
      <c r="K12" s="151"/>
      <c r="L12" s="151"/>
      <c r="M12" s="151"/>
      <c r="N12" s="151"/>
      <c r="O12" s="151"/>
      <c r="P12" s="151"/>
    </row>
    <row r="13" spans="3:16">
      <c r="C13" s="131" t="s">
        <v>434</v>
      </c>
      <c r="D13" s="131"/>
      <c r="E13" s="131"/>
      <c r="F13" s="163">
        <f>F12*0.25*-1</f>
        <v>-11976.579055607343</v>
      </c>
      <c r="K13" s="151"/>
      <c r="L13" s="151"/>
      <c r="M13" s="165" t="s">
        <v>380</v>
      </c>
      <c r="N13" s="165"/>
      <c r="O13" s="166">
        <v>44658.996226692769</v>
      </c>
      <c r="P13" s="151"/>
    </row>
    <row r="14" spans="3:16" ht="16" thickBot="1">
      <c r="C14" s="132" t="s">
        <v>432</v>
      </c>
      <c r="D14" s="133"/>
      <c r="E14" s="133"/>
      <c r="F14" s="164">
        <f>SUM(F12:F13)</f>
        <v>35929.737166822029</v>
      </c>
      <c r="K14" s="151"/>
      <c r="L14" s="151"/>
      <c r="M14" s="165" t="s">
        <v>381</v>
      </c>
      <c r="N14" s="165"/>
      <c r="O14" s="166">
        <v>-7951.0284157439519</v>
      </c>
      <c r="P14" s="151"/>
    </row>
    <row r="15" spans="3:16" ht="16" thickTop="1">
      <c r="K15" s="151"/>
      <c r="L15" s="151"/>
      <c r="M15" s="165" t="s">
        <v>382</v>
      </c>
      <c r="N15" s="165"/>
      <c r="O15" s="166">
        <v>9663.9616793893074</v>
      </c>
      <c r="P15" s="151"/>
    </row>
    <row r="16" spans="3:16">
      <c r="K16" s="151"/>
      <c r="L16" s="165"/>
      <c r="M16" s="165" t="s">
        <v>419</v>
      </c>
      <c r="N16" s="165"/>
      <c r="O16" s="166">
        <v>1969.5346381188376</v>
      </c>
      <c r="P16" s="165"/>
    </row>
    <row r="17" spans="10:16">
      <c r="J17" s="139"/>
      <c r="K17" s="151"/>
      <c r="L17" s="165"/>
      <c r="M17" s="165" t="s">
        <v>383</v>
      </c>
      <c r="N17" s="165"/>
      <c r="O17" s="166">
        <v>-435.14790602758785</v>
      </c>
      <c r="P17" s="165"/>
    </row>
    <row r="18" spans="10:16">
      <c r="J18" s="74"/>
      <c r="K18" s="165"/>
      <c r="L18" s="165"/>
      <c r="M18" s="165" t="s">
        <v>433</v>
      </c>
      <c r="N18" s="167"/>
      <c r="O18" s="166">
        <v>47906.31622242937</v>
      </c>
      <c r="P18" s="165"/>
    </row>
    <row r="19" spans="10:16">
      <c r="J19" s="74"/>
      <c r="K19" s="165"/>
      <c r="L19" s="165"/>
      <c r="M19" s="165" t="s">
        <v>435</v>
      </c>
      <c r="N19" s="167"/>
      <c r="O19" s="166">
        <v>-11976.579055607343</v>
      </c>
      <c r="P19" s="165"/>
    </row>
    <row r="20" spans="10:16">
      <c r="J20" s="74"/>
      <c r="K20" s="165"/>
      <c r="L20" s="165"/>
      <c r="M20" s="169" t="s">
        <v>436</v>
      </c>
      <c r="N20" s="167"/>
      <c r="O20" s="166">
        <v>35929.737166822029</v>
      </c>
      <c r="P20" s="165"/>
    </row>
    <row r="21" spans="10:16">
      <c r="J21" s="74"/>
      <c r="K21" s="165"/>
      <c r="L21" s="165"/>
      <c r="M21" s="165"/>
      <c r="N21" s="167"/>
      <c r="O21" s="165"/>
      <c r="P21" s="165"/>
    </row>
    <row r="22" spans="10:16">
      <c r="J22" s="141"/>
      <c r="K22" s="168"/>
      <c r="L22" s="165"/>
      <c r="M22" s="165"/>
      <c r="N22" s="167"/>
      <c r="O22" s="165"/>
      <c r="P22" s="165"/>
    </row>
    <row r="23" spans="10:16">
      <c r="J23" s="74"/>
      <c r="K23" s="74"/>
      <c r="L23" s="74"/>
      <c r="M23" s="74"/>
      <c r="N23" s="140"/>
      <c r="O23" s="74"/>
      <c r="P23" s="74"/>
    </row>
    <row r="24" spans="10:16">
      <c r="J24" s="141"/>
      <c r="K24" s="141"/>
      <c r="L24" s="74"/>
      <c r="M24" s="74"/>
      <c r="N24" s="140"/>
      <c r="O24" s="74"/>
      <c r="P24" s="139"/>
    </row>
    <row r="25" spans="10:16">
      <c r="J25" s="74"/>
      <c r="K25" s="74"/>
      <c r="L25" s="74"/>
      <c r="M25" s="74"/>
      <c r="N25" s="140"/>
      <c r="O25" s="74"/>
      <c r="P25" s="139"/>
    </row>
    <row r="26" spans="10:16">
      <c r="J26" s="74"/>
      <c r="K26" s="74"/>
      <c r="L26" s="74"/>
      <c r="M26" s="74"/>
      <c r="N26" s="74"/>
      <c r="O26" s="74"/>
    </row>
    <row r="27" spans="10:16">
      <c r="J27" s="74"/>
      <c r="K27" s="74"/>
      <c r="L27" s="74"/>
      <c r="M27" s="74"/>
      <c r="N27" s="74"/>
      <c r="O27" s="74"/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Varekjøp (mai)</vt:lpstr>
      <vt:lpstr>Beregning %-satser for mai&amp;j</vt:lpstr>
      <vt:lpstr>Mengde råvarer i hver rett</vt:lpstr>
      <vt:lpstr>Prisliste og råvarekost + Svinn</vt:lpstr>
      <vt:lpstr>Svinneksempel</vt:lpstr>
      <vt:lpstr>Andre kinarestauranter</vt:lpstr>
      <vt:lpstr>Ny meny</vt:lpstr>
      <vt:lpstr>Beregning av resultateffekt</vt:lpstr>
      <vt:lpstr>Resultateffekt</vt:lpstr>
      <vt:lpstr>Regresjonsforsøk</vt:lpstr>
      <vt:lpstr>FeilLønnskost og Tidsbruk</vt:lpstr>
      <vt:lpstr>Feil2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Anders</cp:lastModifiedBy>
  <dcterms:created xsi:type="dcterms:W3CDTF">2017-03-14T18:24:10Z</dcterms:created>
  <dcterms:modified xsi:type="dcterms:W3CDTF">2017-06-01T23:40:11Z</dcterms:modified>
</cp:coreProperties>
</file>