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Mikael/Documents/Bachelor oppgave/"/>
    </mc:Choice>
  </mc:AlternateContent>
  <bookViews>
    <workbookView xWindow="0" yWindow="460" windowWidth="28800" windowHeight="17460" tabRatio="500" activeTab="4"/>
  </bookViews>
  <sheets>
    <sheet name="Nøkkeltall" sheetId="2" r:id="rId1"/>
    <sheet name="Inntekter" sheetId="6" r:id="rId2"/>
    <sheet name="Kost. Sykehus v. Frisk pasient" sheetId="1" r:id="rId3"/>
    <sheet name="Fremtidig Frisk" sheetId="8" r:id="rId4"/>
    <sheet name="Kost. Sykehus v. Syk pasient" sheetId="5" r:id="rId5"/>
    <sheet name="Fremtidig Syk" sheetId="10" r:id="rId6"/>
    <sheet name="- Ikke relevant" sheetId="3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2" l="1"/>
  <c r="D12" i="2"/>
  <c r="B6" i="10"/>
  <c r="C6" i="2"/>
  <c r="C6" i="10"/>
  <c r="D6" i="10"/>
  <c r="E6" i="10"/>
  <c r="E11" i="2"/>
  <c r="E12" i="2"/>
  <c r="B7" i="10"/>
  <c r="C7" i="10"/>
  <c r="D7" i="10"/>
  <c r="E7" i="10"/>
  <c r="C11" i="2"/>
  <c r="C12" i="2"/>
  <c r="B8" i="10"/>
  <c r="C8" i="10"/>
  <c r="D8" i="10"/>
  <c r="E8" i="10"/>
  <c r="G15" i="10"/>
  <c r="G17" i="10"/>
  <c r="G18" i="10"/>
  <c r="G19" i="10"/>
  <c r="G20" i="10"/>
  <c r="G21" i="10"/>
  <c r="D25" i="10"/>
  <c r="D26" i="10"/>
  <c r="F15" i="10"/>
  <c r="C26" i="10"/>
  <c r="F17" i="10"/>
  <c r="F18" i="10"/>
  <c r="F19" i="10"/>
  <c r="F20" i="10"/>
  <c r="F21" i="10"/>
  <c r="C25" i="10"/>
  <c r="B3" i="5"/>
  <c r="C3" i="5"/>
  <c r="D3" i="5"/>
  <c r="B4" i="5"/>
  <c r="C4" i="5"/>
  <c r="D4" i="5"/>
  <c r="B5" i="5"/>
  <c r="C5" i="5"/>
  <c r="D5" i="5"/>
  <c r="G12" i="5"/>
  <c r="C23" i="5"/>
  <c r="G14" i="5"/>
  <c r="G15" i="5"/>
  <c r="G16" i="5"/>
  <c r="G17" i="5"/>
  <c r="G18" i="5"/>
  <c r="C22" i="5"/>
  <c r="E17" i="2"/>
  <c r="C22" i="2"/>
  <c r="C24" i="2"/>
  <c r="E21" i="2"/>
  <c r="B11" i="10"/>
  <c r="C11" i="10"/>
  <c r="G26" i="10"/>
  <c r="G25" i="10"/>
  <c r="G27" i="10"/>
  <c r="D16" i="2"/>
  <c r="E16" i="2"/>
  <c r="E20" i="2"/>
  <c r="B12" i="10"/>
  <c r="C12" i="10"/>
  <c r="F26" i="10"/>
  <c r="F25" i="10"/>
  <c r="F27" i="10"/>
  <c r="E26" i="10"/>
  <c r="E25" i="10"/>
  <c r="E27" i="10"/>
  <c r="G16" i="10"/>
  <c r="D27" i="10"/>
  <c r="F16" i="10"/>
  <c r="C27" i="10"/>
  <c r="B12" i="8"/>
  <c r="C12" i="8"/>
  <c r="F26" i="8"/>
  <c r="F25" i="8"/>
  <c r="F27" i="8"/>
  <c r="B11" i="8"/>
  <c r="C11" i="8"/>
  <c r="G26" i="8"/>
  <c r="G25" i="8"/>
  <c r="G27" i="8"/>
  <c r="E25" i="8"/>
  <c r="B6" i="8"/>
  <c r="C6" i="8"/>
  <c r="D6" i="8"/>
  <c r="E6" i="8"/>
  <c r="B7" i="8"/>
  <c r="C7" i="8"/>
  <c r="D7" i="8"/>
  <c r="E7" i="8"/>
  <c r="B8" i="8"/>
  <c r="C8" i="8"/>
  <c r="D8" i="8"/>
  <c r="E8" i="8"/>
  <c r="G15" i="8"/>
  <c r="G16" i="8"/>
  <c r="G17" i="8"/>
  <c r="G18" i="8"/>
  <c r="G19" i="8"/>
  <c r="G20" i="8"/>
  <c r="G21" i="8"/>
  <c r="D25" i="8"/>
  <c r="D26" i="8"/>
  <c r="D27" i="8"/>
  <c r="F15" i="8"/>
  <c r="F16" i="8"/>
  <c r="F17" i="8"/>
  <c r="F18" i="8"/>
  <c r="F19" i="8"/>
  <c r="F20" i="8"/>
  <c r="F21" i="8"/>
  <c r="C25" i="8"/>
  <c r="C26" i="8"/>
  <c r="C27" i="8"/>
  <c r="E26" i="8"/>
  <c r="E27" i="8"/>
  <c r="B3" i="1"/>
  <c r="C3" i="1"/>
  <c r="D3" i="1"/>
  <c r="B4" i="1"/>
  <c r="C4" i="1"/>
  <c r="D4" i="1"/>
  <c r="B5" i="1"/>
  <c r="C5" i="1"/>
  <c r="D5" i="1"/>
  <c r="F12" i="1"/>
  <c r="F13" i="1"/>
  <c r="F14" i="1"/>
  <c r="F15" i="1"/>
  <c r="F16" i="1"/>
  <c r="F17" i="1"/>
  <c r="F18" i="1"/>
  <c r="C22" i="1"/>
  <c r="B9" i="1"/>
  <c r="F22" i="1"/>
  <c r="C5" i="6"/>
  <c r="C8" i="6"/>
  <c r="C10" i="6"/>
  <c r="C23" i="1"/>
  <c r="C24" i="1"/>
  <c r="C25" i="1"/>
  <c r="F23" i="1"/>
  <c r="F24" i="1"/>
  <c r="F25" i="1"/>
  <c r="B8" i="1"/>
  <c r="G23" i="1"/>
  <c r="G22" i="1"/>
  <c r="G24" i="1"/>
  <c r="G25" i="1"/>
  <c r="E23" i="5"/>
  <c r="E22" i="5"/>
  <c r="F23" i="5"/>
  <c r="F22" i="5"/>
  <c r="D22" i="5"/>
  <c r="E24" i="5"/>
  <c r="B8" i="5"/>
  <c r="H23" i="5"/>
  <c r="H22" i="5"/>
  <c r="H24" i="5"/>
  <c r="G13" i="5"/>
  <c r="C24" i="5"/>
  <c r="C25" i="5"/>
  <c r="H25" i="5"/>
  <c r="B9" i="5"/>
  <c r="G23" i="5"/>
  <c r="G22" i="5"/>
  <c r="G24" i="5"/>
  <c r="G25" i="5"/>
  <c r="F24" i="5"/>
  <c r="D24" i="5"/>
  <c r="D22" i="1"/>
  <c r="D23" i="1"/>
  <c r="D24" i="1"/>
  <c r="C17" i="3"/>
  <c r="C20" i="3"/>
  <c r="E23" i="1"/>
  <c r="E22" i="1"/>
  <c r="E24" i="1"/>
  <c r="C25" i="3"/>
  <c r="C28" i="3"/>
  <c r="C31" i="3"/>
  <c r="E23" i="2"/>
  <c r="E22" i="2"/>
  <c r="C18" i="2"/>
  <c r="F10" i="3"/>
  <c r="F12" i="3"/>
  <c r="F13" i="3"/>
  <c r="C32" i="3"/>
  <c r="C33" i="3"/>
  <c r="C10" i="3"/>
  <c r="C26" i="3"/>
  <c r="C27" i="3"/>
  <c r="C18" i="3"/>
  <c r="C19" i="3"/>
  <c r="C11" i="3"/>
  <c r="C12" i="3"/>
</calcChain>
</file>

<file path=xl/sharedStrings.xml><?xml version="1.0" encoding="utf-8"?>
<sst xmlns="http://schemas.openxmlformats.org/spreadsheetml/2006/main" count="255" uniqueCount="123">
  <si>
    <t>Sykepleier</t>
  </si>
  <si>
    <t>Lege</t>
  </si>
  <si>
    <t>Medisinsk sekretær</t>
  </si>
  <si>
    <t>Totalkostnad:</t>
  </si>
  <si>
    <t>Kostnad per tidsenhet:</t>
  </si>
  <si>
    <t>Aktiviteter:</t>
  </si>
  <si>
    <t>Legeminutter:</t>
  </si>
  <si>
    <t>Sykepleierminutter:</t>
  </si>
  <si>
    <t>Sekretærminutter:</t>
  </si>
  <si>
    <t>Tradisjonell kontroll</t>
  </si>
  <si>
    <t>Første kontroll (6-8 uker)</t>
  </si>
  <si>
    <t>Registrering av HM-pasient</t>
  </si>
  <si>
    <t>Behandling av std rapport HM</t>
  </si>
  <si>
    <t>Behandling av gul/rød rapport HM</t>
  </si>
  <si>
    <t>Behandling av egen insendt rapport HM</t>
  </si>
  <si>
    <t>Aktivitetsnr:</t>
  </si>
  <si>
    <t>A1</t>
  </si>
  <si>
    <t>A2</t>
  </si>
  <si>
    <t>A3</t>
  </si>
  <si>
    <t>A4</t>
  </si>
  <si>
    <t>A5</t>
  </si>
  <si>
    <t>A6</t>
  </si>
  <si>
    <t>HM:</t>
  </si>
  <si>
    <t>RK:</t>
  </si>
  <si>
    <t>Kostnad per aktivitet:</t>
  </si>
  <si>
    <t>Monitor</t>
  </si>
  <si>
    <t>A1/8+A2+Transport</t>
  </si>
  <si>
    <t>Totalt antall pasienter:</t>
  </si>
  <si>
    <t>Pasienter over til HM i scenario:</t>
  </si>
  <si>
    <t>Minutter spart i poliklinikk:</t>
  </si>
  <si>
    <t>Timer spart i poliklinikk:</t>
  </si>
  <si>
    <t>Ekstra sykepleierminutter nødvendig:</t>
  </si>
  <si>
    <t>Ekstra sykepleiertimer nødvendig:</t>
  </si>
  <si>
    <t>Ekstra sykepleierdager nødvendig:</t>
  </si>
  <si>
    <t>A7</t>
  </si>
  <si>
    <t>Sende brev</t>
  </si>
  <si>
    <t>Sats for sosiale kostnader:</t>
  </si>
  <si>
    <t>Helsesekretær</t>
  </si>
  <si>
    <t>Grunnlønn:</t>
  </si>
  <si>
    <t>Sosiale kostnader:</t>
  </si>
  <si>
    <t>Total lønn:</t>
  </si>
  <si>
    <t>Ett årsverk i minutter:</t>
  </si>
  <si>
    <t>Ett årsverk i timer (likt for alle):</t>
  </si>
  <si>
    <t>Praktisk kapasitet i minutter (80%):</t>
  </si>
  <si>
    <t>Lønn:</t>
  </si>
  <si>
    <t xml:space="preserve">Resterende livslengde benyttet: </t>
  </si>
  <si>
    <t>8 år</t>
  </si>
  <si>
    <t>Arbeidsdager spart i poliklinikken:</t>
  </si>
  <si>
    <t>Totale kostnader per pasient per år</t>
  </si>
  <si>
    <t>Differanse (absolutt)</t>
  </si>
  <si>
    <t>Sekretærtimer spart:</t>
  </si>
  <si>
    <t>Sekretærminutter spart:</t>
  </si>
  <si>
    <t>Totalt antall pasienter :</t>
  </si>
  <si>
    <t>Sekretærdagager spart:</t>
  </si>
  <si>
    <t>Kostnadsbesparelse dersom det kan taes ut:</t>
  </si>
  <si>
    <t xml:space="preserve">Tilleggskostnad nødvendig: </t>
  </si>
  <si>
    <t>Netto ekstra lønnskostnad nødvendig:</t>
  </si>
  <si>
    <t>Livsløp (år)</t>
  </si>
  <si>
    <t>Total kostnad per monitor:</t>
  </si>
  <si>
    <t>Årlig stk.kost monitor</t>
  </si>
  <si>
    <t>Total monitorkost per år:</t>
  </si>
  <si>
    <t>Kapasitet spart i poliklinikk ved overgang til HM (årlig)</t>
  </si>
  <si>
    <t>Ekstra sykepleierkapasitet nødvendig ved overgang til HM (årlig)</t>
  </si>
  <si>
    <t>Besparelse sekretærkapasitet ved overgang til HM (årlig)</t>
  </si>
  <si>
    <t>Ekstra kostnad nødvendig for monitor:</t>
  </si>
  <si>
    <t>Total årlig ekstrakost:</t>
  </si>
  <si>
    <t>Transport:</t>
  </si>
  <si>
    <t>Transport drosje:</t>
  </si>
  <si>
    <t>Totale transportkostnader:</t>
  </si>
  <si>
    <t>Transport fly:</t>
  </si>
  <si>
    <t xml:space="preserve">Transport diverse: </t>
  </si>
  <si>
    <t>Netto for sykehuset:</t>
  </si>
  <si>
    <t>Egenandel:</t>
  </si>
  <si>
    <t>Egenandel i prosent:</t>
  </si>
  <si>
    <t>Kostnader:</t>
  </si>
  <si>
    <t>Antall rekvisisjoner:</t>
  </si>
  <si>
    <t>Avg. kost per rekvisisjon:</t>
  </si>
  <si>
    <t>&gt;Drosje</t>
  </si>
  <si>
    <t>&gt;Fly</t>
  </si>
  <si>
    <t>Fly</t>
  </si>
  <si>
    <t>Drosje</t>
  </si>
  <si>
    <t>A1/8+A2/4+A3/8+A4*2+A5+A6+A7+Monitor/8+Transport/4</t>
  </si>
  <si>
    <t xml:space="preserve">Fly </t>
  </si>
  <si>
    <t>Sykepleierminutter per pasient pr år</t>
  </si>
  <si>
    <t xml:space="preserve">Sekretærminutter pr år </t>
  </si>
  <si>
    <t>Ekstrakost v. Drosje (d1)</t>
  </si>
  <si>
    <t>Ekstrakost v. Fly (d2)</t>
  </si>
  <si>
    <t>Frisk</t>
  </si>
  <si>
    <t>Scenario:</t>
  </si>
  <si>
    <t>Sykehusets kostnad for pasient med hjemmemonitorering=</t>
  </si>
  <si>
    <t>Sykehusets kostnad for pasient med rutinekontroll=</t>
  </si>
  <si>
    <t>Totalkost differanse (absolutt):</t>
  </si>
  <si>
    <t>Transportalternativer:</t>
  </si>
  <si>
    <t>Ingen</t>
  </si>
  <si>
    <t>Pasienttilstand:</t>
  </si>
  <si>
    <t>Syk</t>
  </si>
  <si>
    <t xml:space="preserve">Direkte kostnader: </t>
  </si>
  <si>
    <t>Ressursgrupper indirekte kost:</t>
  </si>
  <si>
    <t>Lønnskostnader + monitor</t>
  </si>
  <si>
    <t xml:space="preserve">Legeminutter pr år </t>
  </si>
  <si>
    <t>A1/8+A1/4+A3/8+A4*2+A5+A6+A7+Monitor/8+Transport/4</t>
  </si>
  <si>
    <t>A1/8+A1+Transport</t>
  </si>
  <si>
    <t>Et DRG-poeng 2016:</t>
  </si>
  <si>
    <t>Refusjon-vekt av IFS:</t>
  </si>
  <si>
    <t>DRG-vekt kontroll:</t>
  </si>
  <si>
    <t>Refusjon ved kontroll:</t>
  </si>
  <si>
    <t>Budsjett-vekt av IFS:</t>
  </si>
  <si>
    <t>Inntekt ved utført kontroll i fjor:</t>
  </si>
  <si>
    <t>Total nominell inntekt ved kontroll:</t>
  </si>
  <si>
    <t>Direkte kostnader:</t>
  </si>
  <si>
    <t>Kostnad per tidsenhet 2017:</t>
  </si>
  <si>
    <t>Kost per tidsenehet 2022:</t>
  </si>
  <si>
    <t>Inflasjon:</t>
  </si>
  <si>
    <t>Kostnad per aktivitet 2022</t>
  </si>
  <si>
    <t>Kostnad per aktivitet 2017:</t>
  </si>
  <si>
    <t>Lønnskostnader 2017:</t>
  </si>
  <si>
    <t>Lønnskost 2018:</t>
  </si>
  <si>
    <t>Kost v. drosje 2017</t>
  </si>
  <si>
    <t>Kost v. drosje 2022</t>
  </si>
  <si>
    <t>1182,19+d1*133,97+d2*625,28</t>
  </si>
  <si>
    <t>493,70+d1*535,89+d2*2501,11</t>
  </si>
  <si>
    <t>1177,66+d1*133,97+d2*625,28</t>
  </si>
  <si>
    <t>475,68+d1*535,89+d2*2501,11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</si>
</sst>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-* #,##0.0000_-;\-* #,##0.0000_-;_-* &quot;-&quot;????_-;_-@_-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0" borderId="1" xfId="0" applyBorder="1"/>
    <xf numFmtId="9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0" fillId="0" borderId="0" xfId="0" applyFill="1" applyBorder="1"/>
    <xf numFmtId="0" fontId="0" fillId="0" borderId="6" xfId="0" applyFill="1" applyBorder="1"/>
    <xf numFmtId="43" fontId="0" fillId="0" borderId="8" xfId="1" applyFont="1" applyBorder="1"/>
    <xf numFmtId="43" fontId="0" fillId="0" borderId="0" xfId="0" applyNumberFormat="1"/>
    <xf numFmtId="43" fontId="0" fillId="3" borderId="0" xfId="0" applyNumberFormat="1" applyFill="1"/>
    <xf numFmtId="43" fontId="0" fillId="0" borderId="0" xfId="1" applyFont="1"/>
    <xf numFmtId="2" fontId="0" fillId="0" borderId="0" xfId="0" applyNumberFormat="1"/>
    <xf numFmtId="43" fontId="0" fillId="0" borderId="0" xfId="1" applyFont="1" applyBorder="1"/>
    <xf numFmtId="43" fontId="0" fillId="0" borderId="5" xfId="0" applyNumberFormat="1" applyBorder="1"/>
    <xf numFmtId="2" fontId="0" fillId="0" borderId="5" xfId="0" applyNumberFormat="1" applyBorder="1"/>
    <xf numFmtId="165" fontId="0" fillId="0" borderId="5" xfId="0" applyNumberFormat="1" applyBorder="1"/>
    <xf numFmtId="164" fontId="0" fillId="0" borderId="7" xfId="0" applyNumberFormat="1" applyBorder="1"/>
    <xf numFmtId="43" fontId="0" fillId="0" borderId="0" xfId="1" applyFont="1" applyFill="1"/>
    <xf numFmtId="43" fontId="0" fillId="0" borderId="0" xfId="0" applyNumberFormat="1" applyFill="1"/>
    <xf numFmtId="9" fontId="0" fillId="0" borderId="0" xfId="0" applyNumberFormat="1" applyBorder="1"/>
    <xf numFmtId="0" fontId="0" fillId="0" borderId="9" xfId="0" applyBorder="1"/>
    <xf numFmtId="0" fontId="0" fillId="0" borderId="10" xfId="0" applyBorder="1" applyAlignment="1">
      <alignment horizontal="right"/>
    </xf>
    <xf numFmtId="2" fontId="0" fillId="0" borderId="0" xfId="0" applyNumberFormat="1" applyFill="1"/>
    <xf numFmtId="2" fontId="0" fillId="0" borderId="8" xfId="0" applyNumberFormat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2" fontId="0" fillId="0" borderId="3" xfId="0" applyNumberFormat="1" applyBorder="1"/>
    <xf numFmtId="2" fontId="0" fillId="0" borderId="0" xfId="0" applyNumberFormat="1" applyBorder="1"/>
    <xf numFmtId="0" fontId="0" fillId="5" borderId="4" xfId="0" applyFill="1" applyBorder="1"/>
    <xf numFmtId="0" fontId="0" fillId="5" borderId="5" xfId="0" applyFill="1" applyBorder="1"/>
    <xf numFmtId="0" fontId="0" fillId="4" borderId="6" xfId="0" applyFill="1" applyBorder="1"/>
    <xf numFmtId="0" fontId="0" fillId="4" borderId="8" xfId="0" applyFill="1" applyBorder="1"/>
    <xf numFmtId="10" fontId="0" fillId="0" borderId="0" xfId="0" applyNumberFormat="1"/>
    <xf numFmtId="2" fontId="0" fillId="0" borderId="7" xfId="0" applyNumberFormat="1" applyBorder="1"/>
    <xf numFmtId="2" fontId="0" fillId="0" borderId="2" xfId="0" applyNumberFormat="1" applyBorder="1"/>
    <xf numFmtId="0" fontId="0" fillId="6" borderId="3" xfId="0" applyFill="1" applyBorder="1"/>
    <xf numFmtId="0" fontId="0" fillId="6" borderId="0" xfId="0" applyFill="1"/>
    <xf numFmtId="2" fontId="0" fillId="6" borderId="0" xfId="0" applyNumberFormat="1" applyFill="1"/>
    <xf numFmtId="2" fontId="0" fillId="6" borderId="5" xfId="0" applyNumberFormat="1" applyFill="1" applyBorder="1"/>
    <xf numFmtId="2" fontId="0" fillId="6" borderId="8" xfId="0" applyNumberFormat="1" applyFill="1" applyBorder="1"/>
    <xf numFmtId="2" fontId="0" fillId="6" borderId="3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workbookViewId="0">
      <selection activeCell="G22" sqref="G22"/>
    </sheetView>
  </sheetViews>
  <sheetFormatPr baseColWidth="10" defaultRowHeight="16" x14ac:dyDescent="0.2"/>
  <cols>
    <col min="2" max="2" width="25.6640625" bestFit="1" customWidth="1"/>
    <col min="3" max="3" width="14.83203125" bestFit="1" customWidth="1"/>
    <col min="4" max="4" width="17.1640625" bestFit="1" customWidth="1"/>
    <col min="5" max="5" width="21" customWidth="1"/>
    <col min="7" max="7" width="42.83203125" bestFit="1" customWidth="1"/>
  </cols>
  <sheetData>
    <row r="3" spans="2:9" ht="17" thickBot="1" x14ac:dyDescent="0.25">
      <c r="B3" t="s">
        <v>44</v>
      </c>
      <c r="C3" s="1"/>
      <c r="G3" s="9" t="s">
        <v>88</v>
      </c>
      <c r="H3" s="9"/>
      <c r="I3" s="9"/>
    </row>
    <row r="4" spans="2:9" ht="17" thickBot="1" x14ac:dyDescent="0.25">
      <c r="B4" s="3" t="s">
        <v>36</v>
      </c>
      <c r="C4" s="4">
        <v>0.3</v>
      </c>
      <c r="D4" s="5"/>
      <c r="E4" s="6"/>
      <c r="G4" s="30" t="s">
        <v>45</v>
      </c>
      <c r="H4" s="31" t="s">
        <v>46</v>
      </c>
      <c r="I4" s="9"/>
    </row>
    <row r="5" spans="2:9" x14ac:dyDescent="0.2">
      <c r="B5" s="7" t="s">
        <v>42</v>
      </c>
      <c r="C5" s="8">
        <v>1750</v>
      </c>
      <c r="D5" s="9"/>
      <c r="E5" s="10"/>
      <c r="G5" s="9"/>
      <c r="H5" s="29"/>
      <c r="I5" s="9"/>
    </row>
    <row r="6" spans="2:9" ht="17" thickBot="1" x14ac:dyDescent="0.25">
      <c r="B6" s="7" t="s">
        <v>41</v>
      </c>
      <c r="C6" s="8">
        <f>C5*60</f>
        <v>105000</v>
      </c>
      <c r="D6" s="9"/>
      <c r="E6" s="10"/>
      <c r="G6" s="9" t="s">
        <v>92</v>
      </c>
      <c r="H6" s="9"/>
      <c r="I6" s="9"/>
    </row>
    <row r="7" spans="2:9" x14ac:dyDescent="0.2">
      <c r="B7" s="7"/>
      <c r="C7" s="9"/>
      <c r="D7" s="9"/>
      <c r="E7" s="10"/>
      <c r="G7" s="36" t="s">
        <v>93</v>
      </c>
      <c r="H7" s="9"/>
      <c r="I7" s="9"/>
    </row>
    <row r="8" spans="2:9" x14ac:dyDescent="0.2">
      <c r="B8" s="7"/>
      <c r="C8" s="9"/>
      <c r="D8" s="9"/>
      <c r="E8" s="10"/>
      <c r="G8" s="38" t="s">
        <v>79</v>
      </c>
      <c r="H8" s="9"/>
      <c r="I8" s="9"/>
    </row>
    <row r="9" spans="2:9" ht="17" thickBot="1" x14ac:dyDescent="0.25">
      <c r="B9" s="7"/>
      <c r="C9" s="9" t="s">
        <v>37</v>
      </c>
      <c r="D9" s="9" t="s">
        <v>1</v>
      </c>
      <c r="E9" s="10" t="s">
        <v>0</v>
      </c>
      <c r="G9" s="37" t="s">
        <v>80</v>
      </c>
      <c r="H9" s="9"/>
      <c r="I9" s="9"/>
    </row>
    <row r="10" spans="2:9" x14ac:dyDescent="0.2">
      <c r="B10" s="7" t="s">
        <v>38</v>
      </c>
      <c r="C10" s="9">
        <v>339400</v>
      </c>
      <c r="D10" s="9">
        <v>741000</v>
      </c>
      <c r="E10" s="10">
        <v>520000</v>
      </c>
      <c r="G10" s="9"/>
      <c r="H10" s="9"/>
      <c r="I10" s="9"/>
    </row>
    <row r="11" spans="2:9" ht="17" thickBot="1" x14ac:dyDescent="0.25">
      <c r="B11" s="7" t="s">
        <v>39</v>
      </c>
      <c r="C11" s="9">
        <f>C10*C4</f>
        <v>101820</v>
      </c>
      <c r="D11" s="9">
        <f>D10*0.3</f>
        <v>222300</v>
      </c>
      <c r="E11" s="10">
        <f>E10*0.3</f>
        <v>156000</v>
      </c>
      <c r="G11" s="15" t="s">
        <v>94</v>
      </c>
      <c r="H11" s="9"/>
      <c r="I11" s="9"/>
    </row>
    <row r="12" spans="2:9" ht="17" thickBot="1" x14ac:dyDescent="0.25">
      <c r="B12" s="11" t="s">
        <v>40</v>
      </c>
      <c r="C12" s="12">
        <f>SUM(C10:C11)</f>
        <v>441220</v>
      </c>
      <c r="D12" s="12">
        <f>D10+D11</f>
        <v>963300</v>
      </c>
      <c r="E12" s="13">
        <f>E10+E11</f>
        <v>676000</v>
      </c>
      <c r="G12" s="36" t="s">
        <v>87</v>
      </c>
    </row>
    <row r="13" spans="2:9" ht="17" thickBot="1" x14ac:dyDescent="0.25">
      <c r="G13" s="37" t="s">
        <v>95</v>
      </c>
    </row>
    <row r="14" spans="2:9" ht="17" thickBot="1" x14ac:dyDescent="0.25">
      <c r="B14" t="s">
        <v>66</v>
      </c>
    </row>
    <row r="15" spans="2:9" x14ac:dyDescent="0.2">
      <c r="B15" s="3"/>
      <c r="C15" s="5" t="s">
        <v>74</v>
      </c>
      <c r="D15" s="5" t="s">
        <v>75</v>
      </c>
      <c r="E15" s="6" t="s">
        <v>76</v>
      </c>
    </row>
    <row r="16" spans="2:9" x14ac:dyDescent="0.2">
      <c r="B16" s="7" t="s">
        <v>67</v>
      </c>
      <c r="C16" s="22">
        <v>89960124</v>
      </c>
      <c r="D16" s="9">
        <f>105115+37213</f>
        <v>142328</v>
      </c>
      <c r="E16" s="23">
        <f>C16/D16</f>
        <v>632.06202574335339</v>
      </c>
    </row>
    <row r="17" spans="2:6" x14ac:dyDescent="0.2">
      <c r="B17" s="7" t="s">
        <v>69</v>
      </c>
      <c r="C17" s="22">
        <v>87530998</v>
      </c>
      <c r="D17" s="9">
        <v>29672</v>
      </c>
      <c r="E17" s="23">
        <f>C17/D17</f>
        <v>2949.9527500674035</v>
      </c>
    </row>
    <row r="18" spans="2:6" x14ac:dyDescent="0.2">
      <c r="B18" s="7" t="s">
        <v>70</v>
      </c>
      <c r="C18" s="22">
        <f>C19-C17-C16</f>
        <v>44364710</v>
      </c>
      <c r="D18" s="9"/>
      <c r="E18" s="10"/>
    </row>
    <row r="19" spans="2:6" x14ac:dyDescent="0.2">
      <c r="B19" s="7" t="s">
        <v>68</v>
      </c>
      <c r="C19" s="22">
        <v>221855832</v>
      </c>
      <c r="D19" s="9"/>
      <c r="E19" s="10"/>
    </row>
    <row r="20" spans="2:6" x14ac:dyDescent="0.2">
      <c r="B20" s="7" t="s">
        <v>71</v>
      </c>
      <c r="C20" s="22">
        <v>188100000</v>
      </c>
      <c r="D20" s="9"/>
      <c r="E20" s="24">
        <f>E16*(1-C24)</f>
        <v>535.89245759527648</v>
      </c>
      <c r="F20" t="s">
        <v>77</v>
      </c>
    </row>
    <row r="21" spans="2:6" x14ac:dyDescent="0.2">
      <c r="B21" s="7"/>
      <c r="C21" s="9"/>
      <c r="D21" s="9"/>
      <c r="E21" s="24">
        <f>E17*(1-C24)</f>
        <v>2501.1112274374586</v>
      </c>
      <c r="F21" t="s">
        <v>78</v>
      </c>
    </row>
    <row r="22" spans="2:6" x14ac:dyDescent="0.2">
      <c r="B22" s="7" t="s">
        <v>72</v>
      </c>
      <c r="C22" s="22">
        <f>C19-C20</f>
        <v>33755832</v>
      </c>
      <c r="D22" s="9"/>
      <c r="E22" s="25">
        <f>E16*C24</f>
        <v>96.169568148076948</v>
      </c>
      <c r="F22" t="s">
        <v>77</v>
      </c>
    </row>
    <row r="23" spans="2:6" x14ac:dyDescent="0.2">
      <c r="B23" s="7"/>
      <c r="C23" s="9"/>
      <c r="D23" s="9"/>
      <c r="E23" s="25">
        <f>E17*C24</f>
        <v>448.8415226299449</v>
      </c>
      <c r="F23" t="s">
        <v>78</v>
      </c>
    </row>
    <row r="24" spans="2:6" ht="17" thickBot="1" x14ac:dyDescent="0.25">
      <c r="B24" s="11" t="s">
        <v>73</v>
      </c>
      <c r="C24" s="26">
        <f>C22/C19</f>
        <v>0.15215210569718085</v>
      </c>
      <c r="D24" s="12"/>
      <c r="E2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B14" sqref="B14"/>
    </sheetView>
  </sheetViews>
  <sheetFormatPr baseColWidth="10" defaultRowHeight="16" x14ac:dyDescent="0.2"/>
  <cols>
    <col min="2" max="2" width="29.83203125" bestFit="1" customWidth="1"/>
  </cols>
  <sheetData>
    <row r="1" spans="2:3" ht="17" thickBot="1" x14ac:dyDescent="0.25"/>
    <row r="2" spans="2:3" x14ac:dyDescent="0.2">
      <c r="B2" s="3" t="s">
        <v>102</v>
      </c>
      <c r="C2" s="6">
        <v>42081</v>
      </c>
    </row>
    <row r="3" spans="2:3" x14ac:dyDescent="0.2">
      <c r="B3" s="7" t="s">
        <v>104</v>
      </c>
      <c r="C3" s="10">
        <v>0.04</v>
      </c>
    </row>
    <row r="4" spans="2:3" x14ac:dyDescent="0.2">
      <c r="B4" s="7" t="s">
        <v>103</v>
      </c>
      <c r="C4" s="10">
        <v>0.5</v>
      </c>
    </row>
    <row r="5" spans="2:3" x14ac:dyDescent="0.2">
      <c r="B5" s="41" t="s">
        <v>105</v>
      </c>
      <c r="C5" s="42">
        <f>C2*C3*C4</f>
        <v>841.62</v>
      </c>
    </row>
    <row r="6" spans="2:3" x14ac:dyDescent="0.2">
      <c r="B6" s="7"/>
      <c r="C6" s="10"/>
    </row>
    <row r="7" spans="2:3" x14ac:dyDescent="0.2">
      <c r="B7" s="7" t="s">
        <v>106</v>
      </c>
      <c r="C7" s="10">
        <v>0.5</v>
      </c>
    </row>
    <row r="8" spans="2:3" x14ac:dyDescent="0.2">
      <c r="B8" s="41" t="s">
        <v>107</v>
      </c>
      <c r="C8" s="42">
        <f>C5</f>
        <v>841.62</v>
      </c>
    </row>
    <row r="9" spans="2:3" x14ac:dyDescent="0.2">
      <c r="B9" s="7"/>
      <c r="C9" s="10"/>
    </row>
    <row r="10" spans="2:3" ht="17" thickBot="1" x14ac:dyDescent="0.25">
      <c r="B10" s="43" t="s">
        <v>108</v>
      </c>
      <c r="C10" s="44">
        <f>C5+C8</f>
        <v>1683.24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zoomScale="94" workbookViewId="0">
      <selection activeCell="B29" sqref="B29"/>
    </sheetView>
  </sheetViews>
  <sheetFormatPr baseColWidth="10" defaultRowHeight="16" x14ac:dyDescent="0.2"/>
  <cols>
    <col min="1" max="1" width="51.5" bestFit="1" customWidth="1"/>
    <col min="2" max="2" width="50.33203125" customWidth="1"/>
    <col min="3" max="3" width="29.6640625" bestFit="1" customWidth="1"/>
    <col min="4" max="4" width="30.1640625" customWidth="1"/>
    <col min="5" max="5" width="21.6640625" customWidth="1"/>
    <col min="6" max="6" width="20.83203125" bestFit="1" customWidth="1"/>
    <col min="7" max="7" width="17.83203125" bestFit="1" customWidth="1"/>
    <col min="8" max="8" width="30.5" bestFit="1" customWidth="1"/>
  </cols>
  <sheetData>
    <row r="2" spans="1:6" ht="17" thickBot="1" x14ac:dyDescent="0.25">
      <c r="A2" t="s">
        <v>97</v>
      </c>
      <c r="B2" t="s">
        <v>3</v>
      </c>
      <c r="C2" t="s">
        <v>43</v>
      </c>
      <c r="D2" t="s">
        <v>4</v>
      </c>
    </row>
    <row r="3" spans="1:6" x14ac:dyDescent="0.2">
      <c r="A3" s="3" t="s">
        <v>1</v>
      </c>
      <c r="B3" s="5">
        <f>Nøkkeltall!D12</f>
        <v>963300</v>
      </c>
      <c r="C3" s="5">
        <f>Nøkkeltall!C6*0.8</f>
        <v>84000</v>
      </c>
      <c r="D3" s="39">
        <f>B3/C3</f>
        <v>11.467857142857143</v>
      </c>
    </row>
    <row r="4" spans="1:6" x14ac:dyDescent="0.2">
      <c r="A4" s="7" t="s">
        <v>0</v>
      </c>
      <c r="B4" s="9">
        <f>Nøkkeltall!E12</f>
        <v>676000</v>
      </c>
      <c r="C4" s="9">
        <f>C3</f>
        <v>84000</v>
      </c>
      <c r="D4" s="24">
        <f>B4/C4</f>
        <v>8.0476190476190474</v>
      </c>
    </row>
    <row r="5" spans="1:6" ht="17" thickBot="1" x14ac:dyDescent="0.25">
      <c r="A5" s="11" t="s">
        <v>2</v>
      </c>
      <c r="B5" s="12">
        <f>Nøkkeltall!C12</f>
        <v>441220</v>
      </c>
      <c r="C5" s="12">
        <f>C4</f>
        <v>84000</v>
      </c>
      <c r="D5" s="33">
        <f>B5/C5</f>
        <v>5.2526190476190475</v>
      </c>
    </row>
    <row r="6" spans="1:6" ht="17" thickBot="1" x14ac:dyDescent="0.25">
      <c r="A6" t="s">
        <v>96</v>
      </c>
    </row>
    <row r="7" spans="1:6" x14ac:dyDescent="0.2">
      <c r="A7" s="3" t="s">
        <v>25</v>
      </c>
      <c r="B7" s="6">
        <v>5275</v>
      </c>
    </row>
    <row r="8" spans="1:6" x14ac:dyDescent="0.2">
      <c r="A8" s="7" t="s">
        <v>82</v>
      </c>
      <c r="B8" s="24">
        <f>Nøkkeltall!E21</f>
        <v>2501.1112274374586</v>
      </c>
    </row>
    <row r="9" spans="1:6" ht="17" thickBot="1" x14ac:dyDescent="0.25">
      <c r="A9" s="11" t="s">
        <v>80</v>
      </c>
      <c r="B9" s="33">
        <f>Nøkkeltall!E20</f>
        <v>535.89245759527648</v>
      </c>
    </row>
    <row r="10" spans="1:6" ht="17" thickBot="1" x14ac:dyDescent="0.25"/>
    <row r="11" spans="1:6" x14ac:dyDescent="0.2">
      <c r="A11" s="3" t="s">
        <v>15</v>
      </c>
      <c r="B11" s="5" t="s">
        <v>5</v>
      </c>
      <c r="C11" s="5" t="s">
        <v>6</v>
      </c>
      <c r="D11" s="5" t="s">
        <v>7</v>
      </c>
      <c r="E11" s="5" t="s">
        <v>8</v>
      </c>
      <c r="F11" s="6" t="s">
        <v>24</v>
      </c>
    </row>
    <row r="12" spans="1:6" x14ac:dyDescent="0.2">
      <c r="A12" s="7" t="s">
        <v>16</v>
      </c>
      <c r="B12" s="9" t="s">
        <v>10</v>
      </c>
      <c r="C12" s="9">
        <v>30</v>
      </c>
      <c r="D12" s="9">
        <v>0</v>
      </c>
      <c r="E12" s="9">
        <v>15</v>
      </c>
      <c r="F12" s="24">
        <f t="shared" ref="F12:F18" si="0">C12*$D$3+D12*$D$4+$D$5*E12</f>
        <v>422.82499999999999</v>
      </c>
    </row>
    <row r="13" spans="1:6" x14ac:dyDescent="0.2">
      <c r="A13" s="7" t="s">
        <v>17</v>
      </c>
      <c r="B13" s="9" t="s">
        <v>9</v>
      </c>
      <c r="C13" s="9">
        <v>0</v>
      </c>
      <c r="D13" s="9">
        <v>45</v>
      </c>
      <c r="E13" s="9">
        <v>15</v>
      </c>
      <c r="F13" s="24">
        <f t="shared" si="0"/>
        <v>440.93214285714282</v>
      </c>
    </row>
    <row r="14" spans="1:6" x14ac:dyDescent="0.2">
      <c r="A14" s="7" t="s">
        <v>18</v>
      </c>
      <c r="B14" s="9" t="s">
        <v>11</v>
      </c>
      <c r="C14" s="9">
        <v>0</v>
      </c>
      <c r="D14" s="9">
        <v>20</v>
      </c>
      <c r="E14" s="9">
        <v>0</v>
      </c>
      <c r="F14" s="24">
        <f t="shared" si="0"/>
        <v>160.95238095238096</v>
      </c>
    </row>
    <row r="15" spans="1:6" x14ac:dyDescent="0.2">
      <c r="A15" s="7" t="s">
        <v>19</v>
      </c>
      <c r="B15" s="9" t="s">
        <v>12</v>
      </c>
      <c r="C15" s="9">
        <v>0</v>
      </c>
      <c r="D15" s="9">
        <v>9.3000000000000007</v>
      </c>
      <c r="E15" s="9">
        <v>0</v>
      </c>
      <c r="F15" s="24">
        <f t="shared" si="0"/>
        <v>74.842857142857142</v>
      </c>
    </row>
    <row r="16" spans="1:6" x14ac:dyDescent="0.2">
      <c r="A16" s="7" t="s">
        <v>20</v>
      </c>
      <c r="B16" s="9" t="s">
        <v>13</v>
      </c>
      <c r="C16" s="9">
        <v>0</v>
      </c>
      <c r="D16" s="9">
        <v>9.3000000000000007</v>
      </c>
      <c r="E16" s="9">
        <v>0</v>
      </c>
      <c r="F16" s="24">
        <f t="shared" si="0"/>
        <v>74.842857142857142</v>
      </c>
    </row>
    <row r="17" spans="1:7" x14ac:dyDescent="0.2">
      <c r="A17" s="7" t="s">
        <v>21</v>
      </c>
      <c r="B17" s="9" t="s">
        <v>14</v>
      </c>
      <c r="C17" s="9">
        <v>0</v>
      </c>
      <c r="D17" s="9">
        <v>9.3000000000000007</v>
      </c>
      <c r="E17" s="9">
        <v>0</v>
      </c>
      <c r="F17" s="24">
        <f t="shared" si="0"/>
        <v>74.842857142857142</v>
      </c>
    </row>
    <row r="18" spans="1:7" ht="17" thickBot="1" x14ac:dyDescent="0.25">
      <c r="A18" s="11" t="s">
        <v>34</v>
      </c>
      <c r="B18" s="12" t="s">
        <v>35</v>
      </c>
      <c r="C18" s="12">
        <v>0</v>
      </c>
      <c r="D18" s="12">
        <v>5</v>
      </c>
      <c r="E18" s="12">
        <v>0</v>
      </c>
      <c r="F18" s="33">
        <f t="shared" si="0"/>
        <v>40.238095238095241</v>
      </c>
    </row>
    <row r="21" spans="1:7" x14ac:dyDescent="0.2">
      <c r="A21" s="14"/>
      <c r="B21" s="14" t="s">
        <v>48</v>
      </c>
      <c r="C21" s="14" t="s">
        <v>98</v>
      </c>
      <c r="D21" s="14" t="s">
        <v>83</v>
      </c>
      <c r="E21" s="14" t="s">
        <v>84</v>
      </c>
      <c r="F21" t="s">
        <v>85</v>
      </c>
      <c r="G21" t="s">
        <v>86</v>
      </c>
    </row>
    <row r="22" spans="1:7" x14ac:dyDescent="0.2">
      <c r="A22" s="14" t="s">
        <v>22</v>
      </c>
      <c r="B22" s="14" t="s">
        <v>81</v>
      </c>
      <c r="C22" s="32">
        <f>F12/8+F13/4+F14/8+F15*2+F16+F17+F18+B7/8</f>
        <v>1182.1897321428571</v>
      </c>
      <c r="D22" s="14">
        <f>D14/8+D15*2+D16+D17+D13/4+D18</f>
        <v>55.95</v>
      </c>
      <c r="E22" s="14">
        <f>E13*0.25</f>
        <v>3.75</v>
      </c>
      <c r="F22" s="21">
        <f>B9/4</f>
        <v>133.97311439881912</v>
      </c>
      <c r="G22" s="21">
        <f>B8/4</f>
        <v>625.27780685936466</v>
      </c>
    </row>
    <row r="23" spans="1:7" x14ac:dyDescent="0.2">
      <c r="A23" s="14" t="s">
        <v>23</v>
      </c>
      <c r="B23" s="14" t="s">
        <v>26</v>
      </c>
      <c r="C23" s="32">
        <f>F12/8+F13</f>
        <v>493.7852678571428</v>
      </c>
      <c r="D23" s="14">
        <f>D13</f>
        <v>45</v>
      </c>
      <c r="E23" s="14">
        <f>E13</f>
        <v>15</v>
      </c>
      <c r="F23" s="21">
        <f>B9</f>
        <v>535.89245759527648</v>
      </c>
      <c r="G23" s="21">
        <f>B8</f>
        <v>2501.1112274374586</v>
      </c>
    </row>
    <row r="24" spans="1:7" x14ac:dyDescent="0.2">
      <c r="A24" s="14" t="s">
        <v>49</v>
      </c>
      <c r="B24" s="14"/>
      <c r="C24" s="32">
        <f>C22-C23</f>
        <v>688.40446428571431</v>
      </c>
      <c r="D24" s="14">
        <f>D22-D23</f>
        <v>10.950000000000003</v>
      </c>
      <c r="E24" s="14">
        <f>E23-E22</f>
        <v>11.25</v>
      </c>
      <c r="F24" s="21">
        <f>F23-F22</f>
        <v>401.91934319645736</v>
      </c>
      <c r="G24" s="21">
        <f>G23-G22</f>
        <v>1875.8334205780939</v>
      </c>
    </row>
    <row r="25" spans="1:7" x14ac:dyDescent="0.2">
      <c r="A25" s="14" t="s">
        <v>91</v>
      </c>
      <c r="B25" s="14"/>
      <c r="C25" s="27">
        <f>C24</f>
        <v>688.40446428571431</v>
      </c>
      <c r="D25" s="14"/>
      <c r="E25" s="14"/>
      <c r="F25" s="18">
        <f>C25-F24</f>
        <v>286.48512108925695</v>
      </c>
      <c r="G25" s="18">
        <f>G24-C25</f>
        <v>1187.4289562923796</v>
      </c>
    </row>
    <row r="26" spans="1:7" x14ac:dyDescent="0.2">
      <c r="A26" s="15"/>
      <c r="B26" s="15"/>
      <c r="C26" s="28"/>
      <c r="D26" s="14"/>
      <c r="E26" s="14"/>
    </row>
    <row r="27" spans="1:7" x14ac:dyDescent="0.2">
      <c r="A27" s="35" t="s">
        <v>89</v>
      </c>
      <c r="B27" s="34" t="s">
        <v>119</v>
      </c>
      <c r="C27" s="14"/>
      <c r="D27" s="14"/>
      <c r="E27" s="14"/>
    </row>
    <row r="28" spans="1:7" x14ac:dyDescent="0.2">
      <c r="A28" s="35" t="s">
        <v>90</v>
      </c>
      <c r="B28" s="2" t="s">
        <v>120</v>
      </c>
      <c r="C28" s="14"/>
      <c r="D28" s="14"/>
      <c r="E28" s="14"/>
    </row>
    <row r="29" spans="1:7" x14ac:dyDescent="0.2">
      <c r="C29" s="14"/>
      <c r="D29" s="14"/>
      <c r="E29" s="14"/>
    </row>
    <row r="30" spans="1:7" x14ac:dyDescent="0.2">
      <c r="C30" s="14"/>
      <c r="D30" s="14"/>
      <c r="E30" s="14"/>
    </row>
    <row r="31" spans="1:7" x14ac:dyDescent="0.2">
      <c r="C31" s="14"/>
      <c r="D31" s="14"/>
      <c r="E31" s="14"/>
    </row>
    <row r="35" spans="1:2" x14ac:dyDescent="0.2">
      <c r="A35" s="9"/>
      <c r="B35" s="9"/>
    </row>
    <row r="36" spans="1:2" x14ac:dyDescent="0.2">
      <c r="A36" s="9"/>
      <c r="B36" s="9"/>
    </row>
    <row r="37" spans="1:2" x14ac:dyDescent="0.2">
      <c r="A37" s="9"/>
      <c r="B37" s="9"/>
    </row>
    <row r="38" spans="1:2" x14ac:dyDescent="0.2">
      <c r="A38" s="9"/>
      <c r="B38" s="9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15"/>
      <c r="B41" s="9"/>
    </row>
    <row r="42" spans="1:2" x14ac:dyDescent="0.2">
      <c r="A42" s="9"/>
      <c r="B42" s="9"/>
    </row>
    <row r="43" spans="1:2" x14ac:dyDescent="0.2">
      <c r="A43" s="9"/>
      <c r="B43" s="9"/>
    </row>
    <row r="44" spans="1:2" x14ac:dyDescent="0.2">
      <c r="A44" s="9"/>
      <c r="B44" s="9"/>
    </row>
    <row r="45" spans="1:2" x14ac:dyDescent="0.2">
      <c r="A45" s="9"/>
      <c r="B45" s="9"/>
    </row>
    <row r="46" spans="1:2" x14ac:dyDescent="0.2">
      <c r="A46" s="9"/>
      <c r="B46" s="9"/>
    </row>
    <row r="47" spans="1:2" x14ac:dyDescent="0.2">
      <c r="A47" s="9"/>
      <c r="B47" s="9"/>
    </row>
    <row r="48" spans="1:2" x14ac:dyDescent="0.2">
      <c r="A48" s="9"/>
      <c r="B48" s="9"/>
    </row>
    <row r="49" spans="1:2" x14ac:dyDescent="0.2">
      <c r="A49" s="9"/>
      <c r="B49" s="9"/>
    </row>
    <row r="50" spans="1:2" x14ac:dyDescent="0.2">
      <c r="A50" s="9"/>
      <c r="B50" s="9"/>
    </row>
    <row r="51" spans="1:2" x14ac:dyDescent="0.2">
      <c r="A51" s="9"/>
      <c r="B51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showFormulas="1" zoomScale="90" zoomScaleNormal="90" zoomScalePageLayoutView="90" workbookViewId="0">
      <selection activeCell="G43" sqref="G43"/>
    </sheetView>
  </sheetViews>
  <sheetFormatPr baseColWidth="10" defaultRowHeight="16" x14ac:dyDescent="0.2"/>
  <cols>
    <col min="1" max="1" width="19.6640625" customWidth="1"/>
    <col min="2" max="2" width="27" customWidth="1"/>
    <col min="3" max="3" width="18.5" customWidth="1"/>
    <col min="4" max="4" width="19.83203125" customWidth="1"/>
    <col min="5" max="5" width="12.83203125" customWidth="1"/>
    <col min="6" max="6" width="17.33203125" customWidth="1"/>
    <col min="7" max="7" width="16.6640625" customWidth="1"/>
    <col min="8" max="8" width="30.5" bestFit="1" customWidth="1"/>
  </cols>
  <sheetData>
    <row r="2" spans="1:7" x14ac:dyDescent="0.2">
      <c r="A2" t="s">
        <v>112</v>
      </c>
      <c r="B2" s="45">
        <v>2.5000000000000001E-2</v>
      </c>
    </row>
    <row r="5" spans="1:7" ht="17" thickBot="1" x14ac:dyDescent="0.25">
      <c r="A5" t="s">
        <v>97</v>
      </c>
      <c r="B5" t="s">
        <v>3</v>
      </c>
      <c r="C5" t="s">
        <v>43</v>
      </c>
      <c r="D5" t="s">
        <v>110</v>
      </c>
      <c r="E5" s="49" t="s">
        <v>111</v>
      </c>
    </row>
    <row r="6" spans="1:7" x14ac:dyDescent="0.2">
      <c r="A6" s="3" t="s">
        <v>1</v>
      </c>
      <c r="B6" s="5">
        <f>Nøkkeltall!D12</f>
        <v>963300</v>
      </c>
      <c r="C6" s="5">
        <f>Nøkkeltall!C6*0.8</f>
        <v>84000</v>
      </c>
      <c r="D6" s="47">
        <f>B6/C6</f>
        <v>11.467857142857143</v>
      </c>
      <c r="E6" s="53">
        <f>D6*(1+$B$2)^5</f>
        <v>12.974827755684986</v>
      </c>
    </row>
    <row r="7" spans="1:7" x14ac:dyDescent="0.2">
      <c r="A7" s="7" t="s">
        <v>0</v>
      </c>
      <c r="B7" s="9">
        <f>Nøkkeltall!E12</f>
        <v>676000</v>
      </c>
      <c r="C7" s="9">
        <f>C6</f>
        <v>84000</v>
      </c>
      <c r="D7" s="40">
        <f>B7/C7</f>
        <v>8.0476190476190474</v>
      </c>
      <c r="E7" s="51">
        <f t="shared" ref="E7:E8" si="0">D7*(1+$B$2)^5</f>
        <v>9.1051422846912171</v>
      </c>
    </row>
    <row r="8" spans="1:7" ht="17" thickBot="1" x14ac:dyDescent="0.25">
      <c r="A8" s="11" t="s">
        <v>2</v>
      </c>
      <c r="B8" s="12">
        <f>Nøkkeltall!C12</f>
        <v>441220</v>
      </c>
      <c r="C8" s="12">
        <f>C7</f>
        <v>84000</v>
      </c>
      <c r="D8" s="46">
        <f>B8/C8</f>
        <v>5.2526190476190475</v>
      </c>
      <c r="E8" s="52">
        <f t="shared" si="0"/>
        <v>5.9428563296619217</v>
      </c>
    </row>
    <row r="9" spans="1:7" ht="17" thickBot="1" x14ac:dyDescent="0.25"/>
    <row r="10" spans="1:7" x14ac:dyDescent="0.2">
      <c r="A10" s="3" t="s">
        <v>109</v>
      </c>
      <c r="B10" s="5">
        <v>2017</v>
      </c>
      <c r="C10" s="48">
        <v>2022</v>
      </c>
    </row>
    <row r="11" spans="1:7" x14ac:dyDescent="0.2">
      <c r="A11" s="7" t="s">
        <v>82</v>
      </c>
      <c r="B11" s="40">
        <f>Nøkkeltall!E21</f>
        <v>2501.1112274374586</v>
      </c>
      <c r="C11" s="51">
        <f>B11*(1+$B$2)^($C$10-$B$10)</f>
        <v>2829.7777840756917</v>
      </c>
    </row>
    <row r="12" spans="1:7" ht="17" thickBot="1" x14ac:dyDescent="0.25">
      <c r="A12" s="11" t="s">
        <v>80</v>
      </c>
      <c r="B12" s="46">
        <f>Nøkkeltall!E20</f>
        <v>535.89245759527648</v>
      </c>
      <c r="C12" s="52">
        <f>B12*(1+$B$2)^($C$10-$B$10)</f>
        <v>606.3131277494366</v>
      </c>
    </row>
    <row r="13" spans="1:7" ht="17" thickBot="1" x14ac:dyDescent="0.25"/>
    <row r="14" spans="1:7" x14ac:dyDescent="0.2">
      <c r="A14" s="3" t="s">
        <v>15</v>
      </c>
      <c r="B14" s="5" t="s">
        <v>5</v>
      </c>
      <c r="C14" s="5" t="s">
        <v>6</v>
      </c>
      <c r="D14" s="5" t="s">
        <v>7</v>
      </c>
      <c r="E14" s="5" t="s">
        <v>8</v>
      </c>
      <c r="F14" s="5" t="s">
        <v>114</v>
      </c>
      <c r="G14" s="48" t="s">
        <v>113</v>
      </c>
    </row>
    <row r="15" spans="1:7" x14ac:dyDescent="0.2">
      <c r="A15" s="7" t="s">
        <v>16</v>
      </c>
      <c r="B15" s="9" t="s">
        <v>10</v>
      </c>
      <c r="C15" s="9">
        <v>30</v>
      </c>
      <c r="D15" s="9">
        <v>0</v>
      </c>
      <c r="E15" s="9">
        <v>15</v>
      </c>
      <c r="F15" s="40">
        <f t="shared" ref="F15:F21" si="1">C15*$D$6+D15*$D$7+$D$8*E15</f>
        <v>422.82499999999999</v>
      </c>
      <c r="G15" s="51">
        <f>C15*$E$6+D15*$E$7+E15*$E$8</f>
        <v>478.38767761547837</v>
      </c>
    </row>
    <row r="16" spans="1:7" x14ac:dyDescent="0.2">
      <c r="A16" s="7" t="s">
        <v>17</v>
      </c>
      <c r="B16" s="9" t="s">
        <v>9</v>
      </c>
      <c r="C16" s="9">
        <v>0</v>
      </c>
      <c r="D16" s="9">
        <v>45</v>
      </c>
      <c r="E16" s="9">
        <v>15</v>
      </c>
      <c r="F16" s="40">
        <f t="shared" si="1"/>
        <v>440.93214285714282</v>
      </c>
      <c r="G16" s="51">
        <f t="shared" ref="G16:G20" si="2">C16*$E$6+D16*$E$7+E16*$E$8</f>
        <v>498.87424775603358</v>
      </c>
    </row>
    <row r="17" spans="1:7" x14ac:dyDescent="0.2">
      <c r="A17" s="7" t="s">
        <v>18</v>
      </c>
      <c r="B17" s="9" t="s">
        <v>11</v>
      </c>
      <c r="C17" s="9">
        <v>0</v>
      </c>
      <c r="D17" s="9">
        <v>20</v>
      </c>
      <c r="E17" s="9">
        <v>0</v>
      </c>
      <c r="F17" s="40">
        <f t="shared" si="1"/>
        <v>160.95238095238096</v>
      </c>
      <c r="G17" s="51">
        <f t="shared" si="2"/>
        <v>182.10284569382435</v>
      </c>
    </row>
    <row r="18" spans="1:7" x14ac:dyDescent="0.2">
      <c r="A18" s="7" t="s">
        <v>19</v>
      </c>
      <c r="B18" s="9" t="s">
        <v>12</v>
      </c>
      <c r="C18" s="9">
        <v>0</v>
      </c>
      <c r="D18" s="9">
        <v>9.3000000000000007</v>
      </c>
      <c r="E18" s="9">
        <v>0</v>
      </c>
      <c r="F18" s="40">
        <f t="shared" si="1"/>
        <v>74.842857142857142</v>
      </c>
      <c r="G18" s="51">
        <f t="shared" si="2"/>
        <v>84.677823247628325</v>
      </c>
    </row>
    <row r="19" spans="1:7" x14ac:dyDescent="0.2">
      <c r="A19" s="7" t="s">
        <v>20</v>
      </c>
      <c r="B19" s="9" t="s">
        <v>13</v>
      </c>
      <c r="C19" s="9">
        <v>0</v>
      </c>
      <c r="D19" s="9">
        <v>9.3000000000000007</v>
      </c>
      <c r="E19" s="9">
        <v>0</v>
      </c>
      <c r="F19" s="40">
        <f t="shared" si="1"/>
        <v>74.842857142857142</v>
      </c>
      <c r="G19" s="51">
        <f t="shared" si="2"/>
        <v>84.677823247628325</v>
      </c>
    </row>
    <row r="20" spans="1:7" x14ac:dyDescent="0.2">
      <c r="A20" s="7" t="s">
        <v>21</v>
      </c>
      <c r="B20" s="9" t="s">
        <v>14</v>
      </c>
      <c r="C20" s="9">
        <v>0</v>
      </c>
      <c r="D20" s="9">
        <v>9.3000000000000007</v>
      </c>
      <c r="E20" s="9">
        <v>0</v>
      </c>
      <c r="F20" s="40">
        <f t="shared" si="1"/>
        <v>74.842857142857142</v>
      </c>
      <c r="G20" s="51">
        <f t="shared" si="2"/>
        <v>84.677823247628325</v>
      </c>
    </row>
    <row r="21" spans="1:7" ht="17" thickBot="1" x14ac:dyDescent="0.25">
      <c r="A21" s="11" t="s">
        <v>34</v>
      </c>
      <c r="B21" s="12" t="s">
        <v>35</v>
      </c>
      <c r="C21" s="12">
        <v>0</v>
      </c>
      <c r="D21" s="12">
        <v>5</v>
      </c>
      <c r="E21" s="12">
        <v>0</v>
      </c>
      <c r="F21" s="46">
        <f t="shared" si="1"/>
        <v>40.238095238095241</v>
      </c>
      <c r="G21" s="52">
        <f>C21*$E$6+D21*$E$7+E21*$E$8</f>
        <v>45.525711423456087</v>
      </c>
    </row>
    <row r="24" spans="1:7" x14ac:dyDescent="0.2">
      <c r="A24" s="14"/>
      <c r="B24" s="14" t="s">
        <v>48</v>
      </c>
      <c r="C24" s="14" t="s">
        <v>115</v>
      </c>
      <c r="D24" s="49" t="s">
        <v>116</v>
      </c>
      <c r="E24" t="s">
        <v>117</v>
      </c>
      <c r="F24" s="49" t="s">
        <v>118</v>
      </c>
      <c r="G24" s="49" t="s">
        <v>86</v>
      </c>
    </row>
    <row r="25" spans="1:7" x14ac:dyDescent="0.2">
      <c r="A25" s="14" t="s">
        <v>22</v>
      </c>
      <c r="B25" s="14" t="s">
        <v>81</v>
      </c>
      <c r="C25" s="32">
        <f>F15/8+F16/4+F17/8+F18*2+F19+F20+F21</f>
        <v>522.81473214285711</v>
      </c>
      <c r="D25" s="50">
        <f>G15/8+G16/4+G17/8+G18*2+G19+G20+G21</f>
        <v>591.51688176664061</v>
      </c>
      <c r="E25" s="21">
        <f>B12/4</f>
        <v>133.97311439881912</v>
      </c>
      <c r="F25" s="50">
        <f>C12/4</f>
        <v>151.57828193735915</v>
      </c>
      <c r="G25" s="50">
        <f>C11/4</f>
        <v>707.44444601892292</v>
      </c>
    </row>
    <row r="26" spans="1:7" x14ac:dyDescent="0.2">
      <c r="A26" s="14" t="s">
        <v>23</v>
      </c>
      <c r="B26" s="14" t="s">
        <v>26</v>
      </c>
      <c r="C26" s="32">
        <f>F15/8+F16</f>
        <v>493.7852678571428</v>
      </c>
      <c r="D26" s="50">
        <f>G15/8+G16</f>
        <v>558.67270745796839</v>
      </c>
      <c r="E26" s="21">
        <f>B12</f>
        <v>535.89245759527648</v>
      </c>
      <c r="F26" s="50">
        <f>C12</f>
        <v>606.3131277494366</v>
      </c>
      <c r="G26" s="50">
        <f>C11</f>
        <v>2829.7777840756917</v>
      </c>
    </row>
    <row r="27" spans="1:7" x14ac:dyDescent="0.2">
      <c r="A27" s="14" t="s">
        <v>49</v>
      </c>
      <c r="B27" s="14"/>
      <c r="C27" s="32">
        <f>C25-C26</f>
        <v>29.029464285714312</v>
      </c>
      <c r="D27" s="50">
        <f>D25-D26</f>
        <v>32.844174308672223</v>
      </c>
      <c r="E27" s="21">
        <f>E26-E25</f>
        <v>401.91934319645736</v>
      </c>
      <c r="F27" s="50">
        <f t="shared" ref="F27:G27" si="3">F26-F25</f>
        <v>454.73484581207742</v>
      </c>
      <c r="G27" s="50">
        <f t="shared" si="3"/>
        <v>2122.3333380567688</v>
      </c>
    </row>
    <row r="28" spans="1:7" x14ac:dyDescent="0.2">
      <c r="A28" s="14"/>
      <c r="B28" s="14"/>
      <c r="C28" s="27"/>
      <c r="D28" s="14"/>
      <c r="E28" s="14"/>
      <c r="F28" s="18"/>
      <c r="G28" s="18"/>
    </row>
    <row r="29" spans="1:7" x14ac:dyDescent="0.2">
      <c r="A29" s="14"/>
      <c r="B29" s="14"/>
      <c r="C29" s="14"/>
      <c r="D29" s="14"/>
      <c r="E29" s="14"/>
    </row>
    <row r="30" spans="1:7" x14ac:dyDescent="0.2">
      <c r="B30" s="21"/>
      <c r="C30" s="14"/>
      <c r="D30" s="14"/>
      <c r="E30" s="14"/>
    </row>
    <row r="31" spans="1:7" x14ac:dyDescent="0.2">
      <c r="C31" s="32"/>
      <c r="D31" s="32"/>
      <c r="E31" s="14"/>
    </row>
    <row r="33" spans="1:2" x14ac:dyDescent="0.2">
      <c r="B33" s="21"/>
    </row>
    <row r="35" spans="1:2" x14ac:dyDescent="0.2">
      <c r="A35" s="9"/>
      <c r="B35" s="9"/>
    </row>
    <row r="36" spans="1:2" x14ac:dyDescent="0.2">
      <c r="A36" s="9"/>
      <c r="B36" s="9"/>
    </row>
    <row r="37" spans="1:2" x14ac:dyDescent="0.2">
      <c r="A37" s="9"/>
      <c r="B37" s="9"/>
    </row>
    <row r="38" spans="1:2" x14ac:dyDescent="0.2">
      <c r="A38" s="9"/>
      <c r="B38" s="9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15"/>
      <c r="B41" s="9"/>
    </row>
    <row r="42" spans="1:2" x14ac:dyDescent="0.2">
      <c r="A42" s="9"/>
      <c r="B42" s="9"/>
    </row>
    <row r="43" spans="1:2" x14ac:dyDescent="0.2">
      <c r="A43" s="9"/>
      <c r="B43" s="9"/>
    </row>
    <row r="44" spans="1:2" x14ac:dyDescent="0.2">
      <c r="A44" s="9"/>
      <c r="B44" s="9"/>
    </row>
    <row r="45" spans="1:2" x14ac:dyDescent="0.2">
      <c r="A45" s="9"/>
      <c r="B45" s="9"/>
    </row>
    <row r="46" spans="1:2" x14ac:dyDescent="0.2">
      <c r="A46" s="9"/>
      <c r="B46" s="9"/>
    </row>
    <row r="47" spans="1:2" x14ac:dyDescent="0.2">
      <c r="A47" s="9"/>
      <c r="B47" s="9"/>
    </row>
    <row r="48" spans="1:2" x14ac:dyDescent="0.2">
      <c r="A48" s="9"/>
      <c r="B48" s="9"/>
    </row>
    <row r="49" spans="1:2" x14ac:dyDescent="0.2">
      <c r="A49" s="9"/>
      <c r="B49" s="9"/>
    </row>
    <row r="50" spans="1:2" x14ac:dyDescent="0.2">
      <c r="A50" s="9"/>
      <c r="B50" s="9"/>
    </row>
    <row r="51" spans="1:2" x14ac:dyDescent="0.2">
      <c r="A51" s="9"/>
      <c r="B51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tabSelected="1" zoomScale="94" workbookViewId="0">
      <selection activeCell="B29" sqref="B29"/>
    </sheetView>
  </sheetViews>
  <sheetFormatPr baseColWidth="10" defaultRowHeight="16" x14ac:dyDescent="0.2"/>
  <cols>
    <col min="1" max="1" width="51.5" bestFit="1" customWidth="1"/>
    <col min="2" max="2" width="50.33203125" customWidth="1"/>
    <col min="3" max="3" width="29.6640625" bestFit="1" customWidth="1"/>
    <col min="4" max="5" width="30.1640625" customWidth="1"/>
    <col min="6" max="6" width="21.6640625" customWidth="1"/>
    <col min="7" max="7" width="20.83203125" bestFit="1" customWidth="1"/>
    <col min="8" max="8" width="17.83203125" bestFit="1" customWidth="1"/>
    <col min="9" max="9" width="30.5" bestFit="1" customWidth="1"/>
  </cols>
  <sheetData>
    <row r="2" spans="1:7" ht="17" thickBot="1" x14ac:dyDescent="0.25">
      <c r="A2" t="s">
        <v>97</v>
      </c>
      <c r="B2" t="s">
        <v>3</v>
      </c>
      <c r="C2" t="s">
        <v>43</v>
      </c>
      <c r="D2" t="s">
        <v>4</v>
      </c>
    </row>
    <row r="3" spans="1:7" x14ac:dyDescent="0.2">
      <c r="A3" s="3" t="s">
        <v>1</v>
      </c>
      <c r="B3" s="5">
        <f>Nøkkeltall!D12</f>
        <v>963300</v>
      </c>
      <c r="C3" s="5">
        <f>Nøkkeltall!C6*0.8</f>
        <v>84000</v>
      </c>
      <c r="D3" s="39">
        <f>B3/C3</f>
        <v>11.467857142857143</v>
      </c>
      <c r="E3" s="40"/>
    </row>
    <row r="4" spans="1:7" x14ac:dyDescent="0.2">
      <c r="A4" s="7" t="s">
        <v>0</v>
      </c>
      <c r="B4" s="9">
        <f>Nøkkeltall!E12</f>
        <v>676000</v>
      </c>
      <c r="C4" s="9">
        <f>C3</f>
        <v>84000</v>
      </c>
      <c r="D4" s="24">
        <f>B4/C4</f>
        <v>8.0476190476190474</v>
      </c>
      <c r="E4" s="40"/>
    </row>
    <row r="5" spans="1:7" ht="17" thickBot="1" x14ac:dyDescent="0.25">
      <c r="A5" s="11" t="s">
        <v>2</v>
      </c>
      <c r="B5" s="12">
        <f>Nøkkeltall!C12</f>
        <v>441220</v>
      </c>
      <c r="C5" s="12">
        <f>C4</f>
        <v>84000</v>
      </c>
      <c r="D5" s="33">
        <f>B5/C5</f>
        <v>5.2526190476190475</v>
      </c>
      <c r="E5" s="40"/>
    </row>
    <row r="6" spans="1:7" ht="17" thickBot="1" x14ac:dyDescent="0.25">
      <c r="A6" t="s">
        <v>96</v>
      </c>
    </row>
    <row r="7" spans="1:7" x14ac:dyDescent="0.2">
      <c r="A7" s="3" t="s">
        <v>25</v>
      </c>
      <c r="B7" s="6">
        <v>5275</v>
      </c>
    </row>
    <row r="8" spans="1:7" x14ac:dyDescent="0.2">
      <c r="A8" s="7" t="s">
        <v>82</v>
      </c>
      <c r="B8" s="24">
        <f>Nøkkeltall!E21</f>
        <v>2501.1112274374586</v>
      </c>
    </row>
    <row r="9" spans="1:7" ht="17" thickBot="1" x14ac:dyDescent="0.25">
      <c r="A9" s="11" t="s">
        <v>80</v>
      </c>
      <c r="B9" s="33">
        <f>Nøkkeltall!E20</f>
        <v>535.89245759527648</v>
      </c>
    </row>
    <row r="10" spans="1:7" ht="17" thickBot="1" x14ac:dyDescent="0.25"/>
    <row r="11" spans="1:7" x14ac:dyDescent="0.2">
      <c r="A11" s="3" t="s">
        <v>15</v>
      </c>
      <c r="B11" s="5" t="s">
        <v>5</v>
      </c>
      <c r="C11" s="5" t="s">
        <v>6</v>
      </c>
      <c r="D11" s="5" t="s">
        <v>7</v>
      </c>
      <c r="E11" s="5"/>
      <c r="F11" s="5" t="s">
        <v>8</v>
      </c>
      <c r="G11" s="6" t="s">
        <v>24</v>
      </c>
    </row>
    <row r="12" spans="1:7" x14ac:dyDescent="0.2">
      <c r="A12" s="7" t="s">
        <v>16</v>
      </c>
      <c r="B12" s="9" t="s">
        <v>10</v>
      </c>
      <c r="C12" s="9">
        <v>30</v>
      </c>
      <c r="D12" s="9">
        <v>0</v>
      </c>
      <c r="E12" s="9"/>
      <c r="F12" s="9">
        <v>15</v>
      </c>
      <c r="G12" s="24">
        <f>C12*$D$3+D12*$D$4+$D$5*F12</f>
        <v>422.82499999999999</v>
      </c>
    </row>
    <row r="13" spans="1:7" x14ac:dyDescent="0.2">
      <c r="A13" s="7" t="s">
        <v>17</v>
      </c>
      <c r="B13" s="9" t="s">
        <v>9</v>
      </c>
      <c r="C13" s="9">
        <v>0</v>
      </c>
      <c r="D13" s="9">
        <v>45</v>
      </c>
      <c r="E13" s="9"/>
      <c r="F13" s="9">
        <v>15</v>
      </c>
      <c r="G13" s="24">
        <f t="shared" ref="G13:G17" si="0">C13*$D$3+D13*$D$4+$D$5*F13</f>
        <v>440.93214285714282</v>
      </c>
    </row>
    <row r="14" spans="1:7" x14ac:dyDescent="0.2">
      <c r="A14" s="7" t="s">
        <v>18</v>
      </c>
      <c r="B14" s="9" t="s">
        <v>11</v>
      </c>
      <c r="C14" s="9">
        <v>0</v>
      </c>
      <c r="D14" s="9">
        <v>20</v>
      </c>
      <c r="E14" s="9"/>
      <c r="F14" s="9">
        <v>0</v>
      </c>
      <c r="G14" s="24">
        <f t="shared" si="0"/>
        <v>160.95238095238096</v>
      </c>
    </row>
    <row r="15" spans="1:7" x14ac:dyDescent="0.2">
      <c r="A15" s="7" t="s">
        <v>19</v>
      </c>
      <c r="B15" s="9" t="s">
        <v>12</v>
      </c>
      <c r="C15" s="9">
        <v>0</v>
      </c>
      <c r="D15" s="9">
        <v>9.3000000000000007</v>
      </c>
      <c r="E15" s="9"/>
      <c r="F15" s="9">
        <v>0</v>
      </c>
      <c r="G15" s="24">
        <f t="shared" si="0"/>
        <v>74.842857142857142</v>
      </c>
    </row>
    <row r="16" spans="1:7" x14ac:dyDescent="0.2">
      <c r="A16" s="7" t="s">
        <v>20</v>
      </c>
      <c r="B16" s="9" t="s">
        <v>13</v>
      </c>
      <c r="C16" s="9">
        <v>0</v>
      </c>
      <c r="D16" s="9">
        <v>9.3000000000000007</v>
      </c>
      <c r="E16" s="9"/>
      <c r="F16" s="9">
        <v>0</v>
      </c>
      <c r="G16" s="24">
        <f t="shared" si="0"/>
        <v>74.842857142857142</v>
      </c>
    </row>
    <row r="17" spans="1:8" x14ac:dyDescent="0.2">
      <c r="A17" s="7" t="s">
        <v>21</v>
      </c>
      <c r="B17" s="9" t="s">
        <v>14</v>
      </c>
      <c r="C17" s="9">
        <v>0</v>
      </c>
      <c r="D17" s="9">
        <v>9.3000000000000007</v>
      </c>
      <c r="E17" s="9"/>
      <c r="F17" s="9">
        <v>0</v>
      </c>
      <c r="G17" s="24">
        <f t="shared" si="0"/>
        <v>74.842857142857142</v>
      </c>
    </row>
    <row r="18" spans="1:8" ht="17" thickBot="1" x14ac:dyDescent="0.25">
      <c r="A18" s="11" t="s">
        <v>34</v>
      </c>
      <c r="B18" s="12" t="s">
        <v>35</v>
      </c>
      <c r="C18" s="12">
        <v>0</v>
      </c>
      <c r="D18" s="12">
        <v>5</v>
      </c>
      <c r="E18" s="12"/>
      <c r="F18" s="12">
        <v>0</v>
      </c>
      <c r="G18" s="33">
        <f>C18*$D$3+D18*$D$4+$D$5*F18</f>
        <v>40.238095238095241</v>
      </c>
    </row>
    <row r="21" spans="1:8" x14ac:dyDescent="0.2">
      <c r="A21" s="14"/>
      <c r="B21" s="14" t="s">
        <v>48</v>
      </c>
      <c r="C21" s="14" t="s">
        <v>98</v>
      </c>
      <c r="D21" s="14" t="s">
        <v>83</v>
      </c>
      <c r="E21" s="14" t="s">
        <v>99</v>
      </c>
      <c r="F21" s="14" t="s">
        <v>84</v>
      </c>
      <c r="G21" t="s">
        <v>85</v>
      </c>
      <c r="H21" t="s">
        <v>86</v>
      </c>
    </row>
    <row r="22" spans="1:8" x14ac:dyDescent="0.2">
      <c r="A22" s="14" t="s">
        <v>22</v>
      </c>
      <c r="B22" s="14" t="s">
        <v>100</v>
      </c>
      <c r="C22" s="32">
        <f>G12/8+G12/4+G14/8+G15*2+G16+G17+G18+B7/8</f>
        <v>1177.6629464285716</v>
      </c>
      <c r="D22" s="14">
        <f>D14/8+D15*2+D16+D17+D18</f>
        <v>44.7</v>
      </c>
      <c r="E22" s="14">
        <f>C12/8+C12/4</f>
        <v>11.25</v>
      </c>
      <c r="F22" s="14">
        <f>F13*0.25</f>
        <v>3.75</v>
      </c>
      <c r="G22" s="21">
        <f>B9/4</f>
        <v>133.97311439881912</v>
      </c>
      <c r="H22" s="21">
        <f>B8/4</f>
        <v>625.27780685936466</v>
      </c>
    </row>
    <row r="23" spans="1:8" x14ac:dyDescent="0.2">
      <c r="A23" s="14" t="s">
        <v>23</v>
      </c>
      <c r="B23" s="14" t="s">
        <v>101</v>
      </c>
      <c r="C23" s="32">
        <f>G12/8+G12</f>
        <v>475.67812499999997</v>
      </c>
      <c r="D23" s="14">
        <v>0</v>
      </c>
      <c r="E23" s="14">
        <f>C12/8+C12</f>
        <v>33.75</v>
      </c>
      <c r="F23" s="14">
        <f>F12</f>
        <v>15</v>
      </c>
      <c r="G23" s="21">
        <f>B9</f>
        <v>535.89245759527648</v>
      </c>
      <c r="H23" s="21">
        <f>B8</f>
        <v>2501.1112274374586</v>
      </c>
    </row>
    <row r="24" spans="1:8" x14ac:dyDescent="0.2">
      <c r="A24" s="14" t="s">
        <v>49</v>
      </c>
      <c r="B24" s="14"/>
      <c r="C24" s="32">
        <f>C22-C23</f>
        <v>701.98482142857165</v>
      </c>
      <c r="D24" s="14">
        <f>D22-D23</f>
        <v>44.7</v>
      </c>
      <c r="E24" s="14">
        <f>E23-E22</f>
        <v>22.5</v>
      </c>
      <c r="F24" s="14">
        <f>F23-F22</f>
        <v>11.25</v>
      </c>
      <c r="G24" s="21">
        <f>G23-G22</f>
        <v>401.91934319645736</v>
      </c>
      <c r="H24" s="21">
        <f>H23-H22</f>
        <v>1875.8334205780939</v>
      </c>
    </row>
    <row r="25" spans="1:8" x14ac:dyDescent="0.2">
      <c r="A25" s="14" t="s">
        <v>91</v>
      </c>
      <c r="B25" s="14"/>
      <c r="C25" s="27">
        <f>C24</f>
        <v>701.98482142857165</v>
      </c>
      <c r="D25" s="14"/>
      <c r="E25" s="14"/>
      <c r="F25" s="14"/>
      <c r="G25" s="18">
        <f>C25-G24</f>
        <v>300.06547823211429</v>
      </c>
      <c r="H25" s="18">
        <f>H24-C25</f>
        <v>1173.8485991495222</v>
      </c>
    </row>
    <row r="26" spans="1:8" x14ac:dyDescent="0.2">
      <c r="A26" s="15"/>
      <c r="B26" s="15"/>
      <c r="C26" s="28"/>
      <c r="D26" s="14"/>
      <c r="E26" s="14"/>
      <c r="F26" s="14"/>
    </row>
    <row r="27" spans="1:8" x14ac:dyDescent="0.2">
      <c r="A27" s="35" t="s">
        <v>89</v>
      </c>
      <c r="B27" s="34" t="s">
        <v>121</v>
      </c>
      <c r="C27" s="14"/>
      <c r="D27" s="14"/>
      <c r="E27" s="14"/>
      <c r="F27" s="14"/>
    </row>
    <row r="28" spans="1:8" x14ac:dyDescent="0.2">
      <c r="A28" s="35" t="s">
        <v>90</v>
      </c>
      <c r="B28" s="2" t="s">
        <v>122</v>
      </c>
      <c r="C28" s="14"/>
      <c r="D28" s="14"/>
      <c r="E28" s="14"/>
      <c r="F28" s="14"/>
    </row>
    <row r="29" spans="1:8" x14ac:dyDescent="0.2">
      <c r="C29" s="14"/>
      <c r="D29" s="14"/>
      <c r="E29" s="14"/>
      <c r="F29" s="14"/>
    </row>
    <row r="30" spans="1:8" x14ac:dyDescent="0.2">
      <c r="C30" s="14"/>
      <c r="D30" s="14"/>
      <c r="E30" s="14"/>
      <c r="F30" s="14"/>
    </row>
    <row r="31" spans="1:8" x14ac:dyDescent="0.2">
      <c r="C31" s="14"/>
      <c r="D31" s="14"/>
      <c r="E31" s="14"/>
      <c r="F31" s="14"/>
    </row>
    <row r="35" spans="1:2" x14ac:dyDescent="0.2">
      <c r="A35" s="9"/>
      <c r="B35" s="9"/>
    </row>
    <row r="36" spans="1:2" x14ac:dyDescent="0.2">
      <c r="A36" s="9"/>
      <c r="B36" s="9"/>
    </row>
    <row r="37" spans="1:2" x14ac:dyDescent="0.2">
      <c r="A37" s="9"/>
      <c r="B37" s="9"/>
    </row>
    <row r="38" spans="1:2" x14ac:dyDescent="0.2">
      <c r="A38" s="9"/>
      <c r="B38" s="9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15"/>
      <c r="B41" s="9"/>
    </row>
    <row r="42" spans="1:2" x14ac:dyDescent="0.2">
      <c r="A42" s="9"/>
      <c r="B42" s="9"/>
    </row>
    <row r="43" spans="1:2" x14ac:dyDescent="0.2">
      <c r="A43" s="9"/>
      <c r="B43" s="9"/>
    </row>
    <row r="44" spans="1:2" x14ac:dyDescent="0.2">
      <c r="A44" s="9"/>
      <c r="B44" s="9"/>
    </row>
    <row r="45" spans="1:2" x14ac:dyDescent="0.2">
      <c r="A45" s="9"/>
      <c r="B45" s="9"/>
    </row>
    <row r="46" spans="1:2" x14ac:dyDescent="0.2">
      <c r="A46" s="9"/>
      <c r="B46" s="9"/>
    </row>
    <row r="47" spans="1:2" x14ac:dyDescent="0.2">
      <c r="A47" s="9"/>
      <c r="B47" s="9"/>
    </row>
    <row r="48" spans="1:2" x14ac:dyDescent="0.2">
      <c r="A48" s="9"/>
      <c r="B48" s="9"/>
    </row>
    <row r="49" spans="1:2" x14ac:dyDescent="0.2">
      <c r="A49" s="9"/>
      <c r="B49" s="9"/>
    </row>
    <row r="50" spans="1:2" x14ac:dyDescent="0.2">
      <c r="A50" s="9"/>
      <c r="B50" s="9"/>
    </row>
    <row r="51" spans="1:2" x14ac:dyDescent="0.2">
      <c r="A51" s="9"/>
      <c r="B51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showFormulas="1" zoomScale="94" workbookViewId="0">
      <selection activeCell="C41" sqref="C41"/>
    </sheetView>
  </sheetViews>
  <sheetFormatPr baseColWidth="10" defaultRowHeight="16" x14ac:dyDescent="0.2"/>
  <cols>
    <col min="1" max="1" width="12.83203125" customWidth="1"/>
    <col min="2" max="2" width="24.6640625" customWidth="1"/>
    <col min="3" max="3" width="18.1640625" customWidth="1"/>
    <col min="4" max="4" width="18.83203125" customWidth="1"/>
    <col min="5" max="5" width="11" customWidth="1"/>
    <col min="6" max="6" width="14.5" customWidth="1"/>
    <col min="7" max="7" width="15.1640625" customWidth="1"/>
    <col min="8" max="8" width="30.5" bestFit="1" customWidth="1"/>
  </cols>
  <sheetData>
    <row r="2" spans="1:7" x14ac:dyDescent="0.2">
      <c r="A2" t="s">
        <v>112</v>
      </c>
      <c r="B2" s="45">
        <v>2.5000000000000001E-2</v>
      </c>
    </row>
    <row r="5" spans="1:7" ht="17" thickBot="1" x14ac:dyDescent="0.25">
      <c r="A5" t="s">
        <v>97</v>
      </c>
      <c r="B5" t="s">
        <v>3</v>
      </c>
      <c r="C5" t="s">
        <v>43</v>
      </c>
      <c r="D5" t="s">
        <v>110</v>
      </c>
      <c r="E5" s="49" t="s">
        <v>111</v>
      </c>
    </row>
    <row r="6" spans="1:7" x14ac:dyDescent="0.2">
      <c r="A6" s="3" t="s">
        <v>1</v>
      </c>
      <c r="B6" s="5">
        <f>Nøkkeltall!D12</f>
        <v>963300</v>
      </c>
      <c r="C6" s="5">
        <f>Nøkkeltall!C6*0.8</f>
        <v>84000</v>
      </c>
      <c r="D6" s="47">
        <f>B6/C6</f>
        <v>11.467857142857143</v>
      </c>
      <c r="E6" s="53">
        <f>D6*(1+$B$2)^5</f>
        <v>12.974827755684986</v>
      </c>
    </row>
    <row r="7" spans="1:7" x14ac:dyDescent="0.2">
      <c r="A7" s="7" t="s">
        <v>0</v>
      </c>
      <c r="B7" s="9">
        <f>Nøkkeltall!E12</f>
        <v>676000</v>
      </c>
      <c r="C7" s="9">
        <f>C6</f>
        <v>84000</v>
      </c>
      <c r="D7" s="40">
        <f>B7/C7</f>
        <v>8.0476190476190474</v>
      </c>
      <c r="E7" s="51">
        <f t="shared" ref="E7:E8" si="0">D7*(1+$B$2)^5</f>
        <v>9.1051422846912171</v>
      </c>
    </row>
    <row r="8" spans="1:7" ht="17" thickBot="1" x14ac:dyDescent="0.25">
      <c r="A8" s="11" t="s">
        <v>2</v>
      </c>
      <c r="B8" s="12">
        <f>Nøkkeltall!C12</f>
        <v>441220</v>
      </c>
      <c r="C8" s="12">
        <f>C7</f>
        <v>84000</v>
      </c>
      <c r="D8" s="46">
        <f>B8/C8</f>
        <v>5.2526190476190475</v>
      </c>
      <c r="E8" s="52">
        <f t="shared" si="0"/>
        <v>5.9428563296619217</v>
      </c>
    </row>
    <row r="9" spans="1:7" ht="17" thickBot="1" x14ac:dyDescent="0.25"/>
    <row r="10" spans="1:7" x14ac:dyDescent="0.2">
      <c r="A10" s="3" t="s">
        <v>109</v>
      </c>
      <c r="B10" s="5">
        <v>2017</v>
      </c>
      <c r="C10" s="48">
        <v>2022</v>
      </c>
    </row>
    <row r="11" spans="1:7" x14ac:dyDescent="0.2">
      <c r="A11" s="7" t="s">
        <v>82</v>
      </c>
      <c r="B11" s="40">
        <f>Nøkkeltall!E21</f>
        <v>2501.1112274374586</v>
      </c>
      <c r="C11" s="51">
        <f>B11*(1+$B$2)^($C$10-$B$10)</f>
        <v>2829.7777840756917</v>
      </c>
    </row>
    <row r="12" spans="1:7" ht="17" thickBot="1" x14ac:dyDescent="0.25">
      <c r="A12" s="11" t="s">
        <v>80</v>
      </c>
      <c r="B12" s="46">
        <f>Nøkkeltall!E20</f>
        <v>535.89245759527648</v>
      </c>
      <c r="C12" s="52">
        <f>B12*(1+$B$2)^($C$10-$B$10)</f>
        <v>606.3131277494366</v>
      </c>
    </row>
    <row r="13" spans="1:7" ht="17" thickBot="1" x14ac:dyDescent="0.25"/>
    <row r="14" spans="1:7" x14ac:dyDescent="0.2">
      <c r="A14" s="3" t="s">
        <v>15</v>
      </c>
      <c r="B14" s="5" t="s">
        <v>5</v>
      </c>
      <c r="C14" s="5" t="s">
        <v>6</v>
      </c>
      <c r="D14" s="5" t="s">
        <v>7</v>
      </c>
      <c r="E14" s="5" t="s">
        <v>8</v>
      </c>
      <c r="F14" s="5" t="s">
        <v>114</v>
      </c>
      <c r="G14" s="48" t="s">
        <v>113</v>
      </c>
    </row>
    <row r="15" spans="1:7" x14ac:dyDescent="0.2">
      <c r="A15" s="7" t="s">
        <v>16</v>
      </c>
      <c r="B15" s="9" t="s">
        <v>10</v>
      </c>
      <c r="C15" s="9">
        <v>30</v>
      </c>
      <c r="D15" s="9">
        <v>0</v>
      </c>
      <c r="E15" s="9">
        <v>15</v>
      </c>
      <c r="F15" s="40">
        <f t="shared" ref="F15:F21" si="1">C15*$D$6+D15*$D$7+$D$8*E15</f>
        <v>422.82499999999999</v>
      </c>
      <c r="G15" s="51">
        <f>C15*$E$6+D15*$E$7+E15*$E$8</f>
        <v>478.38767761547837</v>
      </c>
    </row>
    <row r="16" spans="1:7" x14ac:dyDescent="0.2">
      <c r="A16" s="7" t="s">
        <v>17</v>
      </c>
      <c r="B16" s="9" t="s">
        <v>9</v>
      </c>
      <c r="C16" s="9">
        <v>0</v>
      </c>
      <c r="D16" s="9">
        <v>45</v>
      </c>
      <c r="E16" s="9">
        <v>15</v>
      </c>
      <c r="F16" s="40">
        <f t="shared" si="1"/>
        <v>440.93214285714282</v>
      </c>
      <c r="G16" s="51">
        <f t="shared" ref="G16:G20" si="2">C16*$E$6+D16*$E$7+E16*$E$8</f>
        <v>498.87424775603358</v>
      </c>
    </row>
    <row r="17" spans="1:7" x14ac:dyDescent="0.2">
      <c r="A17" s="7" t="s">
        <v>18</v>
      </c>
      <c r="B17" s="9" t="s">
        <v>11</v>
      </c>
      <c r="C17" s="9">
        <v>0</v>
      </c>
      <c r="D17" s="9">
        <v>20</v>
      </c>
      <c r="E17" s="9">
        <v>0</v>
      </c>
      <c r="F17" s="40">
        <f t="shared" si="1"/>
        <v>160.95238095238096</v>
      </c>
      <c r="G17" s="51">
        <f t="shared" si="2"/>
        <v>182.10284569382435</v>
      </c>
    </row>
    <row r="18" spans="1:7" x14ac:dyDescent="0.2">
      <c r="A18" s="7" t="s">
        <v>19</v>
      </c>
      <c r="B18" s="9" t="s">
        <v>12</v>
      </c>
      <c r="C18" s="9">
        <v>0</v>
      </c>
      <c r="D18" s="9">
        <v>9.3000000000000007</v>
      </c>
      <c r="E18" s="9">
        <v>0</v>
      </c>
      <c r="F18" s="40">
        <f t="shared" si="1"/>
        <v>74.842857142857142</v>
      </c>
      <c r="G18" s="51">
        <f t="shared" si="2"/>
        <v>84.677823247628325</v>
      </c>
    </row>
    <row r="19" spans="1:7" x14ac:dyDescent="0.2">
      <c r="A19" s="7" t="s">
        <v>20</v>
      </c>
      <c r="B19" s="9" t="s">
        <v>13</v>
      </c>
      <c r="C19" s="9">
        <v>0</v>
      </c>
      <c r="D19" s="9">
        <v>9.3000000000000007</v>
      </c>
      <c r="E19" s="9">
        <v>0</v>
      </c>
      <c r="F19" s="40">
        <f t="shared" si="1"/>
        <v>74.842857142857142</v>
      </c>
      <c r="G19" s="51">
        <f t="shared" si="2"/>
        <v>84.677823247628325</v>
      </c>
    </row>
    <row r="20" spans="1:7" x14ac:dyDescent="0.2">
      <c r="A20" s="7" t="s">
        <v>21</v>
      </c>
      <c r="B20" s="9" t="s">
        <v>14</v>
      </c>
      <c r="C20" s="9">
        <v>0</v>
      </c>
      <c r="D20" s="9">
        <v>9.3000000000000007</v>
      </c>
      <c r="E20" s="9">
        <v>0</v>
      </c>
      <c r="F20" s="40">
        <f t="shared" si="1"/>
        <v>74.842857142857142</v>
      </c>
      <c r="G20" s="51">
        <f t="shared" si="2"/>
        <v>84.677823247628325</v>
      </c>
    </row>
    <row r="21" spans="1:7" ht="17" thickBot="1" x14ac:dyDescent="0.25">
      <c r="A21" s="11" t="s">
        <v>34</v>
      </c>
      <c r="B21" s="12" t="s">
        <v>35</v>
      </c>
      <c r="C21" s="12">
        <v>0</v>
      </c>
      <c r="D21" s="12">
        <v>5</v>
      </c>
      <c r="E21" s="12">
        <v>0</v>
      </c>
      <c r="F21" s="46">
        <f t="shared" si="1"/>
        <v>40.238095238095241</v>
      </c>
      <c r="G21" s="52">
        <f>C21*$E$6+D21*$E$7+E21*$E$8</f>
        <v>45.525711423456087</v>
      </c>
    </row>
    <row r="24" spans="1:7" x14ac:dyDescent="0.2">
      <c r="A24" s="14"/>
      <c r="B24" s="14" t="s">
        <v>48</v>
      </c>
      <c r="C24" s="14" t="s">
        <v>115</v>
      </c>
      <c r="D24" s="49" t="s">
        <v>116</v>
      </c>
      <c r="E24" t="s">
        <v>117</v>
      </c>
      <c r="F24" s="49" t="s">
        <v>118</v>
      </c>
      <c r="G24" s="49" t="s">
        <v>86</v>
      </c>
    </row>
    <row r="25" spans="1:7" x14ac:dyDescent="0.2">
      <c r="A25" s="14" t="s">
        <v>22</v>
      </c>
      <c r="B25" s="14" t="s">
        <v>81</v>
      </c>
      <c r="C25" s="32">
        <f>F15/8+F15/4+F17/8+F18*2+F19+F20+F21</f>
        <v>518.28794642857144</v>
      </c>
      <c r="D25" s="50">
        <f>G15/8+G15/4+G17/8+G18*2+G19+G20+G21</f>
        <v>586.39523923150182</v>
      </c>
      <c r="E25" s="21">
        <f>B12/4</f>
        <v>133.97311439881912</v>
      </c>
      <c r="F25" s="50">
        <f>C12/4</f>
        <v>151.57828193735915</v>
      </c>
      <c r="G25" s="50">
        <f>C11/4</f>
        <v>707.44444601892292</v>
      </c>
    </row>
    <row r="26" spans="1:7" x14ac:dyDescent="0.2">
      <c r="A26" s="14" t="s">
        <v>23</v>
      </c>
      <c r="B26" s="14" t="s">
        <v>26</v>
      </c>
      <c r="C26" s="32">
        <f>F15/8+F15</f>
        <v>475.67812499999997</v>
      </c>
      <c r="D26" s="50">
        <f>G15/8+G15</f>
        <v>538.18613731741311</v>
      </c>
      <c r="E26" s="21">
        <f>B12</f>
        <v>535.89245759527648</v>
      </c>
      <c r="F26" s="50">
        <f>C12</f>
        <v>606.3131277494366</v>
      </c>
      <c r="G26" s="50">
        <f>C11</f>
        <v>2829.7777840756917</v>
      </c>
    </row>
    <row r="27" spans="1:7" x14ac:dyDescent="0.2">
      <c r="A27" s="14" t="s">
        <v>49</v>
      </c>
      <c r="B27" s="14"/>
      <c r="C27" s="32">
        <f>C25-C26</f>
        <v>42.609821428571479</v>
      </c>
      <c r="D27" s="50">
        <f>D25-D26</f>
        <v>48.209101914088706</v>
      </c>
      <c r="E27" s="21">
        <f>E26-E25</f>
        <v>401.91934319645736</v>
      </c>
      <c r="F27" s="50">
        <f t="shared" ref="F27:G27" si="3">F26-F25</f>
        <v>454.73484581207742</v>
      </c>
      <c r="G27" s="50">
        <f t="shared" si="3"/>
        <v>2122.3333380567688</v>
      </c>
    </row>
    <row r="28" spans="1:7" x14ac:dyDescent="0.2">
      <c r="A28" s="14"/>
      <c r="B28" s="14"/>
      <c r="C28" s="27"/>
      <c r="D28" s="14"/>
      <c r="E28" s="14"/>
      <c r="F28" s="18"/>
      <c r="G28" s="18"/>
    </row>
    <row r="29" spans="1:7" x14ac:dyDescent="0.2">
      <c r="A29" s="14"/>
      <c r="B29" s="14"/>
      <c r="C29" s="14"/>
      <c r="D29" s="14"/>
      <c r="E29" s="14"/>
    </row>
    <row r="30" spans="1:7" x14ac:dyDescent="0.2">
      <c r="C30" s="14"/>
      <c r="D30" s="14"/>
      <c r="E30" s="14"/>
    </row>
    <row r="31" spans="1:7" x14ac:dyDescent="0.2">
      <c r="C31" s="14"/>
      <c r="D31" s="14"/>
      <c r="E31" s="14"/>
    </row>
    <row r="32" spans="1:7" x14ac:dyDescent="0.2">
      <c r="B32" s="21"/>
    </row>
    <row r="34" spans="1:2" x14ac:dyDescent="0.2">
      <c r="B34" s="21"/>
    </row>
    <row r="35" spans="1:2" x14ac:dyDescent="0.2">
      <c r="A35" s="9"/>
      <c r="B35" s="9"/>
    </row>
    <row r="36" spans="1:2" x14ac:dyDescent="0.2">
      <c r="A36" s="9"/>
      <c r="B36" s="9"/>
    </row>
    <row r="37" spans="1:2" x14ac:dyDescent="0.2">
      <c r="A37" s="9"/>
      <c r="B37" s="9"/>
    </row>
    <row r="38" spans="1:2" x14ac:dyDescent="0.2">
      <c r="A38" s="9"/>
      <c r="B38" s="9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15"/>
      <c r="B41" s="9"/>
    </row>
    <row r="42" spans="1:2" x14ac:dyDescent="0.2">
      <c r="A42" s="9"/>
      <c r="B42" s="9"/>
    </row>
    <row r="43" spans="1:2" x14ac:dyDescent="0.2">
      <c r="A43" s="9"/>
      <c r="B43" s="9"/>
    </row>
    <row r="44" spans="1:2" x14ac:dyDescent="0.2">
      <c r="A44" s="9"/>
      <c r="B44" s="9"/>
    </row>
    <row r="45" spans="1:2" x14ac:dyDescent="0.2">
      <c r="A45" s="9"/>
      <c r="B45" s="9"/>
    </row>
    <row r="46" spans="1:2" x14ac:dyDescent="0.2">
      <c r="A46" s="9"/>
      <c r="B46" s="9"/>
    </row>
    <row r="47" spans="1:2" x14ac:dyDescent="0.2">
      <c r="A47" s="9"/>
      <c r="B47" s="9"/>
    </row>
    <row r="48" spans="1:2" x14ac:dyDescent="0.2">
      <c r="A48" s="9"/>
      <c r="B48" s="9"/>
    </row>
    <row r="49" spans="1:2" x14ac:dyDescent="0.2">
      <c r="A49" s="9"/>
      <c r="B49" s="9"/>
    </row>
    <row r="50" spans="1:2" x14ac:dyDescent="0.2">
      <c r="A50" s="9"/>
      <c r="B50" s="9"/>
    </row>
    <row r="51" spans="1:2" x14ac:dyDescent="0.2">
      <c r="A51" s="9"/>
      <c r="B51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34"/>
  <sheetViews>
    <sheetView workbookViewId="0">
      <selection activeCell="C32" sqref="C32"/>
    </sheetView>
  </sheetViews>
  <sheetFormatPr baseColWidth="10" defaultRowHeight="16" x14ac:dyDescent="0.2"/>
  <cols>
    <col min="2" max="2" width="48.1640625" bestFit="1" customWidth="1"/>
    <col min="3" max="3" width="17.5" customWidth="1"/>
    <col min="5" max="5" width="29.6640625" customWidth="1"/>
    <col min="6" max="6" width="18" customWidth="1"/>
  </cols>
  <sheetData>
    <row r="7" spans="2:6" ht="17" thickBot="1" x14ac:dyDescent="0.25">
      <c r="B7" s="14" t="s">
        <v>61</v>
      </c>
      <c r="E7" t="s">
        <v>25</v>
      </c>
    </row>
    <row r="8" spans="2:6" x14ac:dyDescent="0.2">
      <c r="B8" s="3" t="s">
        <v>27</v>
      </c>
      <c r="C8" s="6">
        <v>1000</v>
      </c>
      <c r="E8" s="3" t="s">
        <v>27</v>
      </c>
      <c r="F8" s="6">
        <v>1000</v>
      </c>
    </row>
    <row r="9" spans="2:6" x14ac:dyDescent="0.2">
      <c r="B9" s="7" t="s">
        <v>28</v>
      </c>
      <c r="C9" s="10">
        <v>900</v>
      </c>
      <c r="E9" s="7" t="s">
        <v>28</v>
      </c>
      <c r="F9" s="10">
        <v>900</v>
      </c>
    </row>
    <row r="10" spans="2:6" x14ac:dyDescent="0.2">
      <c r="B10" s="7" t="s">
        <v>29</v>
      </c>
      <c r="C10" s="10">
        <f>C9*'Kost. Sykehus v. Frisk pasient'!D13-C9*'Kost. Sykehus v. Frisk pasient'!D13*0.25</f>
        <v>30375</v>
      </c>
      <c r="E10" s="7" t="s">
        <v>58</v>
      </c>
      <c r="F10" s="10">
        <f>'Kost. Sykehus v. Frisk pasient'!B7</f>
        <v>5275</v>
      </c>
    </row>
    <row r="11" spans="2:6" x14ac:dyDescent="0.2">
      <c r="B11" s="7" t="s">
        <v>30</v>
      </c>
      <c r="C11" s="10">
        <f>C10/60</f>
        <v>506.25</v>
      </c>
      <c r="E11" s="7" t="s">
        <v>57</v>
      </c>
      <c r="F11" s="10">
        <v>8</v>
      </c>
    </row>
    <row r="12" spans="2:6" ht="17" thickBot="1" x14ac:dyDescent="0.25">
      <c r="B12" s="11" t="s">
        <v>47</v>
      </c>
      <c r="C12" s="13">
        <f>C11/7.5</f>
        <v>67.5</v>
      </c>
      <c r="E12" s="7" t="s">
        <v>59</v>
      </c>
      <c r="F12" s="10">
        <f>F10/F11</f>
        <v>659.375</v>
      </c>
    </row>
    <row r="13" spans="2:6" ht="17" thickBot="1" x14ac:dyDescent="0.25">
      <c r="E13" s="11" t="s">
        <v>60</v>
      </c>
      <c r="F13" s="17">
        <f>F12*F9</f>
        <v>593437.5</v>
      </c>
    </row>
    <row r="14" spans="2:6" ht="17" thickBot="1" x14ac:dyDescent="0.25">
      <c r="B14" s="9" t="s">
        <v>62</v>
      </c>
      <c r="C14" s="9"/>
    </row>
    <row r="15" spans="2:6" x14ac:dyDescent="0.2">
      <c r="B15" s="3" t="s">
        <v>27</v>
      </c>
      <c r="C15" s="6">
        <v>1000</v>
      </c>
    </row>
    <row r="16" spans="2:6" x14ac:dyDescent="0.2">
      <c r="B16" s="7" t="s">
        <v>28</v>
      </c>
      <c r="C16" s="10">
        <v>900</v>
      </c>
    </row>
    <row r="17" spans="2:3" x14ac:dyDescent="0.2">
      <c r="B17" s="7" t="s">
        <v>31</v>
      </c>
      <c r="C17" s="10">
        <f>C16*'Kost. Sykehus v. Frisk pasient'!D24</f>
        <v>9855.0000000000018</v>
      </c>
    </row>
    <row r="18" spans="2:3" x14ac:dyDescent="0.2">
      <c r="B18" s="7" t="s">
        <v>32</v>
      </c>
      <c r="C18" s="10">
        <f>C17/60</f>
        <v>164.25000000000003</v>
      </c>
    </row>
    <row r="19" spans="2:3" x14ac:dyDescent="0.2">
      <c r="B19" s="7" t="s">
        <v>33</v>
      </c>
      <c r="C19" s="10">
        <f>(C18/7.5)</f>
        <v>21.900000000000002</v>
      </c>
    </row>
    <row r="20" spans="2:3" ht="17" thickBot="1" x14ac:dyDescent="0.25">
      <c r="B20" s="16" t="s">
        <v>55</v>
      </c>
      <c r="C20" s="17">
        <f>C17*'Kost. Sykehus v. Frisk pasient'!D4</f>
        <v>79309.285714285725</v>
      </c>
    </row>
    <row r="22" spans="2:3" ht="17" thickBot="1" x14ac:dyDescent="0.25">
      <c r="B22" s="9" t="s">
        <v>63</v>
      </c>
      <c r="C22" s="9"/>
    </row>
    <row r="23" spans="2:3" x14ac:dyDescent="0.2">
      <c r="B23" s="3" t="s">
        <v>52</v>
      </c>
      <c r="C23" s="6">
        <v>1000</v>
      </c>
    </row>
    <row r="24" spans="2:3" x14ac:dyDescent="0.2">
      <c r="B24" s="7" t="s">
        <v>28</v>
      </c>
      <c r="C24" s="10">
        <v>900</v>
      </c>
    </row>
    <row r="25" spans="2:3" x14ac:dyDescent="0.2">
      <c r="B25" s="7" t="s">
        <v>51</v>
      </c>
      <c r="C25" s="10">
        <f>C24*'Kost. Sykehus v. Frisk pasient'!E24</f>
        <v>10125</v>
      </c>
    </row>
    <row r="26" spans="2:3" x14ac:dyDescent="0.2">
      <c r="B26" s="7" t="s">
        <v>50</v>
      </c>
      <c r="C26" s="10">
        <f>C25/60</f>
        <v>168.75</v>
      </c>
    </row>
    <row r="27" spans="2:3" x14ac:dyDescent="0.2">
      <c r="B27" s="7" t="s">
        <v>53</v>
      </c>
      <c r="C27" s="10">
        <f>C26/7.5</f>
        <v>22.5</v>
      </c>
    </row>
    <row r="28" spans="2:3" ht="17" thickBot="1" x14ac:dyDescent="0.25">
      <c r="B28" s="11" t="s">
        <v>54</v>
      </c>
      <c r="C28" s="17">
        <f>C25*'Kost. Sykehus v. Frisk pasient'!D5</f>
        <v>53182.767857142855</v>
      </c>
    </row>
    <row r="31" spans="2:3" x14ac:dyDescent="0.2">
      <c r="B31" t="s">
        <v>56</v>
      </c>
      <c r="C31" s="18">
        <f>C20-C28</f>
        <v>26126.51785714287</v>
      </c>
    </row>
    <row r="32" spans="2:3" x14ac:dyDescent="0.2">
      <c r="B32" t="s">
        <v>64</v>
      </c>
      <c r="C32" s="20">
        <f>F13</f>
        <v>593437.5</v>
      </c>
    </row>
    <row r="33" spans="2:3" x14ac:dyDescent="0.2">
      <c r="B33" s="19" t="s">
        <v>65</v>
      </c>
      <c r="C33" s="19">
        <f>C31+C32</f>
        <v>619564.01785714284</v>
      </c>
    </row>
    <row r="34" spans="2:3" x14ac:dyDescent="0.2">
      <c r="B3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Nøkkeltall</vt:lpstr>
      <vt:lpstr>Inntekter</vt:lpstr>
      <vt:lpstr>Kost. Sykehus v. Frisk pasient</vt:lpstr>
      <vt:lpstr>Fremtidig Frisk</vt:lpstr>
      <vt:lpstr>Kost. Sykehus v. Syk pasient</vt:lpstr>
      <vt:lpstr>Fremtidig Syk</vt:lpstr>
      <vt:lpstr>- Ikke relevant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2017-03-16T14:50:04Z</dcterms:created>
  <dcterms:modified xsi:type="dcterms:W3CDTF">2017-06-01T20:40:22Z</dcterms:modified>
</cp:coreProperties>
</file>