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ktoria\OneDrive\Skrivebord\Øknomi for beslutningstakere\"/>
    </mc:Choice>
  </mc:AlternateContent>
  <xr:revisionPtr revIDLastSave="0" documentId="8_{7B568B63-2F59-4893-8B4A-D622EF5D1FA8}" xr6:coauthVersionLast="47" xr6:coauthVersionMax="47" xr10:uidLastSave="{00000000-0000-0000-0000-000000000000}"/>
  <bookViews>
    <workbookView xWindow="1900" yWindow="1200" windowWidth="13830" windowHeight="9600" tabRatio="889" xr2:uid="{CF0708DC-6C36-C94F-BFE0-CA4A05F50356}"/>
  </bookViews>
  <sheets>
    <sheet name="1. Intro og forutsteninger" sheetId="8" r:id="rId1"/>
    <sheet name="2. Utdanningsløp VPL" sheetId="1" r:id="rId2"/>
    <sheet name="3. Kurs" sheetId="2" r:id="rId3"/>
    <sheet name="4. Lønn alt. A" sheetId="3" r:id="rId4"/>
    <sheet name="5. Lønn alt. B" sheetId="4" r:id="rId5"/>
    <sheet name="6. Kost og reise" sheetId="10" r:id="rId6"/>
    <sheet name="7. Vedlikehold" sheetId="5" r:id="rId7"/>
    <sheet name="8. Nåverdi Alternativ A" sheetId="6" r:id="rId8"/>
    <sheet name="9. Nåverdi Alternativ B" sheetId="7" r:id="rId9"/>
    <sheet name="10. Konklusjon" sheetId="9" r:id="rId10"/>
  </sheets>
  <definedNames>
    <definedName name="solver_adj" localSheetId="2" hidden="1">'3. Kurs'!$C$11</definedName>
    <definedName name="solver_adj" localSheetId="7" hidden="1">'8. Nåverdi Alternativ A'!$D$7</definedName>
    <definedName name="solver_cvg" localSheetId="2" hidden="1">0.0001</definedName>
    <definedName name="solver_cvg" localSheetId="7" hidden="1">0.0001</definedName>
    <definedName name="solver_drv" localSheetId="2" hidden="1">1</definedName>
    <definedName name="solver_drv" localSheetId="7" hidden="1">1</definedName>
    <definedName name="solver_eng" localSheetId="9" hidden="1">1</definedName>
    <definedName name="solver_eng" localSheetId="2" hidden="1">1</definedName>
    <definedName name="solver_eng" localSheetId="7" hidden="1">1</definedName>
    <definedName name="solver_est" localSheetId="2" hidden="1">1</definedName>
    <definedName name="solver_est" localSheetId="7" hidden="1">1</definedName>
    <definedName name="solver_itr" localSheetId="2" hidden="1">2147483647</definedName>
    <definedName name="solver_itr" localSheetId="7" hidden="1">2147483647</definedName>
    <definedName name="solver_mip" localSheetId="2" hidden="1">2147483647</definedName>
    <definedName name="solver_mip" localSheetId="7" hidden="1">2147483647</definedName>
    <definedName name="solver_mni" localSheetId="2" hidden="1">30</definedName>
    <definedName name="solver_mni" localSheetId="7" hidden="1">30</definedName>
    <definedName name="solver_mrt" localSheetId="2" hidden="1">0.075</definedName>
    <definedName name="solver_mrt" localSheetId="7" hidden="1">0.075</definedName>
    <definedName name="solver_msl" localSheetId="2" hidden="1">2</definedName>
    <definedName name="solver_msl" localSheetId="7" hidden="1">2</definedName>
    <definedName name="solver_neg" localSheetId="9" hidden="1">1</definedName>
    <definedName name="solver_neg" localSheetId="2" hidden="1">1</definedName>
    <definedName name="solver_neg" localSheetId="7" hidden="1">1</definedName>
    <definedName name="solver_nod" localSheetId="2" hidden="1">2147483647</definedName>
    <definedName name="solver_nod" localSheetId="7" hidden="1">2147483647</definedName>
    <definedName name="solver_num" localSheetId="9" hidden="1">0</definedName>
    <definedName name="solver_num" localSheetId="2" hidden="1">0</definedName>
    <definedName name="solver_num" localSheetId="7" hidden="1">0</definedName>
    <definedName name="solver_nwt" localSheetId="2" hidden="1">1</definedName>
    <definedName name="solver_nwt" localSheetId="7" hidden="1">1</definedName>
    <definedName name="solver_opt" localSheetId="9" hidden="1">'10. Konklusjon'!$C$8</definedName>
    <definedName name="solver_opt" localSheetId="2" hidden="1">'3. Kurs'!$C$29</definedName>
    <definedName name="solver_opt" localSheetId="7" hidden="1">'8. Nåverdi Alternativ A'!$C$21</definedName>
    <definedName name="solver_pre" localSheetId="2" hidden="1">0.000001</definedName>
    <definedName name="solver_pre" localSheetId="7" hidden="1">0.000001</definedName>
    <definedName name="solver_rbv" localSheetId="2" hidden="1">1</definedName>
    <definedName name="solver_rbv" localSheetId="7" hidden="1">1</definedName>
    <definedName name="solver_rlx" localSheetId="2" hidden="1">2</definedName>
    <definedName name="solver_rlx" localSheetId="7" hidden="1">2</definedName>
    <definedName name="solver_rsd" localSheetId="2" hidden="1">0</definedName>
    <definedName name="solver_rsd" localSheetId="7" hidden="1">0</definedName>
    <definedName name="solver_scl" localSheetId="2" hidden="1">1</definedName>
    <definedName name="solver_scl" localSheetId="7" hidden="1">1</definedName>
    <definedName name="solver_sho" localSheetId="2" hidden="1">2</definedName>
    <definedName name="solver_sho" localSheetId="7" hidden="1">2</definedName>
    <definedName name="solver_ssz" localSheetId="2" hidden="1">100</definedName>
    <definedName name="solver_ssz" localSheetId="7" hidden="1">100</definedName>
    <definedName name="solver_tim" localSheetId="2" hidden="1">2147483647</definedName>
    <definedName name="solver_tim" localSheetId="7" hidden="1">2147483647</definedName>
    <definedName name="solver_tol" localSheetId="2" hidden="1">0.01</definedName>
    <definedName name="solver_tol" localSheetId="7" hidden="1">0.01</definedName>
    <definedName name="solver_typ" localSheetId="9" hidden="1">1</definedName>
    <definedName name="solver_typ" localSheetId="2" hidden="1">3</definedName>
    <definedName name="solver_typ" localSheetId="7" hidden="1">3</definedName>
    <definedName name="solver_val" localSheetId="9" hidden="1">0</definedName>
    <definedName name="solver_val" localSheetId="2" hidden="1">0</definedName>
    <definedName name="solver_val" localSheetId="7" hidden="1">-59980971</definedName>
    <definedName name="solver_ver" localSheetId="9" hidden="1">3</definedName>
    <definedName name="solver_ver" localSheetId="2" hidden="1">3</definedName>
    <definedName name="solver_ver" localSheetId="7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2" l="1"/>
  <c r="C27" i="2"/>
  <c r="F9" i="6"/>
  <c r="G9" i="6" s="1"/>
  <c r="H9" i="6" s="1"/>
  <c r="I9" i="6" s="1"/>
  <c r="J9" i="6" s="1"/>
  <c r="K9" i="6" s="1"/>
  <c r="L9" i="6" s="1"/>
  <c r="M9" i="6" s="1"/>
  <c r="E9" i="6"/>
  <c r="D9" i="6"/>
  <c r="F8" i="7"/>
  <c r="G8" i="7" s="1"/>
  <c r="E8" i="7"/>
  <c r="F8" i="6"/>
  <c r="G8" i="6" s="1"/>
  <c r="H8" i="6" s="1"/>
  <c r="I8" i="6" s="1"/>
  <c r="J8" i="6" s="1"/>
  <c r="K8" i="6" s="1"/>
  <c r="L8" i="6" s="1"/>
  <c r="M8" i="6" s="1"/>
  <c r="E8" i="6"/>
  <c r="D8" i="6"/>
  <c r="D10" i="7"/>
  <c r="F17" i="10"/>
  <c r="F16" i="10"/>
  <c r="C26" i="10"/>
  <c r="C25" i="10"/>
  <c r="E28" i="7"/>
  <c r="J28" i="7"/>
  <c r="D8" i="7"/>
  <c r="C53" i="4"/>
  <c r="C55" i="4"/>
  <c r="C56" i="4"/>
  <c r="C58" i="4"/>
  <c r="C59" i="4" s="1"/>
  <c r="C61" i="4" s="1"/>
  <c r="C64" i="4" s="1"/>
  <c r="M43" i="4"/>
  <c r="M41" i="4"/>
  <c r="M40" i="4"/>
  <c r="M38" i="4"/>
  <c r="H43" i="4"/>
  <c r="H41" i="4"/>
  <c r="H40" i="4"/>
  <c r="H38" i="4"/>
  <c r="M27" i="4"/>
  <c r="M25" i="4"/>
  <c r="M24" i="4"/>
  <c r="M22" i="4"/>
  <c r="H27" i="4"/>
  <c r="H25" i="4"/>
  <c r="H24" i="4"/>
  <c r="H22" i="4"/>
  <c r="C27" i="4"/>
  <c r="C25" i="4"/>
  <c r="C24" i="4"/>
  <c r="C22" i="4"/>
  <c r="M12" i="4"/>
  <c r="M10" i="4"/>
  <c r="M9" i="4"/>
  <c r="M7" i="4"/>
  <c r="H12" i="4"/>
  <c r="H10" i="4"/>
  <c r="H9" i="4"/>
  <c r="C43" i="4"/>
  <c r="C41" i="4"/>
  <c r="C40" i="4"/>
  <c r="C38" i="4"/>
  <c r="H8" i="7" l="1"/>
  <c r="M28" i="4"/>
  <c r="M30" i="4" s="1"/>
  <c r="M33" i="4" s="1"/>
  <c r="M44" i="4"/>
  <c r="M46" i="4" s="1"/>
  <c r="M49" i="4" s="1"/>
  <c r="H44" i="4"/>
  <c r="H46" i="4" s="1"/>
  <c r="H49" i="4" s="1"/>
  <c r="H28" i="4"/>
  <c r="H30" i="4" s="1"/>
  <c r="H33" i="4" s="1"/>
  <c r="C28" i="4"/>
  <c r="C30" i="4" s="1"/>
  <c r="C33" i="4" s="1"/>
  <c r="H13" i="4"/>
  <c r="H15" i="4" s="1"/>
  <c r="H18" i="4" s="1"/>
  <c r="C44" i="4"/>
  <c r="C46" i="4" s="1"/>
  <c r="C49" i="4" s="1"/>
  <c r="M13" i="4"/>
  <c r="M15" i="4" s="1"/>
  <c r="M18" i="4" s="1"/>
  <c r="I8" i="7" l="1"/>
  <c r="H11" i="3"/>
  <c r="G12" i="3"/>
  <c r="G11" i="3"/>
  <c r="G10" i="3"/>
  <c r="G9" i="3"/>
  <c r="G8" i="3"/>
  <c r="G6" i="3"/>
  <c r="G5" i="3"/>
  <c r="E10" i="7"/>
  <c r="F10" i="7" s="1"/>
  <c r="G10" i="7" s="1"/>
  <c r="H10" i="7" s="1"/>
  <c r="I10" i="7" s="1"/>
  <c r="J10" i="7" s="1"/>
  <c r="K10" i="7" s="1"/>
  <c r="L10" i="7" s="1"/>
  <c r="M10" i="7" s="1"/>
  <c r="F10" i="6"/>
  <c r="G10" i="6" s="1"/>
  <c r="H10" i="6" s="1"/>
  <c r="I10" i="6" s="1"/>
  <c r="J10" i="6" s="1"/>
  <c r="K10" i="6" s="1"/>
  <c r="L10" i="6" s="1"/>
  <c r="M10" i="6" s="1"/>
  <c r="E10" i="6"/>
  <c r="D10" i="6"/>
  <c r="B21" i="10"/>
  <c r="B20" i="10"/>
  <c r="B19" i="10"/>
  <c r="B18" i="10"/>
  <c r="B17" i="10"/>
  <c r="B16" i="10"/>
  <c r="G7" i="10"/>
  <c r="G8" i="10"/>
  <c r="B10" i="10"/>
  <c r="B11" i="10" s="1"/>
  <c r="B9" i="10"/>
  <c r="E28" i="6"/>
  <c r="E6" i="7"/>
  <c r="F6" i="7" s="1"/>
  <c r="G6" i="7" s="1"/>
  <c r="H6" i="7" s="1"/>
  <c r="I6" i="7" s="1"/>
  <c r="J6" i="7" s="1"/>
  <c r="K6" i="7" s="1"/>
  <c r="L6" i="7" s="1"/>
  <c r="M6" i="7" s="1"/>
  <c r="M28" i="7" s="1"/>
  <c r="E6" i="6"/>
  <c r="F6" i="6" s="1"/>
  <c r="G6" i="6" s="1"/>
  <c r="H6" i="6" s="1"/>
  <c r="I6" i="6" s="1"/>
  <c r="J6" i="6" s="1"/>
  <c r="K6" i="6" s="1"/>
  <c r="L6" i="6" s="1"/>
  <c r="M6" i="6" s="1"/>
  <c r="M28" i="6" s="1"/>
  <c r="D32" i="5"/>
  <c r="E32" i="5" s="1"/>
  <c r="F32" i="5" s="1"/>
  <c r="G32" i="5" s="1"/>
  <c r="H32" i="5" s="1"/>
  <c r="I32" i="5" s="1"/>
  <c r="J32" i="5" s="1"/>
  <c r="K32" i="5" s="1"/>
  <c r="L32" i="5" s="1"/>
  <c r="D14" i="5"/>
  <c r="E14" i="5" s="1"/>
  <c r="F14" i="5" s="1"/>
  <c r="G14" i="5" s="1"/>
  <c r="H14" i="5" s="1"/>
  <c r="I14" i="5" s="1"/>
  <c r="J14" i="5" s="1"/>
  <c r="K14" i="5" s="1"/>
  <c r="L14" i="5" s="1"/>
  <c r="J8" i="7" l="1"/>
  <c r="L28" i="7"/>
  <c r="K28" i="7"/>
  <c r="H28" i="7"/>
  <c r="G28" i="7"/>
  <c r="I28" i="7"/>
  <c r="F28" i="7"/>
  <c r="H28" i="6"/>
  <c r="I28" i="6"/>
  <c r="J28" i="6"/>
  <c r="G28" i="6"/>
  <c r="K28" i="6"/>
  <c r="F28" i="6"/>
  <c r="L28" i="6"/>
  <c r="K8" i="7" l="1"/>
  <c r="C17" i="2"/>
  <c r="C16" i="2"/>
  <c r="C12" i="2"/>
  <c r="L8" i="7" l="1"/>
  <c r="D8" i="5"/>
  <c r="M8" i="7" l="1"/>
  <c r="I33" i="5"/>
  <c r="H33" i="5"/>
  <c r="G33" i="5"/>
  <c r="F33" i="5"/>
  <c r="E33" i="5"/>
  <c r="L33" i="5"/>
  <c r="D33" i="5"/>
  <c r="K33" i="5"/>
  <c r="C33" i="5"/>
  <c r="J33" i="5"/>
  <c r="I15" i="5"/>
  <c r="I16" i="5" s="1"/>
  <c r="I34" i="5" s="1"/>
  <c r="J9" i="7" s="1"/>
  <c r="L15" i="5"/>
  <c r="L16" i="5" s="1"/>
  <c r="L34" i="5" s="1"/>
  <c r="M9" i="7" s="1"/>
  <c r="K15" i="5"/>
  <c r="K16" i="5" s="1"/>
  <c r="K34" i="5" s="1"/>
  <c r="L9" i="7" s="1"/>
  <c r="J15" i="5"/>
  <c r="J16" i="5" s="1"/>
  <c r="J34" i="5" s="1"/>
  <c r="K9" i="7" s="1"/>
  <c r="D15" i="5"/>
  <c r="D16" i="5" s="1"/>
  <c r="E15" i="5"/>
  <c r="E16" i="5" s="1"/>
  <c r="F15" i="5"/>
  <c r="F16" i="5" s="1"/>
  <c r="H15" i="5"/>
  <c r="H16" i="5" s="1"/>
  <c r="C15" i="5"/>
  <c r="C16" i="5" s="1"/>
  <c r="C34" i="5" s="1"/>
  <c r="D9" i="7" s="1"/>
  <c r="G15" i="5"/>
  <c r="G16" i="5" s="1"/>
  <c r="D10" i="5"/>
  <c r="C12" i="4"/>
  <c r="C10" i="4"/>
  <c r="C9" i="4"/>
  <c r="C7" i="4"/>
  <c r="I39" i="3"/>
  <c r="O39" i="3" s="1"/>
  <c r="O38" i="3"/>
  <c r="C37" i="3"/>
  <c r="O36" i="3"/>
  <c r="O31" i="3"/>
  <c r="O30" i="3"/>
  <c r="N29" i="3"/>
  <c r="M29" i="3"/>
  <c r="L29" i="3"/>
  <c r="C29" i="3"/>
  <c r="O29" i="3" l="1"/>
  <c r="C13" i="4"/>
  <c r="C15" i="4" l="1"/>
  <c r="C18" i="4" s="1"/>
  <c r="D34" i="5"/>
  <c r="E9" i="7" s="1"/>
  <c r="E22" i="3"/>
  <c r="C22" i="3"/>
  <c r="G21" i="3"/>
  <c r="G20" i="3"/>
  <c r="G19" i="3"/>
  <c r="G18" i="3"/>
  <c r="G17" i="3"/>
  <c r="G16" i="3"/>
  <c r="G34" i="3" l="1"/>
  <c r="K33" i="3"/>
  <c r="J33" i="3"/>
  <c r="D34" i="3"/>
  <c r="F34" i="3"/>
  <c r="L34" i="3"/>
  <c r="H33" i="3"/>
  <c r="K34" i="3"/>
  <c r="G33" i="3"/>
  <c r="M34" i="3"/>
  <c r="E34" i="3"/>
  <c r="I33" i="3"/>
  <c r="C34" i="3"/>
  <c r="J34" i="3"/>
  <c r="N33" i="3"/>
  <c r="F33" i="3"/>
  <c r="M33" i="3"/>
  <c r="E33" i="3"/>
  <c r="L33" i="3"/>
  <c r="D33" i="3"/>
  <c r="K35" i="3"/>
  <c r="C35" i="3"/>
  <c r="H35" i="3"/>
  <c r="J35" i="3"/>
  <c r="I35" i="3"/>
  <c r="G35" i="3"/>
  <c r="F35" i="3"/>
  <c r="E35" i="3"/>
  <c r="D35" i="3"/>
  <c r="L35" i="3"/>
  <c r="M35" i="3"/>
  <c r="N35" i="3"/>
  <c r="J37" i="3"/>
  <c r="D37" i="3"/>
  <c r="E32" i="3"/>
  <c r="D32" i="3"/>
  <c r="J32" i="3"/>
  <c r="L32" i="3"/>
  <c r="K32" i="3"/>
  <c r="C32" i="3"/>
  <c r="I32" i="3"/>
  <c r="H32" i="3"/>
  <c r="G32" i="3"/>
  <c r="F32" i="3"/>
  <c r="M32" i="3"/>
  <c r="N32" i="3"/>
  <c r="N34" i="3"/>
  <c r="I34" i="3"/>
  <c r="H34" i="3"/>
  <c r="G22" i="3"/>
  <c r="E34" i="5"/>
  <c r="F9" i="7" s="1"/>
  <c r="E17" i="2"/>
  <c r="E7" i="7" s="1"/>
  <c r="E18" i="7" s="1"/>
  <c r="E16" i="2"/>
  <c r="E7" i="6" s="1"/>
  <c r="E12" i="2"/>
  <c r="D7" i="7" s="1"/>
  <c r="E11" i="2"/>
  <c r="D7" i="6" s="1"/>
  <c r="O37" i="3" l="1"/>
  <c r="O32" i="3"/>
  <c r="D11" i="7"/>
  <c r="D13" i="7" s="1"/>
  <c r="D18" i="7"/>
  <c r="D11" i="6"/>
  <c r="D13" i="6" s="1"/>
  <c r="D18" i="6"/>
  <c r="D29" i="6" s="1"/>
  <c r="F7" i="6"/>
  <c r="E18" i="6"/>
  <c r="O34" i="3"/>
  <c r="O33" i="3"/>
  <c r="O35" i="3"/>
  <c r="F34" i="5"/>
  <c r="G9" i="7" s="1"/>
  <c r="E11" i="7"/>
  <c r="E13" i="7" s="1"/>
  <c r="F7" i="7"/>
  <c r="F18" i="7" s="1"/>
  <c r="E11" i="6"/>
  <c r="E13" i="6" s="1"/>
  <c r="E29" i="6" l="1"/>
  <c r="G7" i="6"/>
  <c r="F18" i="6"/>
  <c r="D29" i="7"/>
  <c r="E29" i="7"/>
  <c r="G34" i="5"/>
  <c r="H9" i="7" s="1"/>
  <c r="H34" i="5"/>
  <c r="I9" i="7" s="1"/>
  <c r="G7" i="7"/>
  <c r="G18" i="7" s="1"/>
  <c r="F11" i="7"/>
  <c r="F13" i="7" s="1"/>
  <c r="F29" i="7" s="1"/>
  <c r="F11" i="6"/>
  <c r="F13" i="6" s="1"/>
  <c r="H7" i="6" l="1"/>
  <c r="G18" i="6"/>
  <c r="F29" i="6"/>
  <c r="H7" i="7"/>
  <c r="H18" i="7" s="1"/>
  <c r="G11" i="7"/>
  <c r="G13" i="7" s="1"/>
  <c r="G11" i="6"/>
  <c r="G13" i="6" s="1"/>
  <c r="G29" i="6" l="1"/>
  <c r="I7" i="6"/>
  <c r="H18" i="6"/>
  <c r="G29" i="7"/>
  <c r="I7" i="7"/>
  <c r="I18" i="7" s="1"/>
  <c r="H11" i="7"/>
  <c r="H13" i="7" s="1"/>
  <c r="H29" i="7" s="1"/>
  <c r="H11" i="6"/>
  <c r="H13" i="6" s="1"/>
  <c r="J7" i="6" l="1"/>
  <c r="I18" i="6"/>
  <c r="H29" i="6"/>
  <c r="J7" i="7"/>
  <c r="J18" i="7" s="1"/>
  <c r="I11" i="7"/>
  <c r="I13" i="7" s="1"/>
  <c r="I29" i="7" s="1"/>
  <c r="I11" i="6"/>
  <c r="I13" i="6" s="1"/>
  <c r="I29" i="6" l="1"/>
  <c r="K7" i="6"/>
  <c r="J18" i="6"/>
  <c r="K7" i="7"/>
  <c r="K18" i="7" s="1"/>
  <c r="K29" i="7" s="1"/>
  <c r="J11" i="7"/>
  <c r="J13" i="7" s="1"/>
  <c r="J11" i="6"/>
  <c r="J13" i="6" s="1"/>
  <c r="J29" i="6" l="1"/>
  <c r="L7" i="6"/>
  <c r="K18" i="6"/>
  <c r="J29" i="7"/>
  <c r="L7" i="7"/>
  <c r="L18" i="7" s="1"/>
  <c r="L29" i="7" s="1"/>
  <c r="K11" i="7"/>
  <c r="K13" i="7" s="1"/>
  <c r="K11" i="6"/>
  <c r="K13" i="6" s="1"/>
  <c r="K29" i="6" l="1"/>
  <c r="M7" i="6"/>
  <c r="M18" i="6" s="1"/>
  <c r="L18" i="6"/>
  <c r="M7" i="7"/>
  <c r="M18" i="7" s="1"/>
  <c r="L11" i="7"/>
  <c r="L13" i="7" s="1"/>
  <c r="L11" i="6"/>
  <c r="L13" i="6" s="1"/>
  <c r="M29" i="7" l="1"/>
  <c r="C21" i="7"/>
  <c r="L29" i="6"/>
  <c r="M11" i="7"/>
  <c r="M13" i="7" s="1"/>
  <c r="M11" i="6"/>
  <c r="M13" i="6" s="1"/>
  <c r="M29" i="6" l="1"/>
  <c r="C29" i="6" s="1"/>
  <c r="C6" i="9" s="1"/>
  <c r="C21" i="6"/>
  <c r="C29" i="7"/>
  <c r="C7" i="9" s="1"/>
  <c r="C8" i="9" l="1"/>
  <c r="C29" i="2"/>
</calcChain>
</file>

<file path=xl/sharedStrings.xml><?xml version="1.0" encoding="utf-8"?>
<sst xmlns="http://schemas.openxmlformats.org/spreadsheetml/2006/main" count="479" uniqueCount="222">
  <si>
    <t>Utdanningsløpet for vernepliktige bussjåfører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</si>
  <si>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</si>
  <si>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</si>
  <si>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</si>
  <si>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</si>
  <si>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</si>
  <si>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</si>
  <si>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</si>
  <si>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</si>
  <si>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</si>
  <si>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</si>
  <si>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</si>
  <si>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</si>
  <si>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Grunnleggende soldatutdanning</t>
  </si>
  <si>
    <t>Avdelingsspesifikk utdanning</t>
  </si>
  <si>
    <t>Fagspesifikk utdanning for egen tjenestestilling</t>
  </si>
  <si>
    <t>Aktiv i tjenestestilling som bussjåfør</t>
  </si>
  <si>
    <t>Antall soldater</t>
  </si>
  <si>
    <t>Alternativer</t>
  </si>
  <si>
    <t>A</t>
  </si>
  <si>
    <t>B</t>
  </si>
  <si>
    <t xml:space="preserve">Antall </t>
  </si>
  <si>
    <t>Kostnad per elev</t>
  </si>
  <si>
    <t>Total kostnad</t>
  </si>
  <si>
    <t>Gjennomsnitt per soldat</t>
  </si>
  <si>
    <t>Måned</t>
  </si>
  <si>
    <t>Snitt</t>
  </si>
  <si>
    <t>Budsjetert utbetalt tjenestetillegg</t>
  </si>
  <si>
    <t>PROGNOSER MANNSKAPER VO2022</t>
  </si>
  <si>
    <t>KP/MND</t>
  </si>
  <si>
    <t>PROGNOSE</t>
  </si>
  <si>
    <t>Antall KP 5</t>
  </si>
  <si>
    <t>Antall 15 mnd KP 5</t>
  </si>
  <si>
    <t>Antall 18 mnd KP 5</t>
  </si>
  <si>
    <t>Lønn KP 5</t>
  </si>
  <si>
    <t>15 mnd KP 5</t>
  </si>
  <si>
    <t>18 mnd KP 5</t>
  </si>
  <si>
    <t>Tillegg KP 5 (20 % LM)</t>
  </si>
  <si>
    <t>Stønader KP 5</t>
  </si>
  <si>
    <t>Dimgodtgj. KP 5</t>
  </si>
  <si>
    <t>Dimgodtgj. 15 mnd KP 5</t>
  </si>
  <si>
    <t>Dimgodtgj. 18 mnd KP 5</t>
  </si>
  <si>
    <t>Type utgift</t>
  </si>
  <si>
    <t>Beløp</t>
  </si>
  <si>
    <t>Fast/variabelt tillegg</t>
  </si>
  <si>
    <t>Grunnlønn</t>
  </si>
  <si>
    <t>Fast</t>
  </si>
  <si>
    <t>Uniformsgodtgjørelse</t>
  </si>
  <si>
    <t>Øvelsestillegg helg</t>
  </si>
  <si>
    <t>Variabelt</t>
  </si>
  <si>
    <t>Øvelsestillegg ukedag</t>
  </si>
  <si>
    <t xml:space="preserve">Overtidsbetaling </t>
  </si>
  <si>
    <t>Vakttillegg</t>
  </si>
  <si>
    <t>https://www.forsvaret.no/om-forsvaret/organisasjon/haeren</t>
  </si>
  <si>
    <t>Brutto månedslønn</t>
  </si>
  <si>
    <t>https://www.nof.no/images/Marketing/brosjyrer/L%C3%B8nnstabell/1945%20NOF%20l%C3%B8nntabell%202021_web%20(1).pdf</t>
  </si>
  <si>
    <t>Kostnader kjøretøy HMKG</t>
  </si>
  <si>
    <t xml:space="preserve">Antall kjøretøy </t>
  </si>
  <si>
    <t>Kostnader kjøretøy 2021</t>
  </si>
  <si>
    <t xml:space="preserve">Kostnad per kjøretøy </t>
  </si>
  <si>
    <t>Kostnad for HMKG busser</t>
  </si>
  <si>
    <t xml:space="preserve">Årlig kostnad for HMKG busser </t>
  </si>
  <si>
    <t xml:space="preserve">År </t>
  </si>
  <si>
    <t>Per buss</t>
  </si>
  <si>
    <t>Totale kostnader</t>
  </si>
  <si>
    <t>Antall busser i HMKG</t>
  </si>
  <si>
    <t>Vedlikehold</t>
  </si>
  <si>
    <t>Resultat</t>
  </si>
  <si>
    <t>Skatt</t>
  </si>
  <si>
    <t>Resultat etter skatt</t>
  </si>
  <si>
    <t>1. Avskrivninger</t>
  </si>
  <si>
    <t>2. Endring arbeidskapital</t>
  </si>
  <si>
    <t>3. endring gjeld</t>
  </si>
  <si>
    <t xml:space="preserve">4. investering </t>
  </si>
  <si>
    <t>Kontantstrøm</t>
  </si>
  <si>
    <t>Avkastningskrav</t>
  </si>
  <si>
    <t>Nåverdi</t>
  </si>
  <si>
    <t>Kurs</t>
  </si>
  <si>
    <t>Lønn</t>
  </si>
  <si>
    <t xml:space="preserve">Kost og reise </t>
  </si>
  <si>
    <t>År</t>
  </si>
  <si>
    <t>3. Endring gjeld</t>
  </si>
  <si>
    <t>snittkostnad</t>
  </si>
  <si>
    <t>Netto:</t>
  </si>
  <si>
    <t xml:space="preserve"> (A-B)</t>
  </si>
  <si>
    <t>Per mnd</t>
  </si>
  <si>
    <t>Ant. Mnd</t>
  </si>
  <si>
    <t>Ant grenaderer</t>
  </si>
  <si>
    <t>Sum lønn</t>
  </si>
  <si>
    <t>Kapitalkostnad:</t>
  </si>
  <si>
    <t>Norges Bank har over tid anslått den langsiktige realrenten i Norge til å ligge mellom 0-1%.</t>
  </si>
  <si>
    <t>2,0% så får vi en realrente på 1,0%. Vi har valgt å benytte dette som kapitalkostnad.</t>
  </si>
  <si>
    <t>over Statsbudsjettet og ikke må lånes av finansinstitusjon.</t>
  </si>
  <si>
    <t xml:space="preserve">Det legges ikke noe risikopremie på denne risikofrie renten da størrelsene oppfattes som relativt </t>
  </si>
  <si>
    <t>Det tillegges heller ikke noe påslag da det i begge tilfeller forutsettes at aktivitetene finansieres</t>
  </si>
  <si>
    <t>Det må utdannes 2 x 10 soldater i året da hver soldat kun tjenestegjør i 6 mnd. som sjåfør.</t>
  </si>
  <si>
    <t xml:space="preserve">Kommentar: </t>
  </si>
  <si>
    <t xml:space="preserve">For alt. A så må det utdannes 20 soldater hvert år, mao. både i år 0 og </t>
  </si>
  <si>
    <t>i år 1-10</t>
  </si>
  <si>
    <t>Kostnader førerkort klasse D - år 1</t>
  </si>
  <si>
    <t>Kostnader førerkort klasse D - år 2 - 10</t>
  </si>
  <si>
    <t>Kommentar:</t>
  </si>
  <si>
    <t>Det er grunn til å anta at busser både er dyrere i innnkjøp og mer kostbart å vedlikeholde, men uten opplysninger</t>
  </si>
  <si>
    <t>om dette så baserer vi oss på gjennomsnittstørrelser. Dette vil ikke ha noen innvirkning på senere konklusjoner.</t>
  </si>
  <si>
    <t>Vi legger videre til grunn at dette beløpet inkluderer både gjennomsnittlige anskaffelser og løpende vedlikehold.</t>
  </si>
  <si>
    <t>Under "Nåverdi Alternativ B" så legger vi til grunn at behov for vedlikehold vil være noe mindre ved bruk av mer erfarne</t>
  </si>
  <si>
    <t>grenaderer enn ved bruk at menige. Tallene blir da:</t>
  </si>
  <si>
    <t>besparelse</t>
  </si>
  <si>
    <t>Forutsetning:</t>
  </si>
  <si>
    <t>Står i år 0 og vurderer alternativene over en 10-års periode.</t>
  </si>
  <si>
    <t>Det dreier seg om å vurdere de to alternativene (A og B) opp mot hverandre.</t>
  </si>
  <si>
    <t>Alternativ A:</t>
  </si>
  <si>
    <t>Alternativ B:</t>
  </si>
  <si>
    <t>Det virker usannsynlig at dagpenger eller reise skal øke så mye for vernepliktige at det vil endre</t>
  </si>
  <si>
    <t>denne konklusjonen.</t>
  </si>
  <si>
    <t xml:space="preserve">Det som imidlertid vil kunne skje er at prisen på opplæring (førerkort på buss) vil kunne øke så </t>
  </si>
  <si>
    <t>Høyere strykprosent med påfølgende kostnader vil også gjøre at den reelle gjennomsnittskostnaden for</t>
  </si>
  <si>
    <t>oppæring vil overstige NOK 38.900.</t>
  </si>
  <si>
    <t>"sikre" og forutsigbare. Vi opplever videre at det er relativt "like" alternativer som skal belyses.</t>
  </si>
  <si>
    <t>Illustrasjon utdanningsløp menige</t>
  </si>
  <si>
    <t>Visualisering kurs</t>
  </si>
  <si>
    <t>Lønn og tjenestetillegg menige</t>
  </si>
  <si>
    <t>Lønn og tillegg grenaderer</t>
  </si>
  <si>
    <t>Kostnader kjøretøy</t>
  </si>
  <si>
    <t>Nåverdi alternativ A</t>
  </si>
  <si>
    <t>Nåverdi alternativ B</t>
  </si>
  <si>
    <t>Konklusjon</t>
  </si>
  <si>
    <t>Vi har fått opplyst at det i 2021 var kostnader på NOK 7.200.000 på tilsammen 22 kjøretøy.</t>
  </si>
  <si>
    <t>Dette til tross for at vi har lagt til grunn en noe lavere vedlikeholdskostnad ved bruk av grenaderer.</t>
  </si>
  <si>
    <t>A-B skifter fortegn.</t>
  </si>
  <si>
    <t xml:space="preserve"> </t>
  </si>
  <si>
    <t>Post</t>
  </si>
  <si>
    <t>Tjenestetilegg</t>
  </si>
  <si>
    <t>Ledende menig</t>
  </si>
  <si>
    <t>Dimmepenger</t>
  </si>
  <si>
    <t>Ektefelle/ tilsvarende</t>
  </si>
  <si>
    <t>Et barn</t>
  </si>
  <si>
    <t>Barn nr. 2, 3, osv.</t>
  </si>
  <si>
    <t>Dagsats</t>
  </si>
  <si>
    <t>Sum post 1 og 3</t>
  </si>
  <si>
    <t>Sum alle poster</t>
  </si>
  <si>
    <t>1 måned</t>
  </si>
  <si>
    <t>6 mnd</t>
  </si>
  <si>
    <t>12 mnd</t>
  </si>
  <si>
    <t xml:space="preserve">Økonomisk tillegg for vernepliktige (skattefritt) </t>
  </si>
  <si>
    <t>Total 20 vpl.</t>
  </si>
  <si>
    <t>Kontroll for sammenlikning. Tjenestetillegg vernepliktige i HMKG KP 5 2022</t>
  </si>
  <si>
    <t>Kost og reise</t>
  </si>
  <si>
    <t>Permisjonsreiser HMKG</t>
  </si>
  <si>
    <t>Permisjonsreiser totalkostnad</t>
  </si>
  <si>
    <t>Antall vernepliktige</t>
  </si>
  <si>
    <t xml:space="preserve">Antall permisjonsreiser </t>
  </si>
  <si>
    <t xml:space="preserve">Sum per vernepliktig </t>
  </si>
  <si>
    <t>Sum per vernepliktig for 7 reiser</t>
  </si>
  <si>
    <t>Antall kostdøgn</t>
  </si>
  <si>
    <t>total</t>
  </si>
  <si>
    <t>Vernepliktig (alt A)</t>
  </si>
  <si>
    <t>Ansatte (alt B)</t>
  </si>
  <si>
    <t>Reise total 1 stykk verneplitkig</t>
  </si>
  <si>
    <t>Sum</t>
  </si>
  <si>
    <t>Kost total 1 stykk vernepliktig</t>
  </si>
  <si>
    <t>Kost total 20 stykk vernepliktig</t>
  </si>
  <si>
    <t>Sum 20 verneplikgige kost og reise</t>
  </si>
  <si>
    <t>Forklaring av regneark:</t>
  </si>
  <si>
    <t xml:space="preserve">Regearket tar for seg alle utregninger som beskrives i oppgavens hoveddokument. </t>
  </si>
  <si>
    <t>Forutseninger:</t>
  </si>
  <si>
    <t>1. Introduskskjon og forutsetning</t>
  </si>
  <si>
    <t>2. Utdanningsløp vernepliktige (VPL)</t>
  </si>
  <si>
    <t>3. Kurs</t>
  </si>
  <si>
    <t>4. Lønn alternativ A</t>
  </si>
  <si>
    <t>5. Lønn alternativ B</t>
  </si>
  <si>
    <t>6. Kost og reise</t>
  </si>
  <si>
    <t xml:space="preserve">7. Vedlikehold </t>
  </si>
  <si>
    <t>8. Nåverdi alternativ A</t>
  </si>
  <si>
    <t>9. Nåverdi alternativ B</t>
  </si>
  <si>
    <t>Alle størrelser er i faste kroner (2021-kroner), de justeres m.a.o ikke med forventet inflasjon.</t>
  </si>
  <si>
    <r>
      <rPr>
        <b/>
        <sz val="12"/>
        <color theme="4"/>
        <rFont val="Calibri"/>
        <family val="2"/>
        <scheme val="minor"/>
      </rPr>
      <t>Alternativ A</t>
    </r>
    <r>
      <rPr>
        <sz val="12"/>
        <color theme="1"/>
        <rFont val="Calibri"/>
        <family val="2"/>
        <scheme val="minor"/>
      </rPr>
      <t>: Løsning av sjåførbehov ved hjelp av vernepliktige soldater</t>
    </r>
  </si>
  <si>
    <r>
      <rPr>
        <b/>
        <sz val="12"/>
        <color theme="4"/>
        <rFont val="Calibri"/>
        <family val="2"/>
        <scheme val="minor"/>
      </rPr>
      <t>Alternativ B</t>
    </r>
    <r>
      <rPr>
        <sz val="12"/>
        <color theme="1"/>
        <rFont val="Calibri"/>
        <family val="2"/>
        <scheme val="minor"/>
      </rPr>
      <t>: Løsning av sjåførbehov ved hjelp av vervede soldater</t>
    </r>
  </si>
  <si>
    <t xml:space="preserve"> Benyttes ifm Nåverdi Alternativ B</t>
  </si>
  <si>
    <t>Gjennomsnittslønn bussjåfører - år 2 - LTR 23</t>
  </si>
  <si>
    <t>Gjennomsnittslønn bussjåfører - år 3 - LTR 24</t>
  </si>
  <si>
    <t>Gjennomsnittslønn bussjåfører - år 4 - LTR 25</t>
  </si>
  <si>
    <t>Gjennomsnittslønn bussjåfører - år 6 - LTR 26</t>
  </si>
  <si>
    <t xml:space="preserve"> kr                   -  </t>
  </si>
  <si>
    <t>Gjennomsnittslønn bussjåfører - år 7 - LTR 27</t>
  </si>
  <si>
    <t>Gjennomsnittslønn bussjåfører - år 8 - LTR 28</t>
  </si>
  <si>
    <t>Gjennomsnittslønn bussjåfører - år 12 - LTR 29</t>
  </si>
  <si>
    <t>Gjennomsnittslønn bussjåfører - år 14 - LTR 31</t>
  </si>
  <si>
    <t>Gjennomsnittslønn bussjåfører - år 16 - LTR 34</t>
  </si>
  <si>
    <t>Vi legger til grunn at dette er en representativ størrelse som gir et relevant uttrykk for kostnadene i et gjennomsnittsår.</t>
  </si>
  <si>
    <t>Lønnsveksten på tas høyde for i utregningen av nåverdi alternativ B</t>
  </si>
  <si>
    <t>Vi ser at alternativ A (bruk av vernepliktige sjåfører) er det rimeligste alternativet for Garden.</t>
  </si>
  <si>
    <t>Kost ansatte</t>
  </si>
  <si>
    <t>Sum per ansatte kost</t>
  </si>
  <si>
    <t>Sum ansatte 10 stykker</t>
  </si>
  <si>
    <t>Sum per vernepliktig per reise</t>
  </si>
  <si>
    <t>Kost og reise vernepliktig (alt A)</t>
  </si>
  <si>
    <t>Kost</t>
  </si>
  <si>
    <t xml:space="preserve">  =&gt; Brukes ifm Nåverdi Alt. A (celle D7)</t>
  </si>
  <si>
    <t xml:space="preserve">  =&gt; Brukes ifm Nåverdi Alt. A (celle E7 - M7)</t>
  </si>
  <si>
    <t xml:space="preserve">  =&gt; Brukes ifm Nåverdi Alt. B (celle D7)</t>
  </si>
  <si>
    <t xml:space="preserve">  =&gt; Brukes ifm Nåverdi Alt. B (celle E7 - M7)</t>
  </si>
  <si>
    <t xml:space="preserve">  =&gt; Brukes ifm Nåverdi Alt. B (celle D8 - M8)</t>
  </si>
  <si>
    <t>(celle D8 - M8)</t>
  </si>
  <si>
    <t xml:space="preserve">  =&gt; Brukes ifm Nåverdi Alt. A (celle D10 - M10)</t>
  </si>
  <si>
    <t xml:space="preserve">  =&gt; Brukes ifm Nåverdi Alt. B (celle D10 - M10)</t>
  </si>
  <si>
    <t xml:space="preserve">  =&gt; Brukes ifm Nåverdi Alt. A (celle D9 - M9)</t>
  </si>
  <si>
    <t xml:space="preserve">  =&gt; Brukes ifm Nåverdi Alt. B (celle D9 - M9)</t>
  </si>
  <si>
    <t xml:space="preserve">Norsk 10-års stat er p.t. på om lag 3,0%. Dersom man trekker fra Norges Banks inflasjonsmål på </t>
  </si>
  <si>
    <t>Introduksjon og forutsetninger</t>
  </si>
  <si>
    <t xml:space="preserve"> Benyttes ifm Nåverdi Alt. B (celle D8 - M8)</t>
  </si>
  <si>
    <t>10. Konklusjon</t>
  </si>
  <si>
    <t>Gjennomsnittslønn nyansatt vervet bussjåfør (LTR 22)</t>
  </si>
  <si>
    <t>Kontrollutregning</t>
  </si>
  <si>
    <t>Trukket fra 6 stk 18 mnders i antall soldater og utbetalinger</t>
  </si>
  <si>
    <t>Regearket består av 10 faner:</t>
  </si>
  <si>
    <t>Vi benytter derfor en kapitalkostnad (avkastningskrav) i reelle termer ifm nåverdibetraktningene.</t>
  </si>
  <si>
    <t xml:space="preserve">Anvender LTR 22. Lønnsutregninger med økende lønnstrinn ligger skjult i radene ovenfor (20-65). </t>
  </si>
  <si>
    <t xml:space="preserve">mye at bildet endres. Ny regulering, andre krav, generell prisøkning, etc. kan medføre økt pris på </t>
  </si>
  <si>
    <t>kjøreopplæringen, og dette vil være utenfor Forsvarets kontroll.</t>
  </si>
  <si>
    <t>For å finne ut når alt. A går fra å være billigst til å bli dyrest så må vi finne for hvilken pris på opplæring</t>
  </si>
  <si>
    <r>
      <t>Dersom prisen for kjøreopplæringen skulle stige fra NOK 38.900 til over NOK</t>
    </r>
    <r>
      <rPr>
        <sz val="12"/>
        <color theme="4"/>
        <rFont val="Calibri"/>
        <family val="2"/>
        <scheme val="minor"/>
      </rPr>
      <t xml:space="preserve"> 69.953,53</t>
    </r>
    <r>
      <rPr>
        <sz val="12"/>
        <color theme="1"/>
        <rFont val="Calibri"/>
        <family val="2"/>
        <scheme val="minor"/>
      </rPr>
      <t xml:space="preserve"> så blir alt. B billigst for Garden.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</si>
</sst>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kr&quot;\ #,##0.00;[Red]\-&quot;kr&quot;\ #,##0.00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 * #,##0_ ;_ * \-#,##0_ ;_ * &quot;-&quot;_ ;_ @_ "/>
    <numFmt numFmtId="165" formatCode="_-* #,##0_-;\-* #,##0_-;_-* &quot;-&quot;??_-;_-@_-"/>
    <numFmt numFmtId="166" formatCode="#,##0.00_ ;\-#,##0.00\ "/>
    <numFmt numFmtId="167" formatCode="0.0\ %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Myriad Pro"/>
      <family val="2"/>
    </font>
    <font>
      <b/>
      <sz val="10"/>
      <color theme="1"/>
      <name val="Myriad Pro"/>
      <family val="2"/>
    </font>
    <font>
      <sz val="10"/>
      <name val="Arial"/>
      <family val="2"/>
    </font>
    <font>
      <b/>
      <sz val="10"/>
      <name val="Myriad Pro"/>
      <family val="2"/>
    </font>
    <font>
      <sz val="10"/>
      <color theme="1"/>
      <name val="Myriad Pro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4"/>
      <name val="Calibri"/>
      <family val="2"/>
      <scheme val="minor"/>
    </font>
    <font>
      <sz val="12"/>
      <color theme="4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D7D31"/>
        <bgColor rgb="FF000000"/>
      </patternFill>
    </fill>
    <fill>
      <patternFill patternType="solid">
        <fgColor rgb="FFF4B084"/>
        <bgColor rgb="FF00000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0" fillId="0" borderId="8" xfId="0" applyBorder="1" applyAlignment="1"/>
    <xf numFmtId="0" fontId="0" fillId="0" borderId="9" xfId="0" applyBorder="1" applyAlignment="1"/>
    <xf numFmtId="0" fontId="0" fillId="2" borderId="10" xfId="0" applyFill="1" applyBorder="1"/>
    <xf numFmtId="0" fontId="0" fillId="4" borderId="2" xfId="0" applyFill="1" applyBorder="1"/>
    <xf numFmtId="0" fontId="0" fillId="0" borderId="2" xfId="0" applyBorder="1"/>
    <xf numFmtId="0" fontId="0" fillId="3" borderId="4" xfId="0" applyFill="1" applyBorder="1"/>
    <xf numFmtId="0" fontId="0" fillId="0" borderId="7" xfId="0" applyBorder="1"/>
    <xf numFmtId="0" fontId="0" fillId="0" borderId="7" xfId="0" applyFill="1" applyBorder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2" xfId="0" applyFill="1" applyBorder="1" applyAlignment="1">
      <alignment vertical="center"/>
    </xf>
    <xf numFmtId="0" fontId="0" fillId="0" borderId="1" xfId="0" applyFill="1" applyBorder="1" applyAlignment="1"/>
    <xf numFmtId="0" fontId="0" fillId="0" borderId="4" xfId="0" applyFill="1" applyBorder="1" applyAlignment="1">
      <alignment vertical="center"/>
    </xf>
    <xf numFmtId="0" fontId="0" fillId="0" borderId="5" xfId="0" applyFill="1" applyBorder="1" applyAlignment="1"/>
    <xf numFmtId="0" fontId="0" fillId="0" borderId="0" xfId="0" applyFill="1"/>
    <xf numFmtId="44" fontId="0" fillId="0" borderId="1" xfId="1" applyFont="1" applyFill="1" applyBorder="1" applyAlignment="1"/>
    <xf numFmtId="44" fontId="0" fillId="0" borderId="5" xfId="1" applyFont="1" applyFill="1" applyBorder="1" applyAlignment="1"/>
    <xf numFmtId="0" fontId="0" fillId="0" borderId="0" xfId="0" applyAlignment="1"/>
    <xf numFmtId="0" fontId="2" fillId="0" borderId="10" xfId="0" applyFont="1" applyBorder="1"/>
    <xf numFmtId="0" fontId="0" fillId="0" borderId="2" xfId="0" applyBorder="1" applyAlignment="1"/>
    <xf numFmtId="0" fontId="0" fillId="0" borderId="4" xfId="0" applyFill="1" applyBorder="1" applyAlignment="1"/>
    <xf numFmtId="0" fontId="5" fillId="6" borderId="1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right" wrapText="1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right" wrapText="1"/>
    </xf>
    <xf numFmtId="0" fontId="7" fillId="7" borderId="8" xfId="3" applyFont="1" applyFill="1" applyBorder="1"/>
    <xf numFmtId="164" fontId="8" fillId="7" borderId="8" xfId="0" applyNumberFormat="1" applyFont="1" applyFill="1" applyBorder="1"/>
    <xf numFmtId="164" fontId="8" fillId="7" borderId="26" xfId="0" applyNumberFormat="1" applyFont="1" applyFill="1" applyBorder="1"/>
    <xf numFmtId="164" fontId="5" fillId="7" borderId="10" xfId="0" applyNumberFormat="1" applyFont="1" applyFill="1" applyBorder="1" applyAlignment="1">
      <alignment horizontal="right"/>
    </xf>
    <xf numFmtId="0" fontId="7" fillId="7" borderId="1" xfId="3" applyFont="1" applyFill="1" applyBorder="1"/>
    <xf numFmtId="164" fontId="8" fillId="8" borderId="1" xfId="0" applyNumberFormat="1" applyFont="1" applyFill="1" applyBorder="1"/>
    <xf numFmtId="164" fontId="8" fillId="8" borderId="3" xfId="0" applyNumberFormat="1" applyFont="1" applyFill="1" applyBorder="1"/>
    <xf numFmtId="164" fontId="5" fillId="7" borderId="23" xfId="0" applyNumberFormat="1" applyFont="1" applyFill="1" applyBorder="1" applyAlignment="1">
      <alignment horizontal="right"/>
    </xf>
    <xf numFmtId="164" fontId="8" fillId="7" borderId="1" xfId="0" applyNumberFormat="1" applyFont="1" applyFill="1" applyBorder="1"/>
    <xf numFmtId="164" fontId="8" fillId="7" borderId="3" xfId="0" applyNumberFormat="1" applyFont="1" applyFill="1" applyBorder="1"/>
    <xf numFmtId="0" fontId="7" fillId="5" borderId="1" xfId="3" applyFont="1" applyFill="1" applyBorder="1"/>
    <xf numFmtId="165" fontId="8" fillId="0" borderId="1" xfId="2" applyNumberFormat="1" applyFont="1" applyFill="1" applyBorder="1"/>
    <xf numFmtId="165" fontId="8" fillId="0" borderId="3" xfId="2" applyNumberFormat="1" applyFont="1" applyFill="1" applyBorder="1"/>
    <xf numFmtId="165" fontId="5" fillId="9" borderId="23" xfId="2" applyNumberFormat="1" applyFont="1" applyFill="1" applyBorder="1" applyAlignment="1">
      <alignment horizontal="right"/>
    </xf>
    <xf numFmtId="165" fontId="8" fillId="10" borderId="1" xfId="2" applyNumberFormat="1" applyFont="1" applyFill="1" applyBorder="1"/>
    <xf numFmtId="165" fontId="8" fillId="10" borderId="3" xfId="2" applyNumberFormat="1" applyFont="1" applyFill="1" applyBorder="1"/>
    <xf numFmtId="0" fontId="7" fillId="5" borderId="5" xfId="3" applyFont="1" applyFill="1" applyBorder="1"/>
    <xf numFmtId="165" fontId="8" fillId="10" borderId="5" xfId="2" applyNumberFormat="1" applyFont="1" applyFill="1" applyBorder="1"/>
    <xf numFmtId="165" fontId="8" fillId="10" borderId="6" xfId="2" applyNumberFormat="1" applyFont="1" applyFill="1" applyBorder="1"/>
    <xf numFmtId="165" fontId="5" fillId="9" borderId="22" xfId="2" applyNumberFormat="1" applyFont="1" applyFill="1" applyBorder="1" applyAlignment="1">
      <alignment horizontal="right"/>
    </xf>
    <xf numFmtId="0" fontId="2" fillId="0" borderId="2" xfId="0" applyFont="1" applyBorder="1"/>
    <xf numFmtId="0" fontId="2" fillId="0" borderId="4" xfId="0" applyFont="1" applyBorder="1"/>
    <xf numFmtId="44" fontId="0" fillId="0" borderId="1" xfId="0" applyNumberFormat="1" applyBorder="1"/>
    <xf numFmtId="44" fontId="0" fillId="0" borderId="5" xfId="0" applyNumberFormat="1" applyBorder="1"/>
    <xf numFmtId="0" fontId="0" fillId="0" borderId="8" xfId="0" applyBorder="1"/>
    <xf numFmtId="0" fontId="2" fillId="0" borderId="7" xfId="0" applyFont="1" applyBorder="1"/>
    <xf numFmtId="0" fontId="0" fillId="0" borderId="2" xfId="0" applyFont="1" applyFill="1" applyBorder="1"/>
    <xf numFmtId="0" fontId="0" fillId="0" borderId="1" xfId="0" applyBorder="1"/>
    <xf numFmtId="44" fontId="0" fillId="0" borderId="1" xfId="1" applyFont="1" applyBorder="1"/>
    <xf numFmtId="44" fontId="0" fillId="14" borderId="1" xfId="1" applyFont="1" applyFill="1" applyBorder="1"/>
    <xf numFmtId="0" fontId="0" fillId="0" borderId="5" xfId="0" applyBorder="1"/>
    <xf numFmtId="44" fontId="0" fillId="0" borderId="8" xfId="1" applyFont="1" applyBorder="1"/>
    <xf numFmtId="0" fontId="0" fillId="0" borderId="13" xfId="0" applyBorder="1"/>
    <xf numFmtId="0" fontId="0" fillId="0" borderId="14" xfId="0" applyBorder="1"/>
    <xf numFmtId="0" fontId="0" fillId="0" borderId="27" xfId="0" applyBorder="1"/>
    <xf numFmtId="0" fontId="0" fillId="0" borderId="23" xfId="0" applyBorder="1"/>
    <xf numFmtId="0" fontId="0" fillId="14" borderId="23" xfId="0" applyFill="1" applyBorder="1"/>
    <xf numFmtId="0" fontId="0" fillId="0" borderId="28" xfId="0" applyBorder="1"/>
    <xf numFmtId="0" fontId="0" fillId="0" borderId="29" xfId="0" applyBorder="1"/>
    <xf numFmtId="0" fontId="0" fillId="14" borderId="29" xfId="0" applyFill="1" applyBorder="1"/>
    <xf numFmtId="0" fontId="0" fillId="0" borderId="30" xfId="0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Border="1"/>
    <xf numFmtId="167" fontId="0" fillId="0" borderId="23" xfId="4" applyNumberFormat="1" applyFont="1" applyBorder="1"/>
    <xf numFmtId="167" fontId="0" fillId="0" borderId="23" xfId="0" applyNumberFormat="1" applyBorder="1"/>
    <xf numFmtId="44" fontId="0" fillId="0" borderId="0" xfId="0" applyNumberFormat="1"/>
    <xf numFmtId="44" fontId="10" fillId="2" borderId="1" xfId="1" applyFont="1" applyFill="1" applyBorder="1" applyAlignment="1"/>
    <xf numFmtId="0" fontId="2" fillId="0" borderId="0" xfId="0" applyFont="1"/>
    <xf numFmtId="0" fontId="12" fillId="0" borderId="5" xfId="0" applyFont="1" applyFill="1" applyBorder="1" applyAlignment="1"/>
    <xf numFmtId="9" fontId="9" fillId="0" borderId="0" xfId="0" applyNumberFormat="1" applyFont="1" applyAlignment="1">
      <alignment horizontal="center"/>
    </xf>
    <xf numFmtId="0" fontId="0" fillId="0" borderId="32" xfId="0" applyBorder="1"/>
    <xf numFmtId="0" fontId="0" fillId="0" borderId="33" xfId="0" applyFont="1" applyFill="1" applyBorder="1"/>
    <xf numFmtId="44" fontId="0" fillId="12" borderId="34" xfId="1" applyFont="1" applyFill="1" applyBorder="1" applyAlignment="1"/>
    <xf numFmtId="0" fontId="0" fillId="0" borderId="1" xfId="0" applyFont="1" applyFill="1" applyBorder="1"/>
    <xf numFmtId="166" fontId="0" fillId="0" borderId="1" xfId="1" applyNumberFormat="1" applyFont="1" applyFill="1" applyBorder="1" applyAlignment="1"/>
    <xf numFmtId="0" fontId="0" fillId="0" borderId="8" xfId="0" applyFont="1" applyFill="1" applyBorder="1"/>
    <xf numFmtId="8" fontId="0" fillId="13" borderId="22" xfId="0" applyNumberFormat="1" applyFill="1" applyBorder="1"/>
    <xf numFmtId="0" fontId="13" fillId="0" borderId="0" xfId="0" applyFont="1"/>
    <xf numFmtId="43" fontId="0" fillId="0" borderId="0" xfId="0" applyNumberFormat="1"/>
    <xf numFmtId="0" fontId="12" fillId="0" borderId="29" xfId="0" applyFont="1" applyBorder="1"/>
    <xf numFmtId="0" fontId="0" fillId="0" borderId="36" xfId="0" applyBorder="1"/>
    <xf numFmtId="43" fontId="0" fillId="0" borderId="36" xfId="0" applyNumberFormat="1" applyBorder="1"/>
    <xf numFmtId="0" fontId="0" fillId="0" borderId="37" xfId="0" applyBorder="1"/>
    <xf numFmtId="43" fontId="0" fillId="0" borderId="37" xfId="2" applyFont="1" applyBorder="1"/>
    <xf numFmtId="0" fontId="14" fillId="0" borderId="0" xfId="0" applyFont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0" fillId="0" borderId="3" xfId="0" applyFont="1" applyFill="1" applyBorder="1"/>
    <xf numFmtId="0" fontId="0" fillId="12" borderId="4" xfId="0" applyFont="1" applyFill="1" applyBorder="1"/>
    <xf numFmtId="44" fontId="2" fillId="12" borderId="5" xfId="1" applyFont="1" applyFill="1" applyBorder="1" applyAlignment="1"/>
    <xf numFmtId="44" fontId="0" fillId="0" borderId="6" xfId="0" applyNumberFormat="1" applyFont="1" applyFill="1" applyBorder="1"/>
    <xf numFmtId="0" fontId="0" fillId="0" borderId="0" xfId="0" applyFont="1"/>
    <xf numFmtId="0" fontId="0" fillId="0" borderId="1" xfId="0" applyFont="1" applyBorder="1"/>
    <xf numFmtId="44" fontId="0" fillId="0" borderId="1" xfId="0" applyNumberFormat="1" applyFont="1" applyBorder="1"/>
    <xf numFmtId="0" fontId="0" fillId="0" borderId="35" xfId="0" applyBorder="1"/>
    <xf numFmtId="0" fontId="0" fillId="0" borderId="0" xfId="0" applyBorder="1"/>
    <xf numFmtId="0" fontId="0" fillId="0" borderId="41" xfId="0" applyBorder="1"/>
    <xf numFmtId="44" fontId="0" fillId="0" borderId="0" xfId="1" applyFont="1" applyBorder="1"/>
    <xf numFmtId="44" fontId="0" fillId="12" borderId="41" xfId="1" applyFont="1" applyFill="1" applyBorder="1"/>
    <xf numFmtId="44" fontId="0" fillId="0" borderId="41" xfId="1" applyFont="1" applyBorder="1"/>
    <xf numFmtId="44" fontId="0" fillId="12" borderId="41" xfId="0" applyNumberFormat="1" applyFill="1" applyBorder="1"/>
    <xf numFmtId="0" fontId="0" fillId="0" borderId="42" xfId="0" applyBorder="1"/>
    <xf numFmtId="44" fontId="0" fillId="11" borderId="43" xfId="0" applyNumberFormat="1" applyFill="1" applyBorder="1"/>
    <xf numFmtId="0" fontId="0" fillId="0" borderId="44" xfId="0" applyBorder="1"/>
    <xf numFmtId="44" fontId="0" fillId="0" borderId="37" xfId="1" applyFont="1" applyBorder="1"/>
    <xf numFmtId="44" fontId="0" fillId="0" borderId="45" xfId="1" applyFont="1" applyBorder="1"/>
    <xf numFmtId="0" fontId="15" fillId="0" borderId="0" xfId="0" applyFont="1"/>
    <xf numFmtId="0" fontId="2" fillId="0" borderId="11" xfId="0" applyFont="1" applyBorder="1"/>
    <xf numFmtId="0" fontId="2" fillId="0" borderId="12" xfId="0" applyFont="1" applyBorder="1"/>
    <xf numFmtId="0" fontId="0" fillId="0" borderId="2" xfId="0" applyFont="1" applyBorder="1"/>
    <xf numFmtId="0" fontId="0" fillId="0" borderId="3" xfId="0" applyFont="1" applyBorder="1"/>
    <xf numFmtId="44" fontId="0" fillId="0" borderId="6" xfId="0" applyNumberFormat="1" applyFont="1" applyBorder="1"/>
    <xf numFmtId="0" fontId="16" fillId="0" borderId="7" xfId="0" applyFont="1" applyBorder="1"/>
    <xf numFmtId="0" fontId="16" fillId="0" borderId="27" xfId="0" applyFont="1" applyBorder="1"/>
    <xf numFmtId="0" fontId="16" fillId="0" borderId="47" xfId="0" applyFont="1" applyBorder="1"/>
    <xf numFmtId="0" fontId="15" fillId="0" borderId="7" xfId="0" applyFont="1" applyBorder="1"/>
    <xf numFmtId="44" fontId="15" fillId="0" borderId="27" xfId="0" applyNumberFormat="1" applyFont="1" applyBorder="1"/>
    <xf numFmtId="0" fontId="15" fillId="0" borderId="47" xfId="0" applyFont="1" applyBorder="1"/>
    <xf numFmtId="0" fontId="15" fillId="16" borderId="33" xfId="0" applyFont="1" applyFill="1" applyBorder="1"/>
    <xf numFmtId="44" fontId="16" fillId="16" borderId="48" xfId="0" applyNumberFormat="1" applyFont="1" applyFill="1" applyBorder="1"/>
    <xf numFmtId="44" fontId="15" fillId="0" borderId="43" xfId="0" applyNumberFormat="1" applyFont="1" applyBorder="1"/>
    <xf numFmtId="44" fontId="0" fillId="0" borderId="0" xfId="0" applyNumberFormat="1" applyFont="1" applyFill="1"/>
    <xf numFmtId="44" fontId="0" fillId="0" borderId="3" xfId="1" applyFont="1" applyBorder="1"/>
    <xf numFmtId="0" fontId="0" fillId="0" borderId="3" xfId="0" applyBorder="1"/>
    <xf numFmtId="44" fontId="0" fillId="0" borderId="3" xfId="0" applyNumberFormat="1" applyBorder="1"/>
    <xf numFmtId="44" fontId="0" fillId="12" borderId="3" xfId="0" applyNumberFormat="1" applyFill="1" applyBorder="1"/>
    <xf numFmtId="0" fontId="0" fillId="0" borderId="4" xfId="0" applyBorder="1"/>
    <xf numFmtId="44" fontId="0" fillId="11" borderId="6" xfId="0" applyNumberFormat="1" applyFill="1" applyBorder="1"/>
    <xf numFmtId="0" fontId="0" fillId="0" borderId="1" xfId="4" applyNumberFormat="1" applyFont="1" applyBorder="1"/>
    <xf numFmtId="44" fontId="0" fillId="0" borderId="5" xfId="1" applyFont="1" applyBorder="1"/>
    <xf numFmtId="0" fontId="0" fillId="0" borderId="5" xfId="4" applyNumberFormat="1" applyFont="1" applyBorder="1"/>
    <xf numFmtId="44" fontId="0" fillId="0" borderId="6" xfId="1" applyFont="1" applyBorder="1"/>
    <xf numFmtId="44" fontId="0" fillId="0" borderId="9" xfId="1" applyFont="1" applyBorder="1"/>
    <xf numFmtId="0" fontId="0" fillId="0" borderId="9" xfId="0" applyBorder="1"/>
    <xf numFmtId="44" fontId="0" fillId="0" borderId="9" xfId="0" applyNumberFormat="1" applyBorder="1"/>
    <xf numFmtId="44" fontId="12" fillId="12" borderId="6" xfId="0" applyNumberFormat="1" applyFont="1" applyFill="1" applyBorder="1"/>
    <xf numFmtId="0" fontId="0" fillId="0" borderId="26" xfId="0" applyFont="1" applyFill="1" applyBorder="1"/>
    <xf numFmtId="0" fontId="0" fillId="0" borderId="27" xfId="0" applyFont="1" applyFill="1" applyBorder="1"/>
    <xf numFmtId="44" fontId="0" fillId="0" borderId="6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9" fillId="0" borderId="5" xfId="2" applyFont="1" applyBorder="1"/>
    <xf numFmtId="43" fontId="0" fillId="0" borderId="5" xfId="2" applyFont="1" applyBorder="1"/>
    <xf numFmtId="43" fontId="0" fillId="0" borderId="6" xfId="2" applyFont="1" applyBorder="1"/>
    <xf numFmtId="8" fontId="0" fillId="0" borderId="0" xfId="0" applyNumberFormat="1"/>
    <xf numFmtId="0" fontId="0" fillId="0" borderId="0" xfId="0" applyFill="1" applyBorder="1"/>
    <xf numFmtId="44" fontId="10" fillId="0" borderId="0" xfId="1" applyFont="1" applyFill="1" applyBorder="1" applyAlignment="1"/>
    <xf numFmtId="167" fontId="0" fillId="0" borderId="0" xfId="4" applyNumberFormat="1" applyFont="1"/>
    <xf numFmtId="44" fontId="2" fillId="0" borderId="44" xfId="0" applyNumberFormat="1" applyFont="1" applyBorder="1"/>
    <xf numFmtId="44" fontId="2" fillId="0" borderId="3" xfId="0" applyNumberFormat="1" applyFont="1" applyFill="1" applyBorder="1" applyAlignment="1"/>
    <xf numFmtId="44" fontId="2" fillId="0" borderId="6" xfId="0" applyNumberFormat="1" applyFont="1" applyFill="1" applyBorder="1" applyAlignment="1"/>
    <xf numFmtId="0" fontId="14" fillId="0" borderId="0" xfId="0" quotePrefix="1" applyFont="1"/>
    <xf numFmtId="0" fontId="17" fillId="0" borderId="0" xfId="0" applyFont="1"/>
    <xf numFmtId="0" fontId="18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0" fillId="11" borderId="4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44" fontId="0" fillId="0" borderId="5" xfId="0" applyNumberFormat="1" applyBorder="1" applyAlignment="1">
      <alignment horizontal="center"/>
    </xf>
    <xf numFmtId="0" fontId="15" fillId="15" borderId="16" xfId="0" applyFont="1" applyFill="1" applyBorder="1" applyAlignment="1">
      <alignment horizontal="center" vertical="center"/>
    </xf>
    <xf numFmtId="0" fontId="15" fillId="15" borderId="17" xfId="0" applyFont="1" applyFill="1" applyBorder="1" applyAlignment="1">
      <alignment horizontal="center" vertical="center"/>
    </xf>
    <xf numFmtId="0" fontId="15" fillId="15" borderId="46" xfId="0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horizontal="center" vertical="center"/>
    </xf>
    <xf numFmtId="0" fontId="0" fillId="11" borderId="15" xfId="0" applyFont="1" applyFill="1" applyBorder="1" applyAlignment="1">
      <alignment horizontal="center" vertical="center"/>
    </xf>
    <xf numFmtId="0" fontId="0" fillId="11" borderId="13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0" borderId="15" xfId="0" applyBorder="1" applyAlignment="1"/>
    <xf numFmtId="0" fontId="0" fillId="11" borderId="16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18" xfId="0" applyFont="1" applyFill="1" applyBorder="1" applyAlignment="1">
      <alignment horizontal="center" vertical="center"/>
    </xf>
  </cellXfs>
  <cellStyles count="5">
    <cellStyle name="Komma" xfId="2" builtinId="3"/>
    <cellStyle name="Normal" xfId="0" builtinId="0"/>
    <cellStyle name="Normal 10" xfId="3" xr:uid="{643094D4-D785-D948-9191-9C8A88300347}"/>
    <cellStyle name="Prosent" xfId="4" builtinId="5"/>
    <cellStyle name="Valuta" xfId="1" builtinId="4"/>
  </cellStyles>
  <dxfs count="45">
    <dxf>
      <font>
        <color theme="0" tint="-0.499984740745262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lor theme="0" tint="-0.499984740745262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E3D93-DE57-4BFC-AC12-1554A6F17A92}">
  <dimension ref="A1:H40"/>
  <sheetViews>
    <sheetView tabSelected="1" workbookViewId="0">
      <selection activeCell="A33" sqref="A33"/>
    </sheetView>
  </sheetViews>
  <sheetFormatPr baseColWidth="10" defaultColWidth="8.5" defaultRowHeight="15.5"/>
  <sheetData>
    <row r="1" spans="1:1" ht="21">
      <c r="A1" s="86" t="s">
        <v>209</v>
      </c>
    </row>
    <row r="3" spans="1:1">
      <c r="A3" s="76" t="s">
        <v>163</v>
      </c>
    </row>
    <row r="4" spans="1:1">
      <c r="A4" t="s">
        <v>164</v>
      </c>
    </row>
    <row r="5" spans="1:1">
      <c r="A5" t="s">
        <v>215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211</v>
      </c>
    </row>
    <row r="17" spans="1:1">
      <c r="A17" s="76" t="s">
        <v>165</v>
      </c>
    </row>
    <row r="18" spans="1:1">
      <c r="A18" t="s">
        <v>175</v>
      </c>
    </row>
    <row r="19" spans="1:1">
      <c r="A19" t="s">
        <v>216</v>
      </c>
    </row>
    <row r="21" spans="1:1">
      <c r="A21" s="76" t="s">
        <v>89</v>
      </c>
    </row>
    <row r="22" spans="1:1">
      <c r="A22" t="s">
        <v>90</v>
      </c>
    </row>
    <row r="23" spans="1:1">
      <c r="A23" t="s">
        <v>208</v>
      </c>
    </row>
    <row r="24" spans="1:1">
      <c r="A24" t="s">
        <v>91</v>
      </c>
    </row>
    <row r="25" spans="1:1">
      <c r="A25" t="s">
        <v>93</v>
      </c>
    </row>
    <row r="26" spans="1:1">
      <c r="A26" t="s">
        <v>118</v>
      </c>
    </row>
    <row r="27" spans="1:1">
      <c r="A27" t="s">
        <v>94</v>
      </c>
    </row>
    <row r="28" spans="1:1">
      <c r="A28" t="s">
        <v>92</v>
      </c>
    </row>
    <row r="33" spans="5:8">
      <c r="H33" t="s">
        <v>130</v>
      </c>
    </row>
    <row r="40" spans="5:8">
      <c r="E40" t="s">
        <v>130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697EC-11BF-408A-9CBC-95F5EA3054D2}">
  <dimension ref="A1:G31"/>
  <sheetViews>
    <sheetView zoomScaleNormal="100" workbookViewId="0">
      <selection activeCell="A26" sqref="A26"/>
    </sheetView>
  </sheetViews>
  <sheetFormatPr baseColWidth="10" defaultColWidth="8.5" defaultRowHeight="15.5"/>
  <cols>
    <col min="3" max="3" width="14" bestFit="1" customWidth="1"/>
    <col min="6" max="6" width="12.33203125" bestFit="1" customWidth="1"/>
  </cols>
  <sheetData>
    <row r="1" spans="1:4" ht="21">
      <c r="A1" s="86" t="s">
        <v>126</v>
      </c>
    </row>
    <row r="4" spans="1:4">
      <c r="A4" t="s">
        <v>110</v>
      </c>
    </row>
    <row r="6" spans="1:4">
      <c r="A6" t="s">
        <v>111</v>
      </c>
      <c r="C6" s="87">
        <f>+'8. Nåverdi Alternativ A'!C29</f>
        <v>-54821712.218267255</v>
      </c>
    </row>
    <row r="7" spans="1:4">
      <c r="A7" s="89" t="s">
        <v>112</v>
      </c>
      <c r="B7" s="89"/>
      <c r="C7" s="90">
        <f>+'9. Nåverdi Alternativ B'!C29</f>
        <v>-60133227.500752799</v>
      </c>
    </row>
    <row r="8" spans="1:4" ht="16" thickBot="1">
      <c r="A8" s="91" t="s">
        <v>83</v>
      </c>
      <c r="B8" s="91"/>
      <c r="C8" s="92">
        <f>+'8. Nåverdi Alternativ A'!C21-'9. Nåverdi Alternativ B'!C21</f>
        <v>5311515.2824855447</v>
      </c>
      <c r="D8" s="91" t="s">
        <v>84</v>
      </c>
    </row>
    <row r="9" spans="1:4" ht="16" thickTop="1"/>
    <row r="12" spans="1:4">
      <c r="A12" t="s">
        <v>191</v>
      </c>
    </row>
    <row r="13" spans="1:4">
      <c r="A13" t="s">
        <v>128</v>
      </c>
    </row>
    <row r="15" spans="1:4">
      <c r="A15" t="s">
        <v>113</v>
      </c>
    </row>
    <row r="16" spans="1:4">
      <c r="A16" t="s">
        <v>114</v>
      </c>
    </row>
    <row r="18" spans="1:7">
      <c r="A18" t="s">
        <v>115</v>
      </c>
    </row>
    <row r="19" spans="1:7">
      <c r="A19" t="s">
        <v>218</v>
      </c>
    </row>
    <row r="20" spans="1:7">
      <c r="A20" t="s">
        <v>219</v>
      </c>
    </row>
    <row r="22" spans="1:7">
      <c r="A22" t="s">
        <v>220</v>
      </c>
    </row>
    <row r="23" spans="1:7">
      <c r="A23" t="s">
        <v>129</v>
      </c>
    </row>
    <row r="25" spans="1:7">
      <c r="A25" t="s">
        <v>221</v>
      </c>
    </row>
    <row r="27" spans="1:7">
      <c r="A27" t="s">
        <v>116</v>
      </c>
    </row>
    <row r="28" spans="1:7">
      <c r="A28" t="s">
        <v>117</v>
      </c>
    </row>
    <row r="30" spans="1:7">
      <c r="E30" s="156"/>
      <c r="F30" s="157"/>
      <c r="G30" s="156"/>
    </row>
    <row r="31" spans="1:7">
      <c r="E31" s="15"/>
      <c r="F31" s="15"/>
      <c r="G3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75BD3-96B9-7D42-966F-9C236044D8BC}">
  <dimension ref="A1:N21"/>
  <sheetViews>
    <sheetView workbookViewId="0">
      <selection activeCell="E21" sqref="E21"/>
    </sheetView>
  </sheetViews>
  <sheetFormatPr baseColWidth="10" defaultColWidth="10.5" defaultRowHeight="15.5"/>
  <cols>
    <col min="2" max="2" width="15" customWidth="1"/>
  </cols>
  <sheetData>
    <row r="1" spans="1:14" ht="21">
      <c r="A1" s="86" t="s">
        <v>119</v>
      </c>
    </row>
    <row r="4" spans="1:14" ht="16" thickBot="1"/>
    <row r="5" spans="1:14" ht="16" thickBot="1">
      <c r="B5" s="181" t="s">
        <v>0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3"/>
    </row>
    <row r="6" spans="1:14">
      <c r="B6" s="7" t="s">
        <v>17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2" t="s">
        <v>12</v>
      </c>
    </row>
    <row r="7" spans="1:14">
      <c r="B7" s="179">
        <v>10</v>
      </c>
      <c r="C7" s="169"/>
      <c r="D7" s="169"/>
      <c r="E7" s="169"/>
      <c r="F7" s="171"/>
      <c r="G7" s="171"/>
      <c r="H7" s="172"/>
      <c r="I7" s="167"/>
      <c r="J7" s="167"/>
      <c r="K7" s="167"/>
      <c r="L7" s="167"/>
      <c r="M7" s="167"/>
      <c r="N7" s="175"/>
    </row>
    <row r="8" spans="1:14">
      <c r="B8" s="179"/>
      <c r="C8" s="169"/>
      <c r="D8" s="169"/>
      <c r="E8" s="169"/>
      <c r="F8" s="171"/>
      <c r="G8" s="171"/>
      <c r="H8" s="172"/>
      <c r="I8" s="167"/>
      <c r="J8" s="167"/>
      <c r="K8" s="167"/>
      <c r="L8" s="167"/>
      <c r="M8" s="167"/>
      <c r="N8" s="175"/>
    </row>
    <row r="9" spans="1:14">
      <c r="B9" s="179">
        <v>10</v>
      </c>
      <c r="C9" s="167"/>
      <c r="D9" s="167"/>
      <c r="E9" s="167"/>
      <c r="F9" s="167"/>
      <c r="G9" s="167"/>
      <c r="H9" s="167"/>
      <c r="I9" s="169"/>
      <c r="J9" s="169"/>
      <c r="K9" s="169"/>
      <c r="L9" s="171"/>
      <c r="M9" s="171"/>
      <c r="N9" s="177"/>
    </row>
    <row r="10" spans="1:14" ht="16" thickBot="1">
      <c r="B10" s="180"/>
      <c r="C10" s="168"/>
      <c r="D10" s="168"/>
      <c r="E10" s="168"/>
      <c r="F10" s="168"/>
      <c r="G10" s="168"/>
      <c r="H10" s="168"/>
      <c r="I10" s="170"/>
      <c r="J10" s="170"/>
      <c r="K10" s="170"/>
      <c r="L10" s="176"/>
      <c r="M10" s="176"/>
      <c r="N10" s="178"/>
    </row>
    <row r="11" spans="1:14" ht="16" thickBot="1"/>
    <row r="12" spans="1:14">
      <c r="C12" s="3"/>
      <c r="D12" s="184" t="s">
        <v>13</v>
      </c>
      <c r="E12" s="184"/>
      <c r="F12" s="184"/>
      <c r="G12" s="185"/>
    </row>
    <row r="13" spans="1:14">
      <c r="C13" s="4"/>
      <c r="D13" s="173" t="s">
        <v>14</v>
      </c>
      <c r="E13" s="173"/>
      <c r="F13" s="173"/>
      <c r="G13" s="174"/>
    </row>
    <row r="14" spans="1:14">
      <c r="C14" s="5"/>
      <c r="D14" s="173" t="s">
        <v>15</v>
      </c>
      <c r="E14" s="173"/>
      <c r="F14" s="173"/>
      <c r="G14" s="174"/>
    </row>
    <row r="15" spans="1:14" ht="16" thickBot="1">
      <c r="C15" s="6"/>
      <c r="D15" s="165" t="s">
        <v>16</v>
      </c>
      <c r="E15" s="165"/>
      <c r="F15" s="165"/>
      <c r="G15" s="166"/>
    </row>
    <row r="20" spans="2:2">
      <c r="B20" s="76" t="s">
        <v>101</v>
      </c>
    </row>
    <row r="21" spans="2:2">
      <c r="B21" t="s">
        <v>95</v>
      </c>
    </row>
  </sheetData>
  <mergeCells count="31">
    <mergeCell ref="B7:B8"/>
    <mergeCell ref="B9:B10"/>
    <mergeCell ref="B5:N5"/>
    <mergeCell ref="D12:G12"/>
    <mergeCell ref="D13:G13"/>
    <mergeCell ref="C7:C8"/>
    <mergeCell ref="C9:C10"/>
    <mergeCell ref="D14:G14"/>
    <mergeCell ref="L7:L8"/>
    <mergeCell ref="M7:M8"/>
    <mergeCell ref="N7:N8"/>
    <mergeCell ref="L9:L10"/>
    <mergeCell ref="M9:M10"/>
    <mergeCell ref="N9:N10"/>
    <mergeCell ref="J7:J8"/>
    <mergeCell ref="D15:G15"/>
    <mergeCell ref="K7:K8"/>
    <mergeCell ref="D9:D10"/>
    <mergeCell ref="E9:E10"/>
    <mergeCell ref="F9:F10"/>
    <mergeCell ref="G9:G10"/>
    <mergeCell ref="H9:H10"/>
    <mergeCell ref="I9:I10"/>
    <mergeCell ref="J9:J10"/>
    <mergeCell ref="K9:K10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08743-2D0F-084C-B49A-E4BA2CFE9381}">
  <dimension ref="A1:F29"/>
  <sheetViews>
    <sheetView zoomScaleNormal="70" workbookViewId="0">
      <selection activeCell="A33" sqref="A33"/>
    </sheetView>
  </sheetViews>
  <sheetFormatPr baseColWidth="10" defaultColWidth="10.5" defaultRowHeight="15.5"/>
  <cols>
    <col min="3" max="3" width="15.33203125" bestFit="1" customWidth="1"/>
    <col min="4" max="4" width="16.5" bestFit="1" customWidth="1"/>
    <col min="5" max="5" width="14.5" bestFit="1" customWidth="1"/>
  </cols>
  <sheetData>
    <row r="1" spans="1:6" ht="21">
      <c r="A1" s="86" t="s">
        <v>120</v>
      </c>
    </row>
    <row r="5" spans="1:6">
      <c r="B5" t="s">
        <v>176</v>
      </c>
    </row>
    <row r="6" spans="1:6">
      <c r="B6" t="s">
        <v>177</v>
      </c>
    </row>
    <row r="8" spans="1:6" ht="16" thickBot="1"/>
    <row r="9" spans="1:6" ht="16" thickBot="1">
      <c r="B9" s="186" t="s">
        <v>99</v>
      </c>
      <c r="C9" s="187"/>
      <c r="D9" s="187"/>
      <c r="E9" s="188"/>
    </row>
    <row r="10" spans="1:6">
      <c r="B10" s="8" t="s">
        <v>18</v>
      </c>
      <c r="C10" s="9" t="s">
        <v>22</v>
      </c>
      <c r="D10" s="9" t="s">
        <v>21</v>
      </c>
      <c r="E10" s="10" t="s">
        <v>23</v>
      </c>
    </row>
    <row r="11" spans="1:6">
      <c r="B11" s="11" t="s">
        <v>19</v>
      </c>
      <c r="C11" s="75">
        <v>38900</v>
      </c>
      <c r="D11" s="12">
        <v>20</v>
      </c>
      <c r="E11" s="160">
        <f>C11*D11</f>
        <v>778000</v>
      </c>
      <c r="F11" s="163" t="s">
        <v>198</v>
      </c>
    </row>
    <row r="12" spans="1:6" ht="16" thickBot="1">
      <c r="B12" s="13" t="s">
        <v>20</v>
      </c>
      <c r="C12" s="17">
        <f>+C11</f>
        <v>38900</v>
      </c>
      <c r="D12" s="14">
        <v>10</v>
      </c>
      <c r="E12" s="161">
        <f>C12*D12</f>
        <v>389000</v>
      </c>
      <c r="F12" s="163" t="s">
        <v>200</v>
      </c>
    </row>
    <row r="13" spans="1:6" ht="16" thickBot="1">
      <c r="B13" s="15"/>
      <c r="C13" s="15"/>
      <c r="D13" s="15"/>
      <c r="E13" s="15"/>
      <c r="F13" s="163"/>
    </row>
    <row r="14" spans="1:6" ht="16" thickBot="1">
      <c r="B14" s="189" t="s">
        <v>100</v>
      </c>
      <c r="C14" s="190"/>
      <c r="D14" s="190"/>
      <c r="E14" s="190"/>
      <c r="F14" s="163"/>
    </row>
    <row r="15" spans="1:6">
      <c r="B15" s="8" t="s">
        <v>18</v>
      </c>
      <c r="C15" s="9" t="s">
        <v>22</v>
      </c>
      <c r="D15" s="9" t="s">
        <v>21</v>
      </c>
      <c r="E15" s="10" t="s">
        <v>23</v>
      </c>
      <c r="F15" s="163"/>
    </row>
    <row r="16" spans="1:6">
      <c r="B16" s="11" t="s">
        <v>19</v>
      </c>
      <c r="C16" s="16">
        <f>+C11</f>
        <v>38900</v>
      </c>
      <c r="D16" s="12">
        <v>20</v>
      </c>
      <c r="E16" s="160">
        <f>C16*D16</f>
        <v>778000</v>
      </c>
      <c r="F16" s="163" t="s">
        <v>199</v>
      </c>
    </row>
    <row r="17" spans="2:6" ht="16" thickBot="1">
      <c r="B17" s="13" t="s">
        <v>20</v>
      </c>
      <c r="C17" s="17">
        <f>+C11</f>
        <v>38900</v>
      </c>
      <c r="D17" s="77">
        <v>1</v>
      </c>
      <c r="E17" s="161">
        <f>C17*D17</f>
        <v>38900</v>
      </c>
      <c r="F17" s="163" t="s">
        <v>201</v>
      </c>
    </row>
    <row r="21" spans="2:6">
      <c r="B21" s="76" t="s">
        <v>96</v>
      </c>
    </row>
    <row r="22" spans="2:6">
      <c r="B22" t="s">
        <v>97</v>
      </c>
    </row>
    <row r="23" spans="2:6">
      <c r="B23" t="s">
        <v>98</v>
      </c>
    </row>
    <row r="27" spans="2:6" hidden="1">
      <c r="C27" s="155">
        <f>+'8. Nåverdi Alternativ A'!C21</f>
        <v>-54821712.218267247</v>
      </c>
    </row>
    <row r="28" spans="2:6" hidden="1">
      <c r="C28" s="155">
        <f>+'9. Nåverdi Alternativ B'!C21</f>
        <v>-60133227.500752792</v>
      </c>
    </row>
    <row r="29" spans="2:6" hidden="1">
      <c r="C29" s="155">
        <f>+C27-C28</f>
        <v>5311515.2824855447</v>
      </c>
    </row>
  </sheetData>
  <mergeCells count="2">
    <mergeCell ref="B9:E9"/>
    <mergeCell ref="B14:E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9C841-D505-F648-8363-757674C01AA0}">
  <dimension ref="A1:O42"/>
  <sheetViews>
    <sheetView zoomScale="85" zoomScaleNormal="85" workbookViewId="0">
      <selection activeCell="B43" sqref="B43"/>
    </sheetView>
  </sheetViews>
  <sheetFormatPr baseColWidth="10" defaultColWidth="10.5" defaultRowHeight="15.5"/>
  <cols>
    <col min="2" max="2" width="12" bestFit="1" customWidth="1"/>
    <col min="3" max="3" width="18.5" customWidth="1"/>
    <col min="5" max="5" width="13.83203125" bestFit="1" customWidth="1"/>
    <col min="6" max="6" width="17.83203125" customWidth="1"/>
    <col min="7" max="7" width="13.5" bestFit="1" customWidth="1"/>
    <col min="8" max="8" width="15" customWidth="1"/>
    <col min="14" max="14" width="10.5" bestFit="1" customWidth="1"/>
    <col min="15" max="15" width="12" bestFit="1" customWidth="1"/>
  </cols>
  <sheetData>
    <row r="1" spans="1:9" ht="21">
      <c r="A1" s="86" t="s">
        <v>121</v>
      </c>
    </row>
    <row r="2" spans="1:9" ht="16" thickBot="1"/>
    <row r="3" spans="1:9">
      <c r="B3" s="191" t="s">
        <v>144</v>
      </c>
      <c r="C3" s="192"/>
      <c r="D3" s="192"/>
      <c r="E3" s="192"/>
      <c r="F3" s="192"/>
      <c r="G3" s="193"/>
    </row>
    <row r="4" spans="1:9">
      <c r="B4" s="104" t="s">
        <v>131</v>
      </c>
      <c r="C4" s="105"/>
      <c r="D4" s="105" t="s">
        <v>138</v>
      </c>
      <c r="E4" s="105" t="s">
        <v>141</v>
      </c>
      <c r="F4" s="105" t="s">
        <v>142</v>
      </c>
      <c r="G4" s="106" t="s">
        <v>143</v>
      </c>
    </row>
    <row r="5" spans="1:9">
      <c r="B5" s="104">
        <v>1</v>
      </c>
      <c r="C5" s="105" t="s">
        <v>132</v>
      </c>
      <c r="D5" s="107">
        <v>198</v>
      </c>
      <c r="E5" s="107">
        <v>5940</v>
      </c>
      <c r="F5" s="107">
        <v>35640</v>
      </c>
      <c r="G5" s="108">
        <f>F5*2</f>
        <v>71280</v>
      </c>
    </row>
    <row r="6" spans="1:9">
      <c r="B6" s="104">
        <v>2</v>
      </c>
      <c r="C6" s="105" t="s">
        <v>133</v>
      </c>
      <c r="D6" s="107">
        <v>27.5</v>
      </c>
      <c r="E6" s="107">
        <v>825</v>
      </c>
      <c r="F6" s="107">
        <v>4950</v>
      </c>
      <c r="G6" s="109">
        <f>F6*2</f>
        <v>9900</v>
      </c>
    </row>
    <row r="7" spans="1:9">
      <c r="B7" s="104">
        <v>3</v>
      </c>
      <c r="C7" s="105" t="s">
        <v>134</v>
      </c>
      <c r="D7" s="107"/>
      <c r="E7" s="107"/>
      <c r="F7" s="107"/>
      <c r="G7" s="108">
        <v>38100</v>
      </c>
    </row>
    <row r="8" spans="1:9">
      <c r="B8" s="104">
        <v>4</v>
      </c>
      <c r="C8" s="105" t="s">
        <v>135</v>
      </c>
      <c r="D8" s="107"/>
      <c r="E8" s="107">
        <v>5329</v>
      </c>
      <c r="F8" s="107">
        <v>31974</v>
      </c>
      <c r="G8" s="109">
        <f>F8*2</f>
        <v>63948</v>
      </c>
    </row>
    <row r="9" spans="1:9">
      <c r="B9" s="104">
        <v>5</v>
      </c>
      <c r="C9" s="105" t="s">
        <v>136</v>
      </c>
      <c r="D9" s="107"/>
      <c r="E9" s="107">
        <v>6038</v>
      </c>
      <c r="F9" s="107">
        <v>36228</v>
      </c>
      <c r="G9" s="109">
        <f>F9*2</f>
        <v>72456</v>
      </c>
    </row>
    <row r="10" spans="1:9" ht="16" thickBot="1">
      <c r="B10" s="113">
        <v>6</v>
      </c>
      <c r="C10" s="91" t="s">
        <v>137</v>
      </c>
      <c r="D10" s="114"/>
      <c r="E10" s="114">
        <v>2487</v>
      </c>
      <c r="F10" s="114">
        <v>14922</v>
      </c>
      <c r="G10" s="115">
        <f>F10*2</f>
        <v>29844</v>
      </c>
      <c r="H10" t="s">
        <v>145</v>
      </c>
    </row>
    <row r="11" spans="1:9" ht="16.5" thickTop="1" thickBot="1">
      <c r="B11" s="104"/>
      <c r="C11" s="105"/>
      <c r="D11" s="105"/>
      <c r="E11" s="105"/>
      <c r="F11" s="105" t="s">
        <v>139</v>
      </c>
      <c r="G11" s="110">
        <f>G5+G7</f>
        <v>109380</v>
      </c>
      <c r="H11" s="159">
        <f>G11*20</f>
        <v>2187600</v>
      </c>
      <c r="I11" s="163" t="s">
        <v>202</v>
      </c>
    </row>
    <row r="12" spans="1:9" ht="16.5" thickTop="1" thickBot="1">
      <c r="B12" s="111"/>
      <c r="C12" s="79"/>
      <c r="D12" s="79"/>
      <c r="E12" s="79"/>
      <c r="F12" s="79" t="s">
        <v>140</v>
      </c>
      <c r="G12" s="112">
        <f>SUM(G5:G10)</f>
        <v>285528</v>
      </c>
    </row>
    <row r="13" spans="1:9" ht="16" thickBot="1"/>
    <row r="14" spans="1:9" ht="16" thickBot="1">
      <c r="B14" s="196" t="s">
        <v>146</v>
      </c>
      <c r="C14" s="197"/>
      <c r="D14" s="197"/>
      <c r="E14" s="197"/>
      <c r="F14" s="197"/>
      <c r="G14" s="197"/>
      <c r="H14" s="198"/>
      <c r="I14" s="18"/>
    </row>
    <row r="15" spans="1:9">
      <c r="B15" s="19" t="s">
        <v>25</v>
      </c>
      <c r="C15" s="194" t="s">
        <v>17</v>
      </c>
      <c r="D15" s="194"/>
      <c r="E15" s="194" t="s">
        <v>27</v>
      </c>
      <c r="F15" s="194"/>
      <c r="G15" s="194" t="s">
        <v>24</v>
      </c>
      <c r="H15" s="185"/>
    </row>
    <row r="16" spans="1:9">
      <c r="B16" s="5" t="s">
        <v>2</v>
      </c>
      <c r="C16" s="173">
        <v>98</v>
      </c>
      <c r="D16" s="173"/>
      <c r="E16" s="195">
        <v>534996</v>
      </c>
      <c r="F16" s="173"/>
      <c r="G16" s="195">
        <f t="shared" ref="G16:G21" si="0">E16/C16</f>
        <v>5459.1428571428569</v>
      </c>
      <c r="H16" s="174"/>
    </row>
    <row r="17" spans="2:15">
      <c r="B17" s="5" t="s">
        <v>3</v>
      </c>
      <c r="C17" s="173">
        <v>98</v>
      </c>
      <c r="D17" s="173"/>
      <c r="E17" s="195">
        <v>592317</v>
      </c>
      <c r="F17" s="173"/>
      <c r="G17" s="195">
        <f t="shared" si="0"/>
        <v>6044.0510204081629</v>
      </c>
      <c r="H17" s="174"/>
    </row>
    <row r="18" spans="2:15">
      <c r="B18" s="5" t="s">
        <v>4</v>
      </c>
      <c r="C18" s="173">
        <v>220</v>
      </c>
      <c r="D18" s="173"/>
      <c r="E18" s="195">
        <v>940302</v>
      </c>
      <c r="F18" s="173"/>
      <c r="G18" s="195">
        <f t="shared" si="0"/>
        <v>4274.1000000000004</v>
      </c>
      <c r="H18" s="174"/>
    </row>
    <row r="19" spans="2:15">
      <c r="B19" s="20" t="s">
        <v>5</v>
      </c>
      <c r="C19" s="173">
        <v>220</v>
      </c>
      <c r="D19" s="173"/>
      <c r="E19" s="195">
        <v>1341153</v>
      </c>
      <c r="F19" s="173"/>
      <c r="G19" s="195">
        <f t="shared" si="0"/>
        <v>6096.15</v>
      </c>
      <c r="H19" s="174"/>
    </row>
    <row r="20" spans="2:15">
      <c r="B20" s="20" t="s">
        <v>6</v>
      </c>
      <c r="C20" s="173">
        <v>220</v>
      </c>
      <c r="D20" s="173"/>
      <c r="E20" s="195">
        <v>1288980</v>
      </c>
      <c r="F20" s="173"/>
      <c r="G20" s="195">
        <f t="shared" si="0"/>
        <v>5859</v>
      </c>
      <c r="H20" s="174"/>
    </row>
    <row r="21" spans="2:15">
      <c r="B21" s="20" t="s">
        <v>7</v>
      </c>
      <c r="C21" s="173">
        <v>220</v>
      </c>
      <c r="D21" s="173"/>
      <c r="E21" s="195">
        <v>1331946</v>
      </c>
      <c r="F21" s="173"/>
      <c r="G21" s="195">
        <f t="shared" si="0"/>
        <v>6054.3</v>
      </c>
      <c r="H21" s="174"/>
    </row>
    <row r="22" spans="2:15" ht="16" thickBot="1">
      <c r="B22" s="21" t="s">
        <v>26</v>
      </c>
      <c r="C22" s="165">
        <f>SUM(C16:D21)/6</f>
        <v>179.33333333333334</v>
      </c>
      <c r="D22" s="165"/>
      <c r="E22" s="202">
        <f>SUM(E16:F21)/6</f>
        <v>1004949</v>
      </c>
      <c r="F22" s="165"/>
      <c r="G22" s="202">
        <f>SUM(G16:H21)/6</f>
        <v>5631.1239795918373</v>
      </c>
      <c r="H22" s="166"/>
    </row>
    <row r="26" spans="2:15">
      <c r="B26" s="199" t="s">
        <v>28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</row>
    <row r="27" spans="2:15">
      <c r="B27" s="200" t="s">
        <v>29</v>
      </c>
      <c r="C27" s="22" t="s">
        <v>1</v>
      </c>
      <c r="D27" s="22" t="s">
        <v>2</v>
      </c>
      <c r="E27" s="22" t="s">
        <v>3</v>
      </c>
      <c r="F27" s="22" t="s">
        <v>4</v>
      </c>
      <c r="G27" s="22" t="s">
        <v>5</v>
      </c>
      <c r="H27" s="22" t="s">
        <v>6</v>
      </c>
      <c r="I27" s="22" t="s">
        <v>7</v>
      </c>
      <c r="J27" s="22" t="s">
        <v>8</v>
      </c>
      <c r="K27" s="22" t="s">
        <v>9</v>
      </c>
      <c r="L27" s="22" t="s">
        <v>10</v>
      </c>
      <c r="M27" s="22" t="s">
        <v>11</v>
      </c>
      <c r="N27" s="23" t="s">
        <v>12</v>
      </c>
      <c r="O27" s="24" t="s">
        <v>30</v>
      </c>
    </row>
    <row r="28" spans="2:15" ht="16" thickBot="1">
      <c r="B28" s="201"/>
      <c r="C28" s="25">
        <v>31</v>
      </c>
      <c r="D28" s="25">
        <v>28</v>
      </c>
      <c r="E28" s="25">
        <v>31</v>
      </c>
      <c r="F28" s="25">
        <v>30</v>
      </c>
      <c r="G28" s="25">
        <v>31</v>
      </c>
      <c r="H28" s="25">
        <v>30</v>
      </c>
      <c r="I28" s="25">
        <v>31</v>
      </c>
      <c r="J28" s="25">
        <v>31</v>
      </c>
      <c r="K28" s="25">
        <v>30</v>
      </c>
      <c r="L28" s="25">
        <v>31</v>
      </c>
      <c r="M28" s="25">
        <v>30</v>
      </c>
      <c r="N28" s="26">
        <v>31</v>
      </c>
      <c r="O28" s="27"/>
    </row>
    <row r="29" spans="2:15">
      <c r="B29" s="28" t="s">
        <v>31</v>
      </c>
      <c r="C29" s="29">
        <f>100+104</f>
        <v>204</v>
      </c>
      <c r="D29" s="29">
        <v>104</v>
      </c>
      <c r="E29" s="29">
        <v>103</v>
      </c>
      <c r="F29" s="29">
        <v>204</v>
      </c>
      <c r="G29" s="29">
        <v>204</v>
      </c>
      <c r="H29" s="29">
        <v>204</v>
      </c>
      <c r="I29" s="29">
        <v>204</v>
      </c>
      <c r="J29" s="29">
        <v>204</v>
      </c>
      <c r="K29" s="29">
        <v>103</v>
      </c>
      <c r="L29" s="29">
        <f>103+103</f>
        <v>206</v>
      </c>
      <c r="M29" s="29">
        <f>103+103</f>
        <v>206</v>
      </c>
      <c r="N29" s="30">
        <f>103+103</f>
        <v>206</v>
      </c>
      <c r="O29" s="31">
        <f>SUM(C29:N29)/(COUNT(C29:N29))</f>
        <v>179.33333333333334</v>
      </c>
    </row>
    <row r="30" spans="2:15">
      <c r="B30" s="32" t="s">
        <v>32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4">
        <v>0</v>
      </c>
      <c r="O30" s="35">
        <f>SUM(C30:N30)/(COUNT(C30:N30))</f>
        <v>0</v>
      </c>
    </row>
    <row r="31" spans="2:15">
      <c r="B31" s="32" t="s">
        <v>33</v>
      </c>
      <c r="C31" s="36">
        <v>6</v>
      </c>
      <c r="D31" s="36">
        <v>6</v>
      </c>
      <c r="E31" s="36">
        <v>6</v>
      </c>
      <c r="F31" s="36">
        <v>6</v>
      </c>
      <c r="G31" s="36">
        <v>6</v>
      </c>
      <c r="H31" s="36">
        <v>6</v>
      </c>
      <c r="I31" s="36">
        <v>6</v>
      </c>
      <c r="J31" s="36">
        <v>3</v>
      </c>
      <c r="K31" s="36">
        <v>3</v>
      </c>
      <c r="L31" s="36">
        <v>3</v>
      </c>
      <c r="M31" s="36">
        <v>3</v>
      </c>
      <c r="N31" s="37">
        <v>3</v>
      </c>
      <c r="O31" s="35">
        <f>SUM(C31:N31)/(COUNT(C31:N31))</f>
        <v>4.75</v>
      </c>
    </row>
    <row r="32" spans="2:15">
      <c r="B32" s="38" t="s">
        <v>34</v>
      </c>
      <c r="C32" s="39">
        <f>(100*27*G17)+(104*31*G17)</f>
        <v>35804958.244897954</v>
      </c>
      <c r="D32" s="39">
        <f>D29*D28*G17</f>
        <v>17600276.571428571</v>
      </c>
      <c r="E32" s="39">
        <f>E29*E28*G17</f>
        <v>19298654.908163264</v>
      </c>
      <c r="F32" s="39">
        <f>(104*30*G17)+(100*18*G17)</f>
        <v>29736731.020408161</v>
      </c>
      <c r="G32" s="39">
        <f>G29*G28*G17</f>
        <v>38222578.653061219</v>
      </c>
      <c r="H32" s="39">
        <f>H29*H28*G17</f>
        <v>36989592.244897954</v>
      </c>
      <c r="I32" s="39">
        <f>I29*I28*G17</f>
        <v>38222578.653061219</v>
      </c>
      <c r="J32" s="39">
        <f>(104*4*G17)+(100*31*G17)</f>
        <v>21250883.387755103</v>
      </c>
      <c r="K32" s="39">
        <f>K29*K28*G17</f>
        <v>18676117.653061222</v>
      </c>
      <c r="L32" s="39">
        <f>(103*31*G17)+(103*17*G17)</f>
        <v>29881788.244897958</v>
      </c>
      <c r="M32" s="39">
        <f>M29*M28*G17</f>
        <v>37352235.306122445</v>
      </c>
      <c r="N32" s="40">
        <f>N29*N28*G17</f>
        <v>38597309.816326529</v>
      </c>
      <c r="O32" s="41">
        <f t="shared" ref="O32:O39" si="1">SUM(C32:N32)</f>
        <v>361633704.70408154</v>
      </c>
    </row>
    <row r="33" spans="2:15">
      <c r="B33" s="38" t="s">
        <v>35</v>
      </c>
      <c r="C33" s="39"/>
      <c r="D33" s="39">
        <f>D30*D28*G18</f>
        <v>0</v>
      </c>
      <c r="E33" s="39">
        <f>E30*E28*G18</f>
        <v>0</v>
      </c>
      <c r="F33" s="39">
        <f>F30*F28*G18</f>
        <v>0</v>
      </c>
      <c r="G33" s="39">
        <f>G30*G28*G18</f>
        <v>0</v>
      </c>
      <c r="H33" s="39">
        <f>H30*H28*G18</f>
        <v>0</v>
      </c>
      <c r="I33" s="39">
        <f>I30*I28*G18</f>
        <v>0</v>
      </c>
      <c r="J33" s="39">
        <f>J30*J28*G18</f>
        <v>0</v>
      </c>
      <c r="K33" s="39">
        <f>K30*K28*G18</f>
        <v>0</v>
      </c>
      <c r="L33" s="39">
        <f>L30*L28*G18</f>
        <v>0</v>
      </c>
      <c r="M33" s="39">
        <f>M30*M28*G18</f>
        <v>0</v>
      </c>
      <c r="N33" s="40">
        <f>N30*N28*G18</f>
        <v>0</v>
      </c>
      <c r="O33" s="41">
        <f t="shared" si="1"/>
        <v>0</v>
      </c>
    </row>
    <row r="34" spans="2:15">
      <c r="B34" s="38" t="s">
        <v>36</v>
      </c>
      <c r="C34" s="39">
        <f>C31*C28*G18</f>
        <v>794982.60000000009</v>
      </c>
      <c r="D34" s="39">
        <f>D31*D28*G18</f>
        <v>718048.8</v>
      </c>
      <c r="E34" s="39">
        <f>E31*E28*G18</f>
        <v>794982.60000000009</v>
      </c>
      <c r="F34" s="39">
        <f>F31*F28*G18</f>
        <v>769338.00000000012</v>
      </c>
      <c r="G34" s="39">
        <f>G31*G28*G18</f>
        <v>794982.60000000009</v>
      </c>
      <c r="H34" s="39">
        <f>H31*H28*G19</f>
        <v>1097307</v>
      </c>
      <c r="I34" s="39">
        <f>I31*I28*G19</f>
        <v>1133883.8999999999</v>
      </c>
      <c r="J34" s="39">
        <f>J31*J28*G18</f>
        <v>397491.30000000005</v>
      </c>
      <c r="K34" s="39">
        <f>K31*K28*G18</f>
        <v>384669.00000000006</v>
      </c>
      <c r="L34" s="39">
        <f>L31*L28*G18</f>
        <v>397491.30000000005</v>
      </c>
      <c r="M34" s="39">
        <f>M31*M28*G18</f>
        <v>384669.00000000006</v>
      </c>
      <c r="N34" s="40">
        <f>N31*N28*G19</f>
        <v>566941.94999999995</v>
      </c>
      <c r="O34" s="41">
        <f t="shared" si="1"/>
        <v>8234788.0499999998</v>
      </c>
    </row>
    <row r="35" spans="2:15">
      <c r="B35" s="38" t="s">
        <v>37</v>
      </c>
      <c r="C35" s="39">
        <f>15*C28*G20</f>
        <v>2724435</v>
      </c>
      <c r="D35" s="39">
        <f>(7)*D28*G20</f>
        <v>1148364</v>
      </c>
      <c r="E35" s="39">
        <f>7*E28*G20</f>
        <v>1271403</v>
      </c>
      <c r="F35" s="39">
        <f>15*F28*G20</f>
        <v>2636550</v>
      </c>
      <c r="G35" s="39">
        <f>(G31+G30+G29)*0.2*G28*G20</f>
        <v>7628418</v>
      </c>
      <c r="H35" s="39">
        <f>(H31+H30+H29)*0.2*H28*G20</f>
        <v>7382340</v>
      </c>
      <c r="I35" s="39">
        <f>(I31+I30+I29)*0.2*I28*G20</f>
        <v>7628418</v>
      </c>
      <c r="J35" s="39">
        <f>(J31+J30+J29)*0.2*J28*G20</f>
        <v>7519440.6000000006</v>
      </c>
      <c r="K35" s="39">
        <f>(K31+K30+K29)*0.2*K28*G20</f>
        <v>3726324.0000000005</v>
      </c>
      <c r="L35" s="39">
        <f>(L31+L30+L29)*0.2*L28*G20</f>
        <v>7592092.2000000011</v>
      </c>
      <c r="M35" s="39">
        <f>(M31+M30+M29)*0.2*M28*G20</f>
        <v>7347186.0000000009</v>
      </c>
      <c r="N35" s="40">
        <f>(N31+N30+N29)*0.2*N28*G20</f>
        <v>7592092.2000000011</v>
      </c>
      <c r="O35" s="41">
        <f t="shared" si="1"/>
        <v>64197063.000000007</v>
      </c>
    </row>
    <row r="36" spans="2:15">
      <c r="B36" s="38" t="s">
        <v>38</v>
      </c>
      <c r="C36" s="39">
        <v>52777</v>
      </c>
      <c r="D36" s="39">
        <v>12666</v>
      </c>
      <c r="E36" s="39">
        <v>12666</v>
      </c>
      <c r="F36" s="39">
        <v>12666</v>
      </c>
      <c r="G36" s="39">
        <v>25000</v>
      </c>
      <c r="H36" s="39">
        <v>25000</v>
      </c>
      <c r="I36" s="39">
        <v>25000</v>
      </c>
      <c r="J36" s="39">
        <v>25000</v>
      </c>
      <c r="K36" s="39">
        <v>25000</v>
      </c>
      <c r="L36" s="39">
        <v>25000</v>
      </c>
      <c r="M36" s="39">
        <v>25000</v>
      </c>
      <c r="N36" s="40">
        <v>25000</v>
      </c>
      <c r="O36" s="41">
        <f t="shared" si="1"/>
        <v>290775</v>
      </c>
    </row>
    <row r="37" spans="2:15">
      <c r="B37" s="38" t="s">
        <v>39</v>
      </c>
      <c r="C37" s="42">
        <f>94*36317.5</f>
        <v>3413845</v>
      </c>
      <c r="D37" s="42">
        <f>1*G21</f>
        <v>6054.3</v>
      </c>
      <c r="E37" s="42"/>
      <c r="F37" s="42"/>
      <c r="G37" s="42"/>
      <c r="H37" s="42"/>
      <c r="I37" s="42"/>
      <c r="J37" s="42">
        <f>101*G21</f>
        <v>611484.30000000005</v>
      </c>
      <c r="K37" s="42"/>
      <c r="L37" s="42"/>
      <c r="M37" s="42"/>
      <c r="N37" s="43"/>
      <c r="O37" s="41">
        <f t="shared" si="1"/>
        <v>4031383.5999999996</v>
      </c>
    </row>
    <row r="38" spans="2:15">
      <c r="B38" s="38" t="s">
        <v>40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3"/>
      <c r="O38" s="41">
        <f t="shared" si="1"/>
        <v>0</v>
      </c>
    </row>
    <row r="39" spans="2:15" ht="16" thickBot="1">
      <c r="B39" s="44" t="s">
        <v>41</v>
      </c>
      <c r="C39" s="45"/>
      <c r="D39" s="45"/>
      <c r="E39" s="45"/>
      <c r="F39" s="45"/>
      <c r="G39" s="45"/>
      <c r="H39" s="45"/>
      <c r="I39" s="45">
        <f>6*G23</f>
        <v>0</v>
      </c>
      <c r="J39" s="45"/>
      <c r="K39" s="45"/>
      <c r="L39" s="45"/>
      <c r="M39" s="45"/>
      <c r="N39" s="46"/>
      <c r="O39" s="47">
        <f t="shared" si="1"/>
        <v>0</v>
      </c>
    </row>
    <row r="41" spans="2:15">
      <c r="B41" s="76" t="s">
        <v>101</v>
      </c>
    </row>
    <row r="42" spans="2:15">
      <c r="B42" t="s">
        <v>214</v>
      </c>
    </row>
  </sheetData>
  <mergeCells count="28">
    <mergeCell ref="B27:B28"/>
    <mergeCell ref="C21:D21"/>
    <mergeCell ref="E21:F21"/>
    <mergeCell ref="G21:H21"/>
    <mergeCell ref="C22:D22"/>
    <mergeCell ref="E22:F22"/>
    <mergeCell ref="G22:H22"/>
    <mergeCell ref="C20:D20"/>
    <mergeCell ref="E20:F20"/>
    <mergeCell ref="G20:H20"/>
    <mergeCell ref="B26:O26"/>
    <mergeCell ref="G19:H19"/>
    <mergeCell ref="C19:D19"/>
    <mergeCell ref="E19:F19"/>
    <mergeCell ref="B3:G3"/>
    <mergeCell ref="G15:H15"/>
    <mergeCell ref="G16:H16"/>
    <mergeCell ref="G17:H17"/>
    <mergeCell ref="G18:H18"/>
    <mergeCell ref="B14:H14"/>
    <mergeCell ref="C15:D15"/>
    <mergeCell ref="C16:D16"/>
    <mergeCell ref="C17:D17"/>
    <mergeCell ref="C18:D18"/>
    <mergeCell ref="E15:F15"/>
    <mergeCell ref="E16:F16"/>
    <mergeCell ref="E17:F17"/>
    <mergeCell ref="E18:F18"/>
  </mergeCells>
  <phoneticPr fontId="3" type="noConversion"/>
  <conditionalFormatting sqref="C35:N35 C37:N39 C31:N31 D32:N32 C29:N29">
    <cfRule type="containsBlanks" dxfId="44" priority="44">
      <formula>LEN(TRIM(C29))=0</formula>
    </cfRule>
  </conditionalFormatting>
  <conditionalFormatting sqref="C35:N35 C37:N39 C31:N31 D32:N32 C29:N29">
    <cfRule type="cellIs" dxfId="43" priority="43" operator="lessThan">
      <formula>0.1</formula>
    </cfRule>
    <cfRule type="containsBlanks" dxfId="42" priority="45">
      <formula>LEN(TRIM(C29))=0</formula>
    </cfRule>
  </conditionalFormatting>
  <conditionalFormatting sqref="G37:H37 G39 I39 G35:I35">
    <cfRule type="containsBlanks" dxfId="41" priority="41">
      <formula>LEN(TRIM(G35))=0</formula>
    </cfRule>
  </conditionalFormatting>
  <conditionalFormatting sqref="G37:H37 G39 I39 G35:I35">
    <cfRule type="cellIs" dxfId="40" priority="40" operator="lessThan">
      <formula>0.1</formula>
    </cfRule>
    <cfRule type="containsBlanks" dxfId="39" priority="42">
      <formula>LEN(TRIM(G35))=0</formula>
    </cfRule>
  </conditionalFormatting>
  <conditionalFormatting sqref="H39">
    <cfRule type="containsBlanks" dxfId="38" priority="38">
      <formula>LEN(TRIM(H39))=0</formula>
    </cfRule>
  </conditionalFormatting>
  <conditionalFormatting sqref="H39">
    <cfRule type="cellIs" dxfId="37" priority="37" operator="lessThan">
      <formula>0.1</formula>
    </cfRule>
    <cfRule type="containsBlanks" dxfId="36" priority="39">
      <formula>LEN(TRIM(H39))=0</formula>
    </cfRule>
  </conditionalFormatting>
  <conditionalFormatting sqref="I37">
    <cfRule type="containsBlanks" dxfId="35" priority="35">
      <formula>LEN(TRIM(I37))=0</formula>
    </cfRule>
  </conditionalFormatting>
  <conditionalFormatting sqref="I37">
    <cfRule type="cellIs" dxfId="34" priority="34" operator="lessThan">
      <formula>0.1</formula>
    </cfRule>
    <cfRule type="containsBlanks" dxfId="33" priority="36">
      <formula>LEN(TRIM(I37))=0</formula>
    </cfRule>
  </conditionalFormatting>
  <conditionalFormatting sqref="C34:N34">
    <cfRule type="cellIs" dxfId="32" priority="32" operator="lessThan">
      <formula>0.1</formula>
    </cfRule>
    <cfRule type="containsBlanks" dxfId="31" priority="33">
      <formula>LEN(TRIM(C34))=0</formula>
    </cfRule>
  </conditionalFormatting>
  <conditionalFormatting sqref="C33:N33">
    <cfRule type="cellIs" dxfId="30" priority="30" operator="lessThan">
      <formula>0.1</formula>
    </cfRule>
    <cfRule type="containsBlanks" dxfId="29" priority="31">
      <formula>LEN(TRIM(C33))=0</formula>
    </cfRule>
  </conditionalFormatting>
  <conditionalFormatting sqref="C36:N36">
    <cfRule type="cellIs" dxfId="28" priority="28" operator="lessThan">
      <formula>0.1</formula>
    </cfRule>
    <cfRule type="containsBlanks" dxfId="27" priority="29">
      <formula>LEN(TRIM(C36))=0</formula>
    </cfRule>
  </conditionalFormatting>
  <conditionalFormatting sqref="D32:N32 C33:N39 C29:N31">
    <cfRule type="cellIs" dxfId="26" priority="27" operator="equal">
      <formula>0</formula>
    </cfRule>
  </conditionalFormatting>
  <conditionalFormatting sqref="J35">
    <cfRule type="containsBlanks" dxfId="25" priority="25">
      <formula>LEN(TRIM(J35))=0</formula>
    </cfRule>
  </conditionalFormatting>
  <conditionalFormatting sqref="J35">
    <cfRule type="cellIs" dxfId="24" priority="24" operator="lessThan">
      <formula>0.1</formula>
    </cfRule>
    <cfRule type="containsBlanks" dxfId="23" priority="26">
      <formula>LEN(TRIM(J35))=0</formula>
    </cfRule>
  </conditionalFormatting>
  <conditionalFormatting sqref="K35">
    <cfRule type="containsBlanks" dxfId="22" priority="22">
      <formula>LEN(TRIM(K35))=0</formula>
    </cfRule>
  </conditionalFormatting>
  <conditionalFormatting sqref="K35">
    <cfRule type="cellIs" dxfId="21" priority="21" operator="lessThan">
      <formula>0.1</formula>
    </cfRule>
    <cfRule type="containsBlanks" dxfId="20" priority="23">
      <formula>LEN(TRIM(K35))=0</formula>
    </cfRule>
  </conditionalFormatting>
  <conditionalFormatting sqref="L35">
    <cfRule type="containsBlanks" dxfId="19" priority="19">
      <formula>LEN(TRIM(L35))=0</formula>
    </cfRule>
  </conditionalFormatting>
  <conditionalFormatting sqref="L35">
    <cfRule type="cellIs" dxfId="18" priority="18" operator="lessThan">
      <formula>0.1</formula>
    </cfRule>
    <cfRule type="containsBlanks" dxfId="17" priority="20">
      <formula>LEN(TRIM(L35))=0</formula>
    </cfRule>
  </conditionalFormatting>
  <conditionalFormatting sqref="M35">
    <cfRule type="containsBlanks" dxfId="16" priority="16">
      <formula>LEN(TRIM(M35))=0</formula>
    </cfRule>
  </conditionalFormatting>
  <conditionalFormatting sqref="M35">
    <cfRule type="cellIs" dxfId="15" priority="15" operator="lessThan">
      <formula>0.1</formula>
    </cfRule>
    <cfRule type="containsBlanks" dxfId="14" priority="17">
      <formula>LEN(TRIM(M35))=0</formula>
    </cfRule>
  </conditionalFormatting>
  <conditionalFormatting sqref="N35">
    <cfRule type="containsBlanks" dxfId="13" priority="13">
      <formula>LEN(TRIM(N35))=0</formula>
    </cfRule>
  </conditionalFormatting>
  <conditionalFormatting sqref="N35">
    <cfRule type="cellIs" dxfId="12" priority="12" operator="lessThan">
      <formula>0.1</formula>
    </cfRule>
    <cfRule type="containsBlanks" dxfId="11" priority="14">
      <formula>LEN(TRIM(N35))=0</formula>
    </cfRule>
  </conditionalFormatting>
  <conditionalFormatting sqref="I39">
    <cfRule type="containsBlanks" dxfId="10" priority="10">
      <formula>LEN(TRIM(I39))=0</formula>
    </cfRule>
  </conditionalFormatting>
  <conditionalFormatting sqref="I39">
    <cfRule type="cellIs" dxfId="9" priority="9" operator="lessThan">
      <formula>0.1</formula>
    </cfRule>
    <cfRule type="containsBlanks" dxfId="8" priority="11">
      <formula>LEN(TRIM(I39))=0</formula>
    </cfRule>
  </conditionalFormatting>
  <conditionalFormatting sqref="C36:N36">
    <cfRule type="cellIs" dxfId="7" priority="7" operator="lessThan">
      <formula>0.1</formula>
    </cfRule>
    <cfRule type="containsBlanks" dxfId="6" priority="8">
      <formula>LEN(TRIM(C36))=0</formula>
    </cfRule>
  </conditionalFormatting>
  <conditionalFormatting sqref="C30:N30">
    <cfRule type="cellIs" dxfId="5" priority="5" operator="lessThan">
      <formula>0.1</formula>
    </cfRule>
    <cfRule type="containsBlanks" dxfId="4" priority="6">
      <formula>LEN(TRIM(C30))=0</formula>
    </cfRule>
  </conditionalFormatting>
  <conditionalFormatting sqref="C32">
    <cfRule type="containsBlanks" dxfId="3" priority="3">
      <formula>LEN(TRIM(C32))=0</formula>
    </cfRule>
  </conditionalFormatting>
  <conditionalFormatting sqref="C32">
    <cfRule type="cellIs" dxfId="2" priority="2" operator="lessThan">
      <formula>0.1</formula>
    </cfRule>
    <cfRule type="containsBlanks" dxfId="1" priority="4">
      <formula>LEN(TRIM(C32))=0</formula>
    </cfRule>
  </conditionalFormatting>
  <conditionalFormatting sqref="C32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6FB28-764F-874D-8D52-BF1452DE5599}">
  <dimension ref="A1:O70"/>
  <sheetViews>
    <sheetView zoomScaleNormal="100" workbookViewId="0">
      <selection activeCell="F84" sqref="F84"/>
    </sheetView>
  </sheetViews>
  <sheetFormatPr baseColWidth="10" defaultColWidth="10.5" defaultRowHeight="15.5"/>
  <cols>
    <col min="2" max="2" width="22" bestFit="1" customWidth="1"/>
    <col min="3" max="3" width="22.5" customWidth="1"/>
    <col min="4" max="4" width="21.5" bestFit="1" customWidth="1"/>
    <col min="6" max="6" width="10.5" customWidth="1"/>
    <col min="7" max="7" width="22.83203125" hidden="1" customWidth="1"/>
    <col min="8" max="8" width="15.5" hidden="1" customWidth="1"/>
    <col min="9" max="9" width="22" hidden="1" customWidth="1"/>
    <col min="10" max="11" width="10.5" hidden="1" customWidth="1"/>
    <col min="12" max="12" width="22.83203125" hidden="1" customWidth="1"/>
    <col min="13" max="13" width="15.5" hidden="1" customWidth="1"/>
    <col min="14" max="14" width="22" hidden="1" customWidth="1"/>
    <col min="15" max="15" width="10.5" hidden="1" customWidth="1"/>
  </cols>
  <sheetData>
    <row r="1" spans="1:14" ht="21">
      <c r="A1" s="86" t="s">
        <v>122</v>
      </c>
      <c r="G1" s="76"/>
    </row>
    <row r="4" spans="1:14" ht="16" thickBot="1"/>
    <row r="5" spans="1:14" ht="16" thickBot="1">
      <c r="B5" s="206" t="s">
        <v>212</v>
      </c>
      <c r="C5" s="207"/>
      <c r="D5" s="208"/>
      <c r="G5" s="206" t="s">
        <v>179</v>
      </c>
      <c r="H5" s="207"/>
      <c r="I5" s="208"/>
      <c r="L5" s="206" t="s">
        <v>180</v>
      </c>
      <c r="M5" s="207"/>
      <c r="N5" s="208"/>
    </row>
    <row r="6" spans="1:14">
      <c r="B6" s="94" t="s">
        <v>42</v>
      </c>
      <c r="C6" s="95" t="s">
        <v>43</v>
      </c>
      <c r="D6" s="96" t="s">
        <v>44</v>
      </c>
      <c r="G6" s="19" t="s">
        <v>42</v>
      </c>
      <c r="H6" s="117" t="s">
        <v>43</v>
      </c>
      <c r="I6" s="118" t="s">
        <v>44</v>
      </c>
      <c r="L6" s="19" t="s">
        <v>42</v>
      </c>
      <c r="M6" s="117" t="s">
        <v>43</v>
      </c>
      <c r="N6" s="118" t="s">
        <v>44</v>
      </c>
    </row>
    <row r="7" spans="1:14">
      <c r="B7" s="54" t="s">
        <v>45</v>
      </c>
      <c r="C7" s="16">
        <f>320900/12</f>
        <v>26741.666666666668</v>
      </c>
      <c r="D7" s="97" t="s">
        <v>46</v>
      </c>
      <c r="G7" s="119" t="s">
        <v>45</v>
      </c>
      <c r="H7" s="16">
        <v>27066.66</v>
      </c>
      <c r="I7" s="120" t="s">
        <v>46</v>
      </c>
      <c r="L7" s="119" t="s">
        <v>45</v>
      </c>
      <c r="M7" s="16">
        <f>328800/12</f>
        <v>27400</v>
      </c>
      <c r="N7" s="120" t="s">
        <v>46</v>
      </c>
    </row>
    <row r="8" spans="1:14">
      <c r="B8" s="54" t="s">
        <v>47</v>
      </c>
      <c r="C8" s="16">
        <v>608</v>
      </c>
      <c r="D8" s="97" t="s">
        <v>46</v>
      </c>
      <c r="G8" s="119" t="s">
        <v>47</v>
      </c>
      <c r="H8" s="16">
        <v>608</v>
      </c>
      <c r="I8" s="120" t="s">
        <v>46</v>
      </c>
      <c r="L8" s="119" t="s">
        <v>47</v>
      </c>
      <c r="M8" s="16">
        <v>608</v>
      </c>
      <c r="N8" s="120" t="s">
        <v>46</v>
      </c>
    </row>
    <row r="9" spans="1:14">
      <c r="B9" s="54" t="s">
        <v>48</v>
      </c>
      <c r="C9" s="16">
        <f>5*4751/12</f>
        <v>1979.5833333333333</v>
      </c>
      <c r="D9" s="97" t="s">
        <v>49</v>
      </c>
      <c r="G9" s="119" t="s">
        <v>48</v>
      </c>
      <c r="H9" s="16">
        <f>(5*4799)/12</f>
        <v>1999.5833333333333</v>
      </c>
      <c r="I9" s="120" t="s">
        <v>49</v>
      </c>
      <c r="L9" s="119" t="s">
        <v>48</v>
      </c>
      <c r="M9" s="16">
        <f>5*4849/12</f>
        <v>2020.4166666666667</v>
      </c>
      <c r="N9" s="120" t="s">
        <v>49</v>
      </c>
    </row>
    <row r="10" spans="1:14">
      <c r="B10" s="54" t="s">
        <v>50</v>
      </c>
      <c r="C10" s="16">
        <f>25*2831/12</f>
        <v>5897.916666666667</v>
      </c>
      <c r="D10" s="97" t="s">
        <v>49</v>
      </c>
      <c r="G10" s="119" t="s">
        <v>50</v>
      </c>
      <c r="H10" s="16">
        <f>25*2865/12</f>
        <v>5968.75</v>
      </c>
      <c r="I10" s="120" t="s">
        <v>49</v>
      </c>
      <c r="L10" s="119" t="s">
        <v>50</v>
      </c>
      <c r="M10" s="16">
        <f>25*2900/12</f>
        <v>6041.666666666667</v>
      </c>
      <c r="N10" s="120" t="s">
        <v>49</v>
      </c>
    </row>
    <row r="11" spans="1:14">
      <c r="B11" s="54" t="s">
        <v>51</v>
      </c>
      <c r="C11" s="16">
        <v>0</v>
      </c>
      <c r="D11" s="97" t="s">
        <v>49</v>
      </c>
      <c r="G11" s="119" t="s">
        <v>51</v>
      </c>
      <c r="H11" s="16">
        <v>0</v>
      </c>
      <c r="I11" s="120" t="s">
        <v>49</v>
      </c>
      <c r="L11" s="119" t="s">
        <v>51</v>
      </c>
      <c r="M11" s="16">
        <v>0</v>
      </c>
      <c r="N11" s="120" t="s">
        <v>49</v>
      </c>
    </row>
    <row r="12" spans="1:14">
      <c r="B12" s="54" t="s">
        <v>52</v>
      </c>
      <c r="C12" s="16">
        <f>2306*10/12</f>
        <v>1921.6666666666667</v>
      </c>
      <c r="D12" s="97" t="s">
        <v>49</v>
      </c>
      <c r="G12" s="119" t="s">
        <v>52</v>
      </c>
      <c r="H12" s="16">
        <f>2334*10/12</f>
        <v>1945</v>
      </c>
      <c r="I12" s="120" t="s">
        <v>49</v>
      </c>
      <c r="L12" s="119" t="s">
        <v>52</v>
      </c>
      <c r="M12" s="16">
        <f>2362*10/12</f>
        <v>1968.3333333333333</v>
      </c>
      <c r="N12" s="120" t="s">
        <v>49</v>
      </c>
    </row>
    <row r="13" spans="1:14" ht="16" thickBot="1">
      <c r="B13" s="98" t="s">
        <v>54</v>
      </c>
      <c r="C13" s="99">
        <f>SUM(C7:C12)</f>
        <v>37148.833333333328</v>
      </c>
      <c r="D13" s="100"/>
      <c r="G13" s="98" t="s">
        <v>54</v>
      </c>
      <c r="H13" s="99">
        <f>SUM(H7:H12)</f>
        <v>37587.993333333332</v>
      </c>
      <c r="I13" s="121"/>
      <c r="L13" s="98" t="s">
        <v>54</v>
      </c>
      <c r="M13" s="99">
        <f>SUM(M7:M12)</f>
        <v>38038.416666666672</v>
      </c>
      <c r="N13" s="121"/>
    </row>
    <row r="14" spans="1:14">
      <c r="B14" s="101"/>
      <c r="C14" s="101"/>
      <c r="D14" s="101"/>
    </row>
    <row r="15" spans="1:14">
      <c r="B15" s="102" t="s">
        <v>85</v>
      </c>
      <c r="C15" s="103">
        <f>+C13</f>
        <v>37148.833333333328</v>
      </c>
      <c r="D15" s="101"/>
      <c r="G15" s="102" t="s">
        <v>85</v>
      </c>
      <c r="H15" s="103">
        <f>+H13</f>
        <v>37587.993333333332</v>
      </c>
      <c r="I15" s="101"/>
      <c r="L15" s="102" t="s">
        <v>85</v>
      </c>
      <c r="M15" s="103">
        <f>+M13</f>
        <v>38038.416666666672</v>
      </c>
      <c r="N15" s="101"/>
    </row>
    <row r="16" spans="1:14">
      <c r="B16" s="102" t="s">
        <v>86</v>
      </c>
      <c r="C16" s="102">
        <v>12</v>
      </c>
      <c r="D16" s="101"/>
      <c r="G16" s="102" t="s">
        <v>86</v>
      </c>
      <c r="H16" s="102">
        <v>12</v>
      </c>
      <c r="I16" s="101"/>
      <c r="L16" s="102" t="s">
        <v>86</v>
      </c>
      <c r="M16" s="102">
        <v>12</v>
      </c>
      <c r="N16" s="101"/>
    </row>
    <row r="17" spans="2:14">
      <c r="B17" s="102" t="s">
        <v>87</v>
      </c>
      <c r="C17" s="102">
        <v>10</v>
      </c>
      <c r="D17" s="101"/>
      <c r="G17" s="102" t="s">
        <v>87</v>
      </c>
      <c r="H17" s="102">
        <v>10</v>
      </c>
      <c r="I17" s="101"/>
      <c r="L17" s="102" t="s">
        <v>87</v>
      </c>
      <c r="M17" s="102">
        <v>10</v>
      </c>
      <c r="N17" s="101"/>
    </row>
    <row r="18" spans="2:14">
      <c r="B18" s="102" t="s">
        <v>88</v>
      </c>
      <c r="C18" s="103">
        <f>+C17*C16*C15</f>
        <v>4457859.9999999991</v>
      </c>
      <c r="D18" s="163" t="s">
        <v>210</v>
      </c>
      <c r="G18" s="102" t="s">
        <v>88</v>
      </c>
      <c r="H18" s="103">
        <f>+H17*H16*H15</f>
        <v>4510559.2</v>
      </c>
      <c r="I18" s="93" t="s">
        <v>178</v>
      </c>
      <c r="L18" s="102" t="s">
        <v>88</v>
      </c>
      <c r="M18" s="103">
        <f>+M17*M16*M15</f>
        <v>4564610.0000000009</v>
      </c>
      <c r="N18" s="93" t="s">
        <v>178</v>
      </c>
    </row>
    <row r="20" spans="2:14" ht="16" hidden="1" thickBot="1">
      <c r="B20" s="206" t="s">
        <v>181</v>
      </c>
      <c r="C20" s="207"/>
      <c r="D20" s="208"/>
      <c r="E20" s="101"/>
      <c r="F20" s="101"/>
      <c r="G20" s="203" t="s">
        <v>182</v>
      </c>
      <c r="H20" s="204"/>
      <c r="I20" s="205"/>
      <c r="L20" s="203" t="s">
        <v>184</v>
      </c>
      <c r="M20" s="204"/>
      <c r="N20" s="205"/>
    </row>
    <row r="21" spans="2:14" hidden="1">
      <c r="B21" s="19" t="s">
        <v>42</v>
      </c>
      <c r="C21" s="117" t="s">
        <v>43</v>
      </c>
      <c r="D21" s="118" t="s">
        <v>44</v>
      </c>
      <c r="E21" s="101"/>
      <c r="F21" s="101"/>
      <c r="G21" s="122" t="s">
        <v>42</v>
      </c>
      <c r="H21" s="123" t="s">
        <v>43</v>
      </c>
      <c r="I21" s="124" t="s">
        <v>44</v>
      </c>
      <c r="L21" s="122" t="s">
        <v>42</v>
      </c>
      <c r="M21" s="123" t="s">
        <v>43</v>
      </c>
      <c r="N21" s="124" t="s">
        <v>44</v>
      </c>
    </row>
    <row r="22" spans="2:14" hidden="1">
      <c r="B22" s="119" t="s">
        <v>45</v>
      </c>
      <c r="C22" s="16">
        <f>330000/12</f>
        <v>27500</v>
      </c>
      <c r="D22" s="120" t="s">
        <v>46</v>
      </c>
      <c r="E22" s="101"/>
      <c r="F22" s="101"/>
      <c r="G22" s="125" t="s">
        <v>45</v>
      </c>
      <c r="H22" s="126">
        <f>337300/12</f>
        <v>28108.333333333332</v>
      </c>
      <c r="I22" s="127" t="s">
        <v>46</v>
      </c>
      <c r="L22" s="125" t="s">
        <v>45</v>
      </c>
      <c r="M22" s="126">
        <f>341300/12</f>
        <v>28441.666666666668</v>
      </c>
      <c r="N22" s="127" t="s">
        <v>46</v>
      </c>
    </row>
    <row r="23" spans="2:14" hidden="1">
      <c r="B23" s="119" t="s">
        <v>47</v>
      </c>
      <c r="C23" s="16">
        <v>608</v>
      </c>
      <c r="D23" s="120" t="s">
        <v>46</v>
      </c>
      <c r="E23" s="101"/>
      <c r="F23" s="101"/>
      <c r="G23" s="125" t="s">
        <v>47</v>
      </c>
      <c r="H23" s="126">
        <v>608</v>
      </c>
      <c r="I23" s="127" t="s">
        <v>46</v>
      </c>
      <c r="L23" s="125" t="s">
        <v>47</v>
      </c>
      <c r="M23" s="126">
        <v>608</v>
      </c>
      <c r="N23" s="127" t="s">
        <v>46</v>
      </c>
    </row>
    <row r="24" spans="2:14" hidden="1">
      <c r="B24" s="119" t="s">
        <v>48</v>
      </c>
      <c r="C24" s="16">
        <f>5*4902/12</f>
        <v>2042.5</v>
      </c>
      <c r="D24" s="120" t="s">
        <v>49</v>
      </c>
      <c r="E24" s="101"/>
      <c r="F24" s="101"/>
      <c r="G24" s="125" t="s">
        <v>48</v>
      </c>
      <c r="H24" s="126">
        <f>4955*5/12</f>
        <v>2064.5833333333335</v>
      </c>
      <c r="I24" s="127" t="s">
        <v>49</v>
      </c>
      <c r="L24" s="125" t="s">
        <v>48</v>
      </c>
      <c r="M24" s="126">
        <f>5005*5/12</f>
        <v>2085.4166666666665</v>
      </c>
      <c r="N24" s="127" t="s">
        <v>49</v>
      </c>
    </row>
    <row r="25" spans="2:14" hidden="1">
      <c r="B25" s="119" t="s">
        <v>50</v>
      </c>
      <c r="C25" s="16">
        <f>25*2937/12</f>
        <v>6118.75</v>
      </c>
      <c r="D25" s="120" t="s">
        <v>49</v>
      </c>
      <c r="E25" s="101"/>
      <c r="F25" s="101"/>
      <c r="G25" s="125" t="s">
        <v>50</v>
      </c>
      <c r="H25" s="126">
        <f>2975*25/12</f>
        <v>6197.916666666667</v>
      </c>
      <c r="I25" s="127" t="s">
        <v>49</v>
      </c>
      <c r="L25" s="125" t="s">
        <v>50</v>
      </c>
      <c r="M25" s="126">
        <f>3010*25/12</f>
        <v>6270.833333333333</v>
      </c>
      <c r="N25" s="127" t="s">
        <v>49</v>
      </c>
    </row>
    <row r="26" spans="2:14" hidden="1">
      <c r="B26" s="119" t="s">
        <v>51</v>
      </c>
      <c r="C26" s="16">
        <v>0</v>
      </c>
      <c r="D26" s="120" t="s">
        <v>49</v>
      </c>
      <c r="E26" s="101"/>
      <c r="F26" s="101"/>
      <c r="G26" s="125" t="s">
        <v>51</v>
      </c>
      <c r="H26" s="126" t="s">
        <v>183</v>
      </c>
      <c r="I26" s="127" t="s">
        <v>49</v>
      </c>
      <c r="L26" s="125" t="s">
        <v>51</v>
      </c>
      <c r="M26" s="126" t="s">
        <v>183</v>
      </c>
      <c r="N26" s="127" t="s">
        <v>49</v>
      </c>
    </row>
    <row r="27" spans="2:14" hidden="1">
      <c r="B27" s="119" t="s">
        <v>52</v>
      </c>
      <c r="C27" s="16">
        <f>2393*10/12</f>
        <v>1994.1666666666667</v>
      </c>
      <c r="D27" s="120" t="s">
        <v>49</v>
      </c>
      <c r="E27" s="101"/>
      <c r="F27" s="101"/>
      <c r="G27" s="125" t="s">
        <v>52</v>
      </c>
      <c r="H27" s="126">
        <f>2423*10/12</f>
        <v>2019.1666666666667</v>
      </c>
      <c r="I27" s="127" t="s">
        <v>49</v>
      </c>
      <c r="L27" s="125" t="s">
        <v>52</v>
      </c>
      <c r="M27" s="126">
        <f>2452*10/12</f>
        <v>2043.3333333333333</v>
      </c>
      <c r="N27" s="127" t="s">
        <v>49</v>
      </c>
    </row>
    <row r="28" spans="2:14" ht="16" hidden="1" thickBot="1">
      <c r="B28" s="98" t="s">
        <v>54</v>
      </c>
      <c r="C28" s="99">
        <f>SUM(C22:C27)</f>
        <v>38263.416666666664</v>
      </c>
      <c r="D28" s="121"/>
      <c r="E28" s="101"/>
      <c r="F28" s="101"/>
      <c r="G28" s="128" t="s">
        <v>54</v>
      </c>
      <c r="H28" s="129">
        <f>SUM(H22:H27)</f>
        <v>38997.999999999993</v>
      </c>
      <c r="I28" s="130"/>
      <c r="L28" s="128" t="s">
        <v>54</v>
      </c>
      <c r="M28" s="129">
        <f>SUM(M22:M27)</f>
        <v>39449.250000000007</v>
      </c>
      <c r="N28" s="130"/>
    </row>
    <row r="29" spans="2:14" hidden="1"/>
    <row r="30" spans="2:14" hidden="1">
      <c r="B30" s="102" t="s">
        <v>85</v>
      </c>
      <c r="C30" s="103">
        <f>+C28</f>
        <v>38263.416666666664</v>
      </c>
      <c r="D30" s="101"/>
      <c r="G30" s="102" t="s">
        <v>85</v>
      </c>
      <c r="H30" s="103">
        <f>+H28</f>
        <v>38997.999999999993</v>
      </c>
      <c r="I30" s="101"/>
      <c r="L30" s="102" t="s">
        <v>85</v>
      </c>
      <c r="M30" s="103">
        <f>+M28</f>
        <v>39449.250000000007</v>
      </c>
      <c r="N30" s="101"/>
    </row>
    <row r="31" spans="2:14" hidden="1">
      <c r="B31" s="102" t="s">
        <v>86</v>
      </c>
      <c r="C31" s="102">
        <v>12</v>
      </c>
      <c r="D31" s="101"/>
      <c r="G31" s="102" t="s">
        <v>86</v>
      </c>
      <c r="H31" s="102">
        <v>12</v>
      </c>
      <c r="I31" s="101"/>
      <c r="L31" s="102" t="s">
        <v>86</v>
      </c>
      <c r="M31" s="102">
        <v>12</v>
      </c>
      <c r="N31" s="101"/>
    </row>
    <row r="32" spans="2:14" hidden="1">
      <c r="B32" s="102" t="s">
        <v>87</v>
      </c>
      <c r="C32" s="102">
        <v>10</v>
      </c>
      <c r="D32" s="101"/>
      <c r="G32" s="102" t="s">
        <v>87</v>
      </c>
      <c r="H32" s="102">
        <v>10</v>
      </c>
      <c r="I32" s="101"/>
      <c r="L32" s="102" t="s">
        <v>87</v>
      </c>
      <c r="M32" s="102">
        <v>10</v>
      </c>
      <c r="N32" s="101"/>
    </row>
    <row r="33" spans="2:14" hidden="1">
      <c r="B33" s="102" t="s">
        <v>88</v>
      </c>
      <c r="C33" s="103">
        <f>+C32*C31*C30</f>
        <v>4591610</v>
      </c>
      <c r="D33" s="93" t="s">
        <v>178</v>
      </c>
      <c r="G33" s="102" t="s">
        <v>88</v>
      </c>
      <c r="H33" s="103">
        <f>+H32*H31*H30</f>
        <v>4679759.9999999991</v>
      </c>
      <c r="I33" s="93" t="s">
        <v>178</v>
      </c>
      <c r="L33" s="102" t="s">
        <v>88</v>
      </c>
      <c r="M33" s="103">
        <f>+M32*M31*M30</f>
        <v>4733910.0000000009</v>
      </c>
      <c r="N33" s="93" t="s">
        <v>178</v>
      </c>
    </row>
    <row r="34" spans="2:14" hidden="1">
      <c r="D34" s="162" t="s">
        <v>203</v>
      </c>
    </row>
    <row r="35" spans="2:14" ht="16" hidden="1" thickBot="1"/>
    <row r="36" spans="2:14" ht="16" hidden="1" thickBot="1">
      <c r="B36" s="203" t="s">
        <v>185</v>
      </c>
      <c r="C36" s="204"/>
      <c r="D36" s="205"/>
      <c r="E36" s="101"/>
      <c r="F36" s="101"/>
      <c r="G36" s="203" t="s">
        <v>186</v>
      </c>
      <c r="H36" s="204"/>
      <c r="I36" s="205"/>
      <c r="J36" s="101"/>
      <c r="K36" s="101"/>
      <c r="L36" s="203" t="s">
        <v>187</v>
      </c>
      <c r="M36" s="204"/>
      <c r="N36" s="205"/>
    </row>
    <row r="37" spans="2:14" hidden="1">
      <c r="B37" s="122" t="s">
        <v>42</v>
      </c>
      <c r="C37" s="123" t="s">
        <v>43</v>
      </c>
      <c r="D37" s="124" t="s">
        <v>44</v>
      </c>
      <c r="E37" s="116"/>
      <c r="F37" s="131"/>
      <c r="G37" s="122" t="s">
        <v>42</v>
      </c>
      <c r="H37" s="123" t="s">
        <v>43</v>
      </c>
      <c r="I37" s="124" t="s">
        <v>44</v>
      </c>
      <c r="J37" s="101"/>
      <c r="K37" s="101"/>
      <c r="L37" s="122" t="s">
        <v>42</v>
      </c>
      <c r="M37" s="123" t="s">
        <v>43</v>
      </c>
      <c r="N37" s="124" t="s">
        <v>44</v>
      </c>
    </row>
    <row r="38" spans="2:14" hidden="1">
      <c r="B38" s="125" t="s">
        <v>45</v>
      </c>
      <c r="C38" s="126">
        <f>345300/12</f>
        <v>28775</v>
      </c>
      <c r="D38" s="127" t="s">
        <v>46</v>
      </c>
      <c r="E38" s="101"/>
      <c r="F38" s="101"/>
      <c r="G38" s="125" t="s">
        <v>45</v>
      </c>
      <c r="H38" s="126">
        <f>349100/12</f>
        <v>29091.666666666668</v>
      </c>
      <c r="I38" s="127" t="s">
        <v>46</v>
      </c>
      <c r="J38" s="101"/>
      <c r="K38" s="101"/>
      <c r="L38" s="125" t="s">
        <v>45</v>
      </c>
      <c r="M38" s="126">
        <f>356700/12</f>
        <v>29725</v>
      </c>
      <c r="N38" s="127" t="s">
        <v>46</v>
      </c>
    </row>
    <row r="39" spans="2:14" hidden="1">
      <c r="B39" s="125" t="s">
        <v>47</v>
      </c>
      <c r="C39" s="126">
        <v>608</v>
      </c>
      <c r="D39" s="127" t="s">
        <v>46</v>
      </c>
      <c r="E39" s="101"/>
      <c r="F39" s="101"/>
      <c r="G39" s="125" t="s">
        <v>47</v>
      </c>
      <c r="H39" s="126">
        <v>608</v>
      </c>
      <c r="I39" s="127" t="s">
        <v>46</v>
      </c>
      <c r="J39" s="101"/>
      <c r="K39" s="101"/>
      <c r="L39" s="125" t="s">
        <v>47</v>
      </c>
      <c r="M39" s="126">
        <v>608</v>
      </c>
      <c r="N39" s="127" t="s">
        <v>46</v>
      </c>
    </row>
    <row r="40" spans="2:14" hidden="1">
      <c r="B40" s="125" t="s">
        <v>48</v>
      </c>
      <c r="C40" s="126">
        <f>5055*5/12</f>
        <v>2106.25</v>
      </c>
      <c r="D40" s="127" t="s">
        <v>49</v>
      </c>
      <c r="E40" s="101"/>
      <c r="F40" s="101"/>
      <c r="G40" s="125" t="s">
        <v>48</v>
      </c>
      <c r="H40" s="126">
        <f>5103*5/12</f>
        <v>2126.25</v>
      </c>
      <c r="I40" s="127" t="s">
        <v>49</v>
      </c>
      <c r="J40" s="101"/>
      <c r="K40" s="101"/>
      <c r="L40" s="125" t="s">
        <v>48</v>
      </c>
      <c r="M40" s="126">
        <f>5197*5/12</f>
        <v>2165.4166666666665</v>
      </c>
      <c r="N40" s="127" t="s">
        <v>49</v>
      </c>
    </row>
    <row r="41" spans="2:14" hidden="1">
      <c r="B41" s="125" t="s">
        <v>50</v>
      </c>
      <c r="C41" s="126">
        <f>3046*25/12</f>
        <v>6345.833333333333</v>
      </c>
      <c r="D41" s="127" t="s">
        <v>49</v>
      </c>
      <c r="E41" s="101"/>
      <c r="F41" s="101"/>
      <c r="G41" s="125" t="s">
        <v>50</v>
      </c>
      <c r="H41" s="126">
        <f>3079*25/12</f>
        <v>6414.583333333333</v>
      </c>
      <c r="I41" s="127" t="s">
        <v>49</v>
      </c>
      <c r="J41" s="101"/>
      <c r="K41" s="101"/>
      <c r="L41" s="125" t="s">
        <v>50</v>
      </c>
      <c r="M41" s="126">
        <f>3146*25/12</f>
        <v>6554.166666666667</v>
      </c>
      <c r="N41" s="127" t="s">
        <v>49</v>
      </c>
    </row>
    <row r="42" spans="2:14" hidden="1">
      <c r="B42" s="125" t="s">
        <v>51</v>
      </c>
      <c r="C42" s="126" t="s">
        <v>183</v>
      </c>
      <c r="D42" s="127" t="s">
        <v>49</v>
      </c>
      <c r="E42" s="101"/>
      <c r="F42" s="101"/>
      <c r="G42" s="125" t="s">
        <v>51</v>
      </c>
      <c r="H42" s="126" t="s">
        <v>183</v>
      </c>
      <c r="I42" s="127" t="s">
        <v>49</v>
      </c>
      <c r="J42" s="101"/>
      <c r="K42" s="101"/>
      <c r="L42" s="125" t="s">
        <v>51</v>
      </c>
      <c r="M42" s="126" t="s">
        <v>183</v>
      </c>
      <c r="N42" s="127" t="s">
        <v>49</v>
      </c>
    </row>
    <row r="43" spans="2:14" hidden="1">
      <c r="B43" s="125" t="s">
        <v>52</v>
      </c>
      <c r="C43" s="126">
        <f>2481*10/12</f>
        <v>2067.5</v>
      </c>
      <c r="D43" s="127" t="s">
        <v>49</v>
      </c>
      <c r="E43" s="101"/>
      <c r="F43" s="101"/>
      <c r="G43" s="125" t="s">
        <v>52</v>
      </c>
      <c r="H43" s="126">
        <f>2508*10/12</f>
        <v>2090</v>
      </c>
      <c r="I43" s="127" t="s">
        <v>49</v>
      </c>
      <c r="J43" s="101"/>
      <c r="K43" s="101"/>
      <c r="L43" s="125" t="s">
        <v>52</v>
      </c>
      <c r="M43" s="126">
        <f>2562*10/12</f>
        <v>2135</v>
      </c>
      <c r="N43" s="127" t="s">
        <v>49</v>
      </c>
    </row>
    <row r="44" spans="2:14" ht="16" hidden="1" thickBot="1">
      <c r="B44" s="128" t="s">
        <v>54</v>
      </c>
      <c r="C44" s="129">
        <f>SUM(C38:C43)</f>
        <v>39902.583333333336</v>
      </c>
      <c r="D44" s="130"/>
      <c r="E44" s="101"/>
      <c r="F44" s="101"/>
      <c r="G44" s="128" t="s">
        <v>54</v>
      </c>
      <c r="H44" s="129">
        <f>SUM(H38:H43)</f>
        <v>40330.5</v>
      </c>
      <c r="I44" s="130"/>
      <c r="J44" s="101"/>
      <c r="K44" s="101"/>
      <c r="L44" s="128" t="s">
        <v>54</v>
      </c>
      <c r="M44" s="129">
        <f>SUM(M38:M43)</f>
        <v>41187.583333333336</v>
      </c>
      <c r="N44" s="130"/>
    </row>
    <row r="45" spans="2:14" hidden="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</row>
    <row r="46" spans="2:14" hidden="1">
      <c r="B46" s="102" t="s">
        <v>85</v>
      </c>
      <c r="C46" s="103">
        <f>+C44</f>
        <v>39902.583333333336</v>
      </c>
      <c r="D46" s="101"/>
      <c r="E46" s="101"/>
      <c r="F46" s="101"/>
      <c r="G46" s="102" t="s">
        <v>85</v>
      </c>
      <c r="H46" s="103">
        <f>+H44</f>
        <v>40330.5</v>
      </c>
      <c r="I46" s="101"/>
      <c r="J46" s="101"/>
      <c r="K46" s="101"/>
      <c r="L46" s="102" t="s">
        <v>85</v>
      </c>
      <c r="M46" s="103">
        <f>+M44</f>
        <v>41187.583333333336</v>
      </c>
      <c r="N46" s="101"/>
    </row>
    <row r="47" spans="2:14" hidden="1">
      <c r="B47" s="102" t="s">
        <v>86</v>
      </c>
      <c r="C47" s="102">
        <v>12</v>
      </c>
      <c r="D47" s="101"/>
      <c r="E47" s="101"/>
      <c r="F47" s="101"/>
      <c r="G47" s="102" t="s">
        <v>86</v>
      </c>
      <c r="H47" s="102">
        <v>12</v>
      </c>
      <c r="I47" s="101"/>
      <c r="J47" s="101"/>
      <c r="K47" s="101"/>
      <c r="L47" s="102" t="s">
        <v>86</v>
      </c>
      <c r="M47" s="102">
        <v>12</v>
      </c>
      <c r="N47" s="101"/>
    </row>
    <row r="48" spans="2:14" hidden="1">
      <c r="B48" s="102" t="s">
        <v>87</v>
      </c>
      <c r="C48" s="102">
        <v>10</v>
      </c>
      <c r="D48" s="101"/>
      <c r="E48" s="101"/>
      <c r="F48" s="101"/>
      <c r="G48" s="102" t="s">
        <v>87</v>
      </c>
      <c r="H48" s="102">
        <v>10</v>
      </c>
      <c r="I48" s="101"/>
      <c r="J48" s="101"/>
      <c r="K48" s="101"/>
      <c r="L48" s="102" t="s">
        <v>87</v>
      </c>
      <c r="M48" s="102">
        <v>10</v>
      </c>
      <c r="N48" s="101"/>
    </row>
    <row r="49" spans="2:14" hidden="1">
      <c r="B49" s="102" t="s">
        <v>88</v>
      </c>
      <c r="C49" s="103">
        <f>+C48*C47*C46</f>
        <v>4788310</v>
      </c>
      <c r="D49" s="93" t="s">
        <v>178</v>
      </c>
      <c r="E49" s="101"/>
      <c r="F49" s="101"/>
      <c r="G49" s="102" t="s">
        <v>88</v>
      </c>
      <c r="H49" s="103">
        <f>+H48*H47*H46</f>
        <v>4839660</v>
      </c>
      <c r="I49" s="93" t="s">
        <v>178</v>
      </c>
      <c r="J49" s="101"/>
      <c r="K49" s="101"/>
      <c r="L49" s="102" t="s">
        <v>88</v>
      </c>
      <c r="M49" s="103">
        <f>+M48*M47*M46</f>
        <v>4942510</v>
      </c>
      <c r="N49" s="93" t="s">
        <v>178</v>
      </c>
    </row>
    <row r="50" spans="2:14" ht="16" hidden="1" thickBot="1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</row>
    <row r="51" spans="2:14" ht="16" hidden="1" thickBot="1">
      <c r="B51" s="203" t="s">
        <v>188</v>
      </c>
      <c r="C51" s="204"/>
      <c r="D51" s="205"/>
      <c r="E51" s="101"/>
      <c r="F51" s="101"/>
      <c r="G51" s="101"/>
      <c r="H51" s="101"/>
      <c r="I51" s="101"/>
      <c r="J51" s="101"/>
      <c r="K51" s="101"/>
      <c r="L51" s="101"/>
      <c r="M51" s="101"/>
      <c r="N51" s="101"/>
    </row>
    <row r="52" spans="2:14" hidden="1">
      <c r="B52" s="122" t="s">
        <v>42</v>
      </c>
      <c r="C52" s="123" t="s">
        <v>43</v>
      </c>
      <c r="D52" s="124" t="s">
        <v>44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</row>
    <row r="53" spans="2:14" hidden="1">
      <c r="B53" s="125" t="s">
        <v>45</v>
      </c>
      <c r="C53" s="126">
        <f>369000/12</f>
        <v>30750</v>
      </c>
      <c r="D53" s="127" t="s">
        <v>46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</row>
    <row r="54" spans="2:14" hidden="1">
      <c r="B54" s="125" t="s">
        <v>47</v>
      </c>
      <c r="C54" s="126">
        <v>608</v>
      </c>
      <c r="D54" s="127" t="s">
        <v>46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</row>
    <row r="55" spans="2:14" hidden="1">
      <c r="B55" s="125" t="s">
        <v>48</v>
      </c>
      <c r="C55" s="126">
        <f>5351*5/12</f>
        <v>2229.5833333333335</v>
      </c>
      <c r="D55" s="127" t="s">
        <v>49</v>
      </c>
      <c r="E55" s="101"/>
      <c r="F55" s="101"/>
      <c r="G55" s="101"/>
      <c r="H55" s="101"/>
      <c r="I55" s="101"/>
      <c r="J55" s="101"/>
      <c r="K55" s="101"/>
      <c r="L55" s="101"/>
      <c r="M55" s="101"/>
      <c r="N55" s="101"/>
    </row>
    <row r="56" spans="2:14" hidden="1">
      <c r="B56" s="125" t="s">
        <v>50</v>
      </c>
      <c r="C56" s="126">
        <f>3254*25/12</f>
        <v>6779.166666666667</v>
      </c>
      <c r="D56" s="127" t="s">
        <v>49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</row>
    <row r="57" spans="2:14" hidden="1">
      <c r="B57" s="125" t="s">
        <v>51</v>
      </c>
      <c r="C57" s="126" t="s">
        <v>183</v>
      </c>
      <c r="D57" s="127" t="s">
        <v>49</v>
      </c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2:14" hidden="1">
      <c r="B58" s="125" t="s">
        <v>52</v>
      </c>
      <c r="C58" s="126">
        <f>2650*10/12</f>
        <v>2208.3333333333335</v>
      </c>
      <c r="D58" s="127" t="s">
        <v>49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</row>
    <row r="59" spans="2:14" ht="16" hidden="1" thickBot="1">
      <c r="B59" s="128" t="s">
        <v>54</v>
      </c>
      <c r="C59" s="129">
        <f>SUM(C53:C58)</f>
        <v>42575.083333333336</v>
      </c>
      <c r="D59" s="130"/>
      <c r="E59" s="101"/>
      <c r="F59" s="101"/>
      <c r="G59" s="101"/>
      <c r="H59" s="101"/>
      <c r="I59" s="101"/>
      <c r="J59" s="101"/>
      <c r="K59" s="101"/>
      <c r="L59" s="101"/>
      <c r="M59" s="101"/>
      <c r="N59" s="101"/>
    </row>
    <row r="60" spans="2:14" hidden="1"/>
    <row r="61" spans="2:14" hidden="1">
      <c r="B61" s="102" t="s">
        <v>85</v>
      </c>
      <c r="C61" s="103">
        <f>+C59</f>
        <v>42575.083333333336</v>
      </c>
      <c r="D61" s="101"/>
    </row>
    <row r="62" spans="2:14" hidden="1">
      <c r="B62" s="102" t="s">
        <v>86</v>
      </c>
      <c r="C62" s="102">
        <v>12</v>
      </c>
      <c r="D62" s="101"/>
    </row>
    <row r="63" spans="2:14" hidden="1">
      <c r="B63" s="102" t="s">
        <v>87</v>
      </c>
      <c r="C63" s="102">
        <v>10</v>
      </c>
      <c r="D63" s="101"/>
    </row>
    <row r="64" spans="2:14" hidden="1">
      <c r="B64" s="102" t="s">
        <v>88</v>
      </c>
      <c r="C64" s="103">
        <f>+C63*C62*C61</f>
        <v>5109010</v>
      </c>
      <c r="D64" s="93" t="s">
        <v>178</v>
      </c>
    </row>
    <row r="65" spans="2:2" hidden="1"/>
    <row r="66" spans="2:2">
      <c r="B66" s="76" t="s">
        <v>101</v>
      </c>
    </row>
    <row r="67" spans="2:2">
      <c r="B67" t="s">
        <v>217</v>
      </c>
    </row>
    <row r="68" spans="2:2">
      <c r="B68" t="s">
        <v>55</v>
      </c>
    </row>
    <row r="69" spans="2:2">
      <c r="B69" t="s">
        <v>53</v>
      </c>
    </row>
    <row r="70" spans="2:2">
      <c r="B70" t="s">
        <v>190</v>
      </c>
    </row>
  </sheetData>
  <mergeCells count="10">
    <mergeCell ref="G36:I36"/>
    <mergeCell ref="L36:N36"/>
    <mergeCell ref="B51:D51"/>
    <mergeCell ref="G5:I5"/>
    <mergeCell ref="L5:N5"/>
    <mergeCell ref="B20:D20"/>
    <mergeCell ref="G20:I20"/>
    <mergeCell ref="L20:N20"/>
    <mergeCell ref="B36:D36"/>
    <mergeCell ref="B5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8323E-EAF4-4D96-AF5D-E86A30D79D42}">
  <dimension ref="A1:G26"/>
  <sheetViews>
    <sheetView zoomScaleNormal="100" workbookViewId="0">
      <selection activeCell="K23" sqref="K23"/>
    </sheetView>
  </sheetViews>
  <sheetFormatPr baseColWidth="10" defaultColWidth="11" defaultRowHeight="15.5"/>
  <cols>
    <col min="1" max="1" width="29.33203125" customWidth="1"/>
    <col min="2" max="2" width="15.6640625" bestFit="1" customWidth="1"/>
    <col min="3" max="3" width="14.1640625" customWidth="1"/>
    <col min="4" max="4" width="16.5" customWidth="1"/>
    <col min="6" max="6" width="14" customWidth="1"/>
    <col min="7" max="7" width="15.83203125" customWidth="1"/>
  </cols>
  <sheetData>
    <row r="1" spans="1:7" ht="21">
      <c r="A1" s="86" t="s">
        <v>147</v>
      </c>
    </row>
    <row r="4" spans="1:7" ht="16" thickBot="1"/>
    <row r="5" spans="1:7" ht="16" thickBot="1">
      <c r="A5" s="209" t="s">
        <v>148</v>
      </c>
      <c r="B5" s="210"/>
      <c r="D5" s="209" t="s">
        <v>197</v>
      </c>
      <c r="E5" s="211"/>
      <c r="F5" s="211"/>
      <c r="G5" s="212"/>
    </row>
    <row r="6" spans="1:7">
      <c r="A6" s="7" t="s">
        <v>149</v>
      </c>
      <c r="B6" s="142">
        <v>1035000</v>
      </c>
      <c r="D6" s="7"/>
      <c r="E6" s="52" t="s">
        <v>138</v>
      </c>
      <c r="F6" s="52" t="s">
        <v>154</v>
      </c>
      <c r="G6" s="143" t="s">
        <v>155</v>
      </c>
    </row>
    <row r="7" spans="1:7">
      <c r="A7" s="5" t="s">
        <v>150</v>
      </c>
      <c r="B7" s="133">
        <v>976</v>
      </c>
      <c r="D7" s="5" t="s">
        <v>156</v>
      </c>
      <c r="E7" s="56">
        <v>120.9</v>
      </c>
      <c r="F7" s="138">
        <v>345</v>
      </c>
      <c r="G7" s="132">
        <f>E7*F7</f>
        <v>41710.5</v>
      </c>
    </row>
    <row r="8" spans="1:7" ht="16" thickBot="1">
      <c r="A8" s="5" t="s">
        <v>151</v>
      </c>
      <c r="B8" s="133">
        <v>6</v>
      </c>
      <c r="D8" s="136" t="s">
        <v>157</v>
      </c>
      <c r="E8" s="139">
        <v>120.9</v>
      </c>
      <c r="F8" s="140">
        <v>40</v>
      </c>
      <c r="G8" s="141">
        <f>E8*F8</f>
        <v>4836</v>
      </c>
    </row>
    <row r="9" spans="1:7">
      <c r="A9" s="5" t="s">
        <v>152</v>
      </c>
      <c r="B9" s="134">
        <f>B6/B7</f>
        <v>1060.450819672131</v>
      </c>
    </row>
    <row r="10" spans="1:7">
      <c r="A10" s="5" t="s">
        <v>195</v>
      </c>
      <c r="B10" s="135">
        <f>B9/B8</f>
        <v>176.74180327868851</v>
      </c>
    </row>
    <row r="11" spans="1:7" ht="16" thickBot="1">
      <c r="A11" s="136" t="s">
        <v>153</v>
      </c>
      <c r="B11" s="137">
        <f>B10*7</f>
        <v>1237.1926229508194</v>
      </c>
    </row>
    <row r="14" spans="1:7" ht="16" thickBot="1"/>
    <row r="15" spans="1:7" ht="16" thickBot="1">
      <c r="A15" s="209" t="s">
        <v>196</v>
      </c>
      <c r="B15" s="210"/>
      <c r="D15" s="213" t="s">
        <v>192</v>
      </c>
      <c r="E15" s="214"/>
      <c r="F15" s="215"/>
    </row>
    <row r="16" spans="1:7">
      <c r="A16" s="7" t="s">
        <v>160</v>
      </c>
      <c r="B16" s="144">
        <f>G7</f>
        <v>41710.5</v>
      </c>
      <c r="D16" s="7" t="s">
        <v>193</v>
      </c>
      <c r="E16" s="52"/>
      <c r="F16" s="144">
        <f>G8</f>
        <v>4836</v>
      </c>
    </row>
    <row r="17" spans="1:7" ht="16" thickBot="1">
      <c r="A17" s="5" t="s">
        <v>158</v>
      </c>
      <c r="B17" s="134">
        <f>B11</f>
        <v>1237.1926229508194</v>
      </c>
      <c r="D17" s="7" t="s">
        <v>194</v>
      </c>
      <c r="E17" s="58"/>
      <c r="F17" s="145">
        <f>G8*10</f>
        <v>48360</v>
      </c>
      <c r="G17" s="163" t="s">
        <v>205</v>
      </c>
    </row>
    <row r="18" spans="1:7">
      <c r="A18" s="5" t="s">
        <v>159</v>
      </c>
      <c r="B18" s="134">
        <f>B16+B17</f>
        <v>42947.692622950817</v>
      </c>
    </row>
    <row r="19" spans="1:7">
      <c r="A19" s="5" t="s">
        <v>161</v>
      </c>
      <c r="B19" s="134">
        <f>B16*20</f>
        <v>834210</v>
      </c>
    </row>
    <row r="20" spans="1:7">
      <c r="A20" s="5" t="s">
        <v>161</v>
      </c>
      <c r="B20" s="134">
        <f>B17*20</f>
        <v>24743.852459016387</v>
      </c>
    </row>
    <row r="21" spans="1:7" ht="16" thickBot="1">
      <c r="A21" s="136" t="s">
        <v>162</v>
      </c>
      <c r="B21" s="137">
        <f>B19+B20</f>
        <v>858953.85245901637</v>
      </c>
      <c r="C21" s="163" t="s">
        <v>204</v>
      </c>
    </row>
    <row r="23" spans="1:7" ht="16" thickBot="1"/>
    <row r="24" spans="1:7" ht="16" thickBot="1">
      <c r="A24" s="209" t="s">
        <v>148</v>
      </c>
      <c r="B24" s="211"/>
      <c r="C24" s="212"/>
    </row>
    <row r="25" spans="1:7">
      <c r="A25" s="7" t="s">
        <v>195</v>
      </c>
      <c r="B25" s="52"/>
      <c r="C25" s="144">
        <f>B10</f>
        <v>176.74180327868851</v>
      </c>
    </row>
    <row r="26" spans="1:7" ht="16" thickBot="1">
      <c r="A26" s="136" t="s">
        <v>153</v>
      </c>
      <c r="B26" s="58"/>
      <c r="C26" s="145">
        <f>B11</f>
        <v>1237.1926229508194</v>
      </c>
    </row>
  </sheetData>
  <mergeCells count="5">
    <mergeCell ref="A5:B5"/>
    <mergeCell ref="D5:G5"/>
    <mergeCell ref="A15:B15"/>
    <mergeCell ref="D15:F15"/>
    <mergeCell ref="A24:C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90732-66E4-BC4E-BB9C-D2866F7DF21A}">
  <dimension ref="A1:M34"/>
  <sheetViews>
    <sheetView zoomScale="90" zoomScaleNormal="90" workbookViewId="0">
      <selection activeCell="J20" sqref="J20"/>
    </sheetView>
  </sheetViews>
  <sheetFormatPr baseColWidth="10" defaultColWidth="10.5" defaultRowHeight="15.5"/>
  <cols>
    <col min="2" max="2" width="15.33203125" customWidth="1"/>
    <col min="3" max="3" width="22.83203125" customWidth="1"/>
    <col min="4" max="12" width="15.5" bestFit="1" customWidth="1"/>
  </cols>
  <sheetData>
    <row r="1" spans="1:13" ht="21">
      <c r="A1" s="86" t="s">
        <v>123</v>
      </c>
    </row>
    <row r="4" spans="1:13" ht="16" thickBot="1"/>
    <row r="5" spans="1:13" ht="16" thickBot="1">
      <c r="B5" s="216" t="s">
        <v>56</v>
      </c>
      <c r="C5" s="217"/>
      <c r="D5" s="218"/>
    </row>
    <row r="6" spans="1:13">
      <c r="B6" s="146" t="s">
        <v>57</v>
      </c>
      <c r="C6" s="62"/>
      <c r="D6" s="147">
        <v>22</v>
      </c>
    </row>
    <row r="7" spans="1:13">
      <c r="B7" s="84" t="s">
        <v>58</v>
      </c>
      <c r="C7" s="52"/>
      <c r="D7" s="16">
        <v>7200000</v>
      </c>
    </row>
    <row r="8" spans="1:13">
      <c r="B8" s="82" t="s">
        <v>59</v>
      </c>
      <c r="C8" s="55"/>
      <c r="D8" s="16">
        <f>D7/D6</f>
        <v>327272.72727272729</v>
      </c>
    </row>
    <row r="9" spans="1:13">
      <c r="B9" s="82" t="s">
        <v>65</v>
      </c>
      <c r="C9" s="55"/>
      <c r="D9" s="83">
        <v>6</v>
      </c>
    </row>
    <row r="10" spans="1:13" ht="16" thickBot="1">
      <c r="B10" s="80" t="s">
        <v>60</v>
      </c>
      <c r="C10" s="79"/>
      <c r="D10" s="81">
        <f>D8*D9</f>
        <v>1963636.3636363638</v>
      </c>
      <c r="E10" t="s">
        <v>82</v>
      </c>
    </row>
    <row r="12" spans="1:13" ht="16" thickBot="1"/>
    <row r="13" spans="1:13" ht="16" thickBot="1">
      <c r="B13" s="216" t="s">
        <v>61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8"/>
    </row>
    <row r="14" spans="1:13">
      <c r="B14" s="53" t="s">
        <v>62</v>
      </c>
      <c r="C14" s="52">
        <v>1</v>
      </c>
      <c r="D14" s="52">
        <f>+C14+1</f>
        <v>2</v>
      </c>
      <c r="E14" s="52">
        <f t="shared" ref="E14:H14" si="0">+D14+1</f>
        <v>3</v>
      </c>
      <c r="F14" s="52">
        <f t="shared" si="0"/>
        <v>4</v>
      </c>
      <c r="G14" s="52">
        <f t="shared" si="0"/>
        <v>5</v>
      </c>
      <c r="H14" s="52">
        <f t="shared" si="0"/>
        <v>6</v>
      </c>
      <c r="I14" s="52">
        <f t="shared" ref="I14:L14" si="1">+H14+1</f>
        <v>7</v>
      </c>
      <c r="J14" s="52">
        <f t="shared" si="1"/>
        <v>8</v>
      </c>
      <c r="K14" s="52">
        <f t="shared" si="1"/>
        <v>9</v>
      </c>
      <c r="L14" s="143">
        <f t="shared" si="1"/>
        <v>10</v>
      </c>
    </row>
    <row r="15" spans="1:13">
      <c r="B15" s="48" t="s">
        <v>63</v>
      </c>
      <c r="C15" s="50">
        <f t="shared" ref="C15:H15" si="2">$D$8</f>
        <v>327272.72727272729</v>
      </c>
      <c r="D15" s="50">
        <f t="shared" si="2"/>
        <v>327272.72727272729</v>
      </c>
      <c r="E15" s="50">
        <f t="shared" si="2"/>
        <v>327272.72727272729</v>
      </c>
      <c r="F15" s="50">
        <f t="shared" si="2"/>
        <v>327272.72727272729</v>
      </c>
      <c r="G15" s="50">
        <f t="shared" si="2"/>
        <v>327272.72727272729</v>
      </c>
      <c r="H15" s="50">
        <f t="shared" si="2"/>
        <v>327272.72727272729</v>
      </c>
      <c r="I15" s="50">
        <f t="shared" ref="I15:L15" si="3">$D$8</f>
        <v>327272.72727272729</v>
      </c>
      <c r="J15" s="50">
        <f t="shared" si="3"/>
        <v>327272.72727272729</v>
      </c>
      <c r="K15" s="50">
        <f t="shared" si="3"/>
        <v>327272.72727272729</v>
      </c>
      <c r="L15" s="134">
        <f t="shared" si="3"/>
        <v>327272.72727272729</v>
      </c>
    </row>
    <row r="16" spans="1:13" ht="16" thickBot="1">
      <c r="B16" s="49" t="s">
        <v>64</v>
      </c>
      <c r="C16" s="51">
        <f t="shared" ref="C16:H16" si="4">+C15*$D$9</f>
        <v>1963636.3636363638</v>
      </c>
      <c r="D16" s="51">
        <f t="shared" si="4"/>
        <v>1963636.3636363638</v>
      </c>
      <c r="E16" s="51">
        <f t="shared" si="4"/>
        <v>1963636.3636363638</v>
      </c>
      <c r="F16" s="51">
        <f t="shared" si="4"/>
        <v>1963636.3636363638</v>
      </c>
      <c r="G16" s="51">
        <f t="shared" si="4"/>
        <v>1963636.3636363638</v>
      </c>
      <c r="H16" s="51">
        <f t="shared" si="4"/>
        <v>1963636.3636363638</v>
      </c>
      <c r="I16" s="51">
        <f t="shared" ref="I16:L16" si="5">+I15*$D$9</f>
        <v>1963636.3636363638</v>
      </c>
      <c r="J16" s="51">
        <f t="shared" si="5"/>
        <v>1963636.3636363638</v>
      </c>
      <c r="K16" s="51">
        <f t="shared" si="5"/>
        <v>1963636.3636363638</v>
      </c>
      <c r="L16" s="148">
        <f t="shared" si="5"/>
        <v>1963636.3636363638</v>
      </c>
      <c r="M16" s="163" t="s">
        <v>206</v>
      </c>
    </row>
    <row r="17" spans="2:13">
      <c r="M17" s="164"/>
    </row>
    <row r="18" spans="2:13">
      <c r="M18" s="164"/>
    </row>
    <row r="19" spans="2:13">
      <c r="M19" s="164"/>
    </row>
    <row r="20" spans="2:13">
      <c r="B20" s="76" t="s">
        <v>101</v>
      </c>
      <c r="M20" s="164"/>
    </row>
    <row r="21" spans="2:13">
      <c r="B21" t="s">
        <v>127</v>
      </c>
      <c r="M21" s="164"/>
    </row>
    <row r="22" spans="2:13">
      <c r="B22" t="s">
        <v>189</v>
      </c>
      <c r="M22" s="164"/>
    </row>
    <row r="23" spans="2:13">
      <c r="B23" t="s">
        <v>104</v>
      </c>
      <c r="M23" s="164"/>
    </row>
    <row r="24" spans="2:13">
      <c r="B24" t="s">
        <v>102</v>
      </c>
      <c r="M24" s="164"/>
    </row>
    <row r="25" spans="2:13">
      <c r="B25" t="s">
        <v>103</v>
      </c>
      <c r="M25" s="164"/>
    </row>
    <row r="26" spans="2:13">
      <c r="M26" s="164"/>
    </row>
    <row r="27" spans="2:13">
      <c r="B27" t="s">
        <v>105</v>
      </c>
      <c r="M27" s="164"/>
    </row>
    <row r="28" spans="2:13">
      <c r="B28" t="s">
        <v>106</v>
      </c>
      <c r="E28" s="78">
        <v>0.1</v>
      </c>
      <c r="F28" t="s">
        <v>107</v>
      </c>
      <c r="M28" s="164"/>
    </row>
    <row r="29" spans="2:13">
      <c r="E29" s="78"/>
      <c r="M29" s="164"/>
    </row>
    <row r="30" spans="2:13" ht="16" thickBot="1">
      <c r="E30" s="78"/>
      <c r="M30" s="164"/>
    </row>
    <row r="31" spans="2:13" ht="16" thickBot="1">
      <c r="B31" s="216" t="s">
        <v>61</v>
      </c>
      <c r="C31" s="217"/>
      <c r="D31" s="217"/>
      <c r="E31" s="217"/>
      <c r="F31" s="217"/>
      <c r="G31" s="217"/>
      <c r="H31" s="217"/>
      <c r="I31" s="217"/>
      <c r="J31" s="217"/>
      <c r="K31" s="217"/>
      <c r="L31" s="218"/>
      <c r="M31" s="164"/>
    </row>
    <row r="32" spans="2:13">
      <c r="B32" s="53" t="s">
        <v>62</v>
      </c>
      <c r="C32" s="52">
        <v>1</v>
      </c>
      <c r="D32" s="52">
        <f>+C32+1</f>
        <v>2</v>
      </c>
      <c r="E32" s="52">
        <f t="shared" ref="E32:L32" si="6">+D32+1</f>
        <v>3</v>
      </c>
      <c r="F32" s="52">
        <f t="shared" si="6"/>
        <v>4</v>
      </c>
      <c r="G32" s="52">
        <f t="shared" si="6"/>
        <v>5</v>
      </c>
      <c r="H32" s="52">
        <f t="shared" si="6"/>
        <v>6</v>
      </c>
      <c r="I32" s="52">
        <f t="shared" si="6"/>
        <v>7</v>
      </c>
      <c r="J32" s="52">
        <f t="shared" si="6"/>
        <v>8</v>
      </c>
      <c r="K32" s="52">
        <f t="shared" si="6"/>
        <v>9</v>
      </c>
      <c r="L32" s="143">
        <f t="shared" si="6"/>
        <v>10</v>
      </c>
      <c r="M32" s="164"/>
    </row>
    <row r="33" spans="2:13">
      <c r="B33" s="48" t="s">
        <v>63</v>
      </c>
      <c r="C33" s="50">
        <f t="shared" ref="C33:H33" si="7">$D$8</f>
        <v>327272.72727272729</v>
      </c>
      <c r="D33" s="50">
        <f t="shared" si="7"/>
        <v>327272.72727272729</v>
      </c>
      <c r="E33" s="50">
        <f t="shared" si="7"/>
        <v>327272.72727272729</v>
      </c>
      <c r="F33" s="50">
        <f t="shared" si="7"/>
        <v>327272.72727272729</v>
      </c>
      <c r="G33" s="50">
        <f t="shared" si="7"/>
        <v>327272.72727272729</v>
      </c>
      <c r="H33" s="50">
        <f t="shared" si="7"/>
        <v>327272.72727272729</v>
      </c>
      <c r="I33" s="50">
        <f t="shared" ref="I33:L33" si="8">$D$8</f>
        <v>327272.72727272729</v>
      </c>
      <c r="J33" s="50">
        <f t="shared" si="8"/>
        <v>327272.72727272729</v>
      </c>
      <c r="K33" s="50">
        <f t="shared" si="8"/>
        <v>327272.72727272729</v>
      </c>
      <c r="L33" s="134">
        <f t="shared" si="8"/>
        <v>327272.72727272729</v>
      </c>
      <c r="M33" s="164"/>
    </row>
    <row r="34" spans="2:13" ht="16" thickBot="1">
      <c r="B34" s="49" t="s">
        <v>64</v>
      </c>
      <c r="C34" s="51">
        <f t="shared" ref="C34:L34" si="9">+C16*(1-$E$28)</f>
        <v>1767272.7272727275</v>
      </c>
      <c r="D34" s="51">
        <f t="shared" si="9"/>
        <v>1767272.7272727275</v>
      </c>
      <c r="E34" s="51">
        <f t="shared" si="9"/>
        <v>1767272.7272727275</v>
      </c>
      <c r="F34" s="51">
        <f t="shared" si="9"/>
        <v>1767272.7272727275</v>
      </c>
      <c r="G34" s="51">
        <f t="shared" si="9"/>
        <v>1767272.7272727275</v>
      </c>
      <c r="H34" s="51">
        <f t="shared" si="9"/>
        <v>1767272.7272727275</v>
      </c>
      <c r="I34" s="51">
        <f t="shared" si="9"/>
        <v>1767272.7272727275</v>
      </c>
      <c r="J34" s="51">
        <f t="shared" si="9"/>
        <v>1767272.7272727275</v>
      </c>
      <c r="K34" s="51">
        <f t="shared" si="9"/>
        <v>1767272.7272727275</v>
      </c>
      <c r="L34" s="148">
        <f t="shared" si="9"/>
        <v>1767272.7272727275</v>
      </c>
      <c r="M34" s="163" t="s">
        <v>207</v>
      </c>
    </row>
  </sheetData>
  <mergeCells count="3">
    <mergeCell ref="B13:L13"/>
    <mergeCell ref="B5:D5"/>
    <mergeCell ref="B31:L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D2334-BAEA-854B-A278-37213E880832}">
  <dimension ref="A1:M37"/>
  <sheetViews>
    <sheetView zoomScale="90" zoomScaleNormal="90" workbookViewId="0">
      <selection activeCell="I40" sqref="I40"/>
    </sheetView>
  </sheetViews>
  <sheetFormatPr baseColWidth="10" defaultColWidth="10.5" defaultRowHeight="15.5"/>
  <cols>
    <col min="2" max="2" width="21.5" bestFit="1" customWidth="1"/>
    <col min="3" max="4" width="16" bestFit="1" customWidth="1"/>
    <col min="5" max="13" width="15.5" bestFit="1" customWidth="1"/>
  </cols>
  <sheetData>
    <row r="1" spans="1:13" ht="21">
      <c r="A1" s="86" t="s">
        <v>124</v>
      </c>
    </row>
    <row r="5" spans="1:13" ht="16" thickBot="1"/>
    <row r="6" spans="1:13" ht="16" thickBot="1">
      <c r="B6" s="65" t="s">
        <v>80</v>
      </c>
      <c r="C6" s="71"/>
      <c r="D6" s="61">
        <v>1</v>
      </c>
      <c r="E6" s="61">
        <f>+D6+1</f>
        <v>2</v>
      </c>
      <c r="F6" s="61">
        <f t="shared" ref="F6:M6" si="0">+E6+1</f>
        <v>3</v>
      </c>
      <c r="G6" s="61">
        <f t="shared" si="0"/>
        <v>4</v>
      </c>
      <c r="H6" s="61">
        <f t="shared" si="0"/>
        <v>5</v>
      </c>
      <c r="I6" s="61">
        <f t="shared" si="0"/>
        <v>6</v>
      </c>
      <c r="J6" s="61">
        <f t="shared" si="0"/>
        <v>7</v>
      </c>
      <c r="K6" s="61">
        <f t="shared" si="0"/>
        <v>8</v>
      </c>
      <c r="L6" s="61">
        <f t="shared" si="0"/>
        <v>9</v>
      </c>
      <c r="M6" s="61">
        <f t="shared" si="0"/>
        <v>10</v>
      </c>
    </row>
    <row r="7" spans="1:13">
      <c r="B7" s="66" t="s">
        <v>77</v>
      </c>
      <c r="C7" s="62"/>
      <c r="D7" s="59">
        <f>-'3. Kurs'!E11</f>
        <v>-778000</v>
      </c>
      <c r="E7" s="59">
        <f>-'3. Kurs'!E16</f>
        <v>-778000</v>
      </c>
      <c r="F7" s="59">
        <f>+E7</f>
        <v>-778000</v>
      </c>
      <c r="G7" s="59">
        <f t="shared" ref="G7:M9" si="1">+F7</f>
        <v>-778000</v>
      </c>
      <c r="H7" s="59">
        <f t="shared" si="1"/>
        <v>-778000</v>
      </c>
      <c r="I7" s="59">
        <f t="shared" si="1"/>
        <v>-778000</v>
      </c>
      <c r="J7" s="59">
        <f t="shared" si="1"/>
        <v>-778000</v>
      </c>
      <c r="K7" s="59">
        <f t="shared" si="1"/>
        <v>-778000</v>
      </c>
      <c r="L7" s="59">
        <f t="shared" si="1"/>
        <v>-778000</v>
      </c>
      <c r="M7" s="59">
        <f t="shared" si="1"/>
        <v>-778000</v>
      </c>
    </row>
    <row r="8" spans="1:13">
      <c r="B8" s="88" t="s">
        <v>78</v>
      </c>
      <c r="C8" s="63"/>
      <c r="D8" s="56">
        <f>-'4. Lønn alt. A'!H11</f>
        <v>-2187600</v>
      </c>
      <c r="E8" s="56">
        <f>+D8</f>
        <v>-2187600</v>
      </c>
      <c r="F8" s="56">
        <f t="shared" ref="F8" si="2">+E8</f>
        <v>-2187600</v>
      </c>
      <c r="G8" s="56">
        <f t="shared" si="1"/>
        <v>-2187600</v>
      </c>
      <c r="H8" s="56">
        <f t="shared" si="1"/>
        <v>-2187600</v>
      </c>
      <c r="I8" s="56">
        <f t="shared" si="1"/>
        <v>-2187600</v>
      </c>
      <c r="J8" s="56">
        <f t="shared" si="1"/>
        <v>-2187600</v>
      </c>
      <c r="K8" s="56">
        <f t="shared" si="1"/>
        <v>-2187600</v>
      </c>
      <c r="L8" s="56">
        <f t="shared" si="1"/>
        <v>-2187600</v>
      </c>
      <c r="M8" s="56">
        <f t="shared" si="1"/>
        <v>-2187600</v>
      </c>
    </row>
    <row r="9" spans="1:13">
      <c r="B9" s="66" t="s">
        <v>66</v>
      </c>
      <c r="C9" s="63"/>
      <c r="D9" s="56">
        <f>-'7. Vedlikehold'!C16</f>
        <v>-1963636.3636363638</v>
      </c>
      <c r="E9" s="56">
        <f>+D9</f>
        <v>-1963636.3636363638</v>
      </c>
      <c r="F9" s="56">
        <f t="shared" ref="F9" si="3">+E9</f>
        <v>-1963636.3636363638</v>
      </c>
      <c r="G9" s="56">
        <f t="shared" si="1"/>
        <v>-1963636.3636363638</v>
      </c>
      <c r="H9" s="56">
        <f t="shared" si="1"/>
        <v>-1963636.3636363638</v>
      </c>
      <c r="I9" s="56">
        <f t="shared" si="1"/>
        <v>-1963636.3636363638</v>
      </c>
      <c r="J9" s="56">
        <f t="shared" si="1"/>
        <v>-1963636.3636363638</v>
      </c>
      <c r="K9" s="56">
        <f t="shared" si="1"/>
        <v>-1963636.3636363638</v>
      </c>
      <c r="L9" s="56">
        <f t="shared" si="1"/>
        <v>-1963636.3636363638</v>
      </c>
      <c r="M9" s="56">
        <f t="shared" si="1"/>
        <v>-1963636.3636363638</v>
      </c>
    </row>
    <row r="10" spans="1:13">
      <c r="B10" s="66" t="s">
        <v>79</v>
      </c>
      <c r="C10" s="63"/>
      <c r="D10" s="56">
        <f>-'6. Kost og reise'!B21</f>
        <v>-858953.85245901637</v>
      </c>
      <c r="E10" s="56">
        <f>D10</f>
        <v>-858953.85245901637</v>
      </c>
      <c r="F10" s="56">
        <f t="shared" ref="F10:M10" si="4">E10</f>
        <v>-858953.85245901637</v>
      </c>
      <c r="G10" s="56">
        <f t="shared" si="4"/>
        <v>-858953.85245901637</v>
      </c>
      <c r="H10" s="56">
        <f t="shared" si="4"/>
        <v>-858953.85245901637</v>
      </c>
      <c r="I10" s="56">
        <f t="shared" si="4"/>
        <v>-858953.85245901637</v>
      </c>
      <c r="J10" s="56">
        <f t="shared" si="4"/>
        <v>-858953.85245901637</v>
      </c>
      <c r="K10" s="56">
        <f t="shared" si="4"/>
        <v>-858953.85245901637</v>
      </c>
      <c r="L10" s="56">
        <f t="shared" si="4"/>
        <v>-858953.85245901637</v>
      </c>
      <c r="M10" s="56">
        <f t="shared" si="4"/>
        <v>-858953.85245901637</v>
      </c>
    </row>
    <row r="11" spans="1:13" hidden="1">
      <c r="B11" s="67" t="s">
        <v>67</v>
      </c>
      <c r="C11" s="64"/>
      <c r="D11" s="57">
        <f>SUM(D7:D10)</f>
        <v>-5788190.2160953796</v>
      </c>
      <c r="E11" s="57">
        <f t="shared" ref="E11:L11" si="5">SUM(E7:E10)</f>
        <v>-5788190.2160953796</v>
      </c>
      <c r="F11" s="57">
        <f t="shared" si="5"/>
        <v>-5788190.2160953796</v>
      </c>
      <c r="G11" s="57">
        <f t="shared" si="5"/>
        <v>-5788190.2160953796</v>
      </c>
      <c r="H11" s="57">
        <f t="shared" si="5"/>
        <v>-5788190.2160953796</v>
      </c>
      <c r="I11" s="57">
        <f t="shared" si="5"/>
        <v>-5788190.2160953796</v>
      </c>
      <c r="J11" s="57">
        <f t="shared" si="5"/>
        <v>-5788190.2160953796</v>
      </c>
      <c r="K11" s="57">
        <f t="shared" si="5"/>
        <v>-5788190.2160953796</v>
      </c>
      <c r="L11" s="57">
        <f t="shared" si="5"/>
        <v>-5788190.2160953796</v>
      </c>
      <c r="M11" s="57">
        <f t="shared" ref="M11" si="6">SUM(M7:M10)</f>
        <v>-5788190.2160953796</v>
      </c>
    </row>
    <row r="12" spans="1:13" hidden="1">
      <c r="B12" s="66" t="s">
        <v>68</v>
      </c>
      <c r="C12" s="63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idden="1">
      <c r="B13" s="67" t="s">
        <v>69</v>
      </c>
      <c r="C13" s="64"/>
      <c r="D13" s="57">
        <f>SUM(D11:D12)</f>
        <v>-5788190.2160953796</v>
      </c>
      <c r="E13" s="57">
        <f>SUM(E11:E12)</f>
        <v>-5788190.2160953796</v>
      </c>
      <c r="F13" s="57">
        <f t="shared" ref="F13:L13" si="7">SUM(F11:F12)</f>
        <v>-5788190.2160953796</v>
      </c>
      <c r="G13" s="57">
        <f t="shared" si="7"/>
        <v>-5788190.2160953796</v>
      </c>
      <c r="H13" s="57">
        <f t="shared" si="7"/>
        <v>-5788190.2160953796</v>
      </c>
      <c r="I13" s="57">
        <f t="shared" si="7"/>
        <v>-5788190.2160953796</v>
      </c>
      <c r="J13" s="57">
        <f t="shared" si="7"/>
        <v>-5788190.2160953796</v>
      </c>
      <c r="K13" s="57">
        <f t="shared" si="7"/>
        <v>-5788190.2160953796</v>
      </c>
      <c r="L13" s="57">
        <f t="shared" si="7"/>
        <v>-5788190.2160953796</v>
      </c>
      <c r="M13" s="57">
        <f t="shared" ref="M13" si="8">SUM(M11:M12)</f>
        <v>-5788190.2160953796</v>
      </c>
    </row>
    <row r="14" spans="1:13" hidden="1">
      <c r="B14" s="66" t="s">
        <v>70</v>
      </c>
      <c r="C14" s="63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hidden="1">
      <c r="B15" s="66" t="s">
        <v>71</v>
      </c>
      <c r="C15" s="63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hidden="1">
      <c r="B16" s="66" t="s">
        <v>81</v>
      </c>
      <c r="C16" s="63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2:13" hidden="1">
      <c r="B17" s="66" t="s">
        <v>73</v>
      </c>
      <c r="C17" s="63"/>
      <c r="E17" s="56"/>
      <c r="F17" s="56"/>
      <c r="G17" s="56"/>
      <c r="H17" s="56"/>
      <c r="I17" s="56"/>
      <c r="J17" s="56"/>
      <c r="K17" s="56"/>
      <c r="L17" s="56"/>
      <c r="M17" s="56"/>
    </row>
    <row r="18" spans="2:13">
      <c r="B18" s="67" t="s">
        <v>74</v>
      </c>
      <c r="C18" s="64"/>
      <c r="D18" s="57">
        <f>SUM(D7:D10)</f>
        <v>-5788190.2160953796</v>
      </c>
      <c r="E18" s="57">
        <f t="shared" ref="E18:M18" si="9">SUM(E7:E10)</f>
        <v>-5788190.2160953796</v>
      </c>
      <c r="F18" s="57">
        <f t="shared" si="9"/>
        <v>-5788190.2160953796</v>
      </c>
      <c r="G18" s="57">
        <f t="shared" si="9"/>
        <v>-5788190.2160953796</v>
      </c>
      <c r="H18" s="57">
        <f t="shared" si="9"/>
        <v>-5788190.2160953796</v>
      </c>
      <c r="I18" s="57">
        <f t="shared" si="9"/>
        <v>-5788190.2160953796</v>
      </c>
      <c r="J18" s="57">
        <f t="shared" si="9"/>
        <v>-5788190.2160953796</v>
      </c>
      <c r="K18" s="57">
        <f t="shared" si="9"/>
        <v>-5788190.2160953796</v>
      </c>
      <c r="L18" s="57">
        <f t="shared" si="9"/>
        <v>-5788190.2160953796</v>
      </c>
      <c r="M18" s="57">
        <f t="shared" si="9"/>
        <v>-5788190.2160953796</v>
      </c>
    </row>
    <row r="19" spans="2:13">
      <c r="B19" s="66"/>
      <c r="C19" s="63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2:13">
      <c r="B20" s="66" t="s">
        <v>75</v>
      </c>
      <c r="C20" s="73">
        <v>0.01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2:13" ht="16" thickBot="1">
      <c r="B21" s="68" t="s">
        <v>76</v>
      </c>
      <c r="C21" s="85">
        <f>NPV(C20,D18:M18)</f>
        <v>-54821712.218267247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4" spans="2:13">
      <c r="B24" s="76" t="s">
        <v>108</v>
      </c>
    </row>
    <row r="25" spans="2:13">
      <c r="B25" t="s">
        <v>109</v>
      </c>
    </row>
    <row r="27" spans="2:13" ht="16" thickBot="1">
      <c r="B27" t="s">
        <v>213</v>
      </c>
    </row>
    <row r="28" spans="2:13">
      <c r="B28" s="149" t="s">
        <v>75</v>
      </c>
      <c r="C28" s="150"/>
      <c r="D28" s="150">
        <v>1.01</v>
      </c>
      <c r="E28" s="150">
        <f>+$D$28^E6</f>
        <v>1.0201</v>
      </c>
      <c r="F28" s="150">
        <f t="shared" ref="F28:M28" si="10">+$D$28^F6</f>
        <v>1.0303009999999999</v>
      </c>
      <c r="G28" s="150">
        <f t="shared" si="10"/>
        <v>1.04060401</v>
      </c>
      <c r="H28" s="150">
        <f t="shared" si="10"/>
        <v>1.0510100500999999</v>
      </c>
      <c r="I28" s="150">
        <f t="shared" si="10"/>
        <v>1.0615201506010001</v>
      </c>
      <c r="J28" s="150">
        <f t="shared" si="10"/>
        <v>1.0721353521070098</v>
      </c>
      <c r="K28" s="150">
        <f t="shared" si="10"/>
        <v>1.0828567056280802</v>
      </c>
      <c r="L28" s="150">
        <f t="shared" si="10"/>
        <v>1.0936852726843611</v>
      </c>
      <c r="M28" s="151">
        <f t="shared" si="10"/>
        <v>1.1046221254112047</v>
      </c>
    </row>
    <row r="29" spans="2:13" ht="16" thickBot="1">
      <c r="B29" s="136" t="s">
        <v>76</v>
      </c>
      <c r="C29" s="152">
        <f>SUM(D29:M29)</f>
        <v>-54821712.218267255</v>
      </c>
      <c r="D29" s="153">
        <f>+D18/D28</f>
        <v>-5730881.4020746332</v>
      </c>
      <c r="E29" s="153">
        <f t="shared" ref="E29:M29" si="11">+E18/E28</f>
        <v>-5674140.0020540925</v>
      </c>
      <c r="F29" s="153">
        <f t="shared" si="11"/>
        <v>-5617960.3980733594</v>
      </c>
      <c r="G29" s="153">
        <f t="shared" si="11"/>
        <v>-5562337.0277954042</v>
      </c>
      <c r="H29" s="153">
        <f t="shared" si="11"/>
        <v>-5507264.3839558465</v>
      </c>
      <c r="I29" s="153">
        <f t="shared" si="11"/>
        <v>-5452737.0138176689</v>
      </c>
      <c r="J29" s="153">
        <f t="shared" si="11"/>
        <v>-5398749.5186313568</v>
      </c>
      <c r="K29" s="153">
        <f t="shared" si="11"/>
        <v>-5345296.5531003522</v>
      </c>
      <c r="L29" s="153">
        <f t="shared" si="11"/>
        <v>-5292372.8248518333</v>
      </c>
      <c r="M29" s="154">
        <f t="shared" si="11"/>
        <v>-5239973.0939127058</v>
      </c>
    </row>
    <row r="37" spans="5:5">
      <c r="E37" t="s">
        <v>130</v>
      </c>
    </row>
  </sheetData>
  <pageMargins left="0.7" right="0.7" top="0.75" bottom="0.75" header="0.3" footer="0.3"/>
  <ignoredErrors>
    <ignoredError sqref="D11:M1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13B51-7C1D-E640-BEA8-6A6D2FEC817B}">
  <dimension ref="A1:M29"/>
  <sheetViews>
    <sheetView zoomScale="90" zoomScaleNormal="90" workbookViewId="0">
      <selection activeCell="K36" sqref="K36"/>
    </sheetView>
  </sheetViews>
  <sheetFormatPr baseColWidth="10" defaultColWidth="10.5" defaultRowHeight="15.5"/>
  <cols>
    <col min="2" max="2" width="14.83203125" customWidth="1"/>
    <col min="3" max="3" width="16" customWidth="1"/>
    <col min="4" max="4" width="16.5" customWidth="1"/>
    <col min="5" max="5" width="15.83203125" customWidth="1"/>
    <col min="6" max="6" width="16.5" customWidth="1"/>
    <col min="7" max="7" width="17.5" customWidth="1"/>
    <col min="8" max="8" width="15.5" customWidth="1"/>
    <col min="9" max="10" width="15.33203125" customWidth="1"/>
    <col min="11" max="13" width="15.5" bestFit="1" customWidth="1"/>
  </cols>
  <sheetData>
    <row r="1" spans="1:13" ht="21">
      <c r="A1" s="86" t="s">
        <v>125</v>
      </c>
    </row>
    <row r="2" spans="1:13" ht="15.75" customHeight="1">
      <c r="A2" s="86"/>
    </row>
    <row r="3" spans="1:13" ht="15.75" customHeight="1">
      <c r="A3" s="86"/>
    </row>
    <row r="4" spans="1:13" ht="15.75" customHeight="1">
      <c r="A4" s="86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16" thickBot="1"/>
    <row r="6" spans="1:13" ht="16" thickBot="1">
      <c r="B6" s="65" t="s">
        <v>80</v>
      </c>
      <c r="C6" s="60"/>
      <c r="D6" s="61">
        <v>1</v>
      </c>
      <c r="E6" s="61">
        <f>1+D6</f>
        <v>2</v>
      </c>
      <c r="F6" s="61">
        <f t="shared" ref="F6:M6" si="0">1+E6</f>
        <v>3</v>
      </c>
      <c r="G6" s="61">
        <f t="shared" si="0"/>
        <v>4</v>
      </c>
      <c r="H6" s="61">
        <f t="shared" si="0"/>
        <v>5</v>
      </c>
      <c r="I6" s="61">
        <f t="shared" si="0"/>
        <v>6</v>
      </c>
      <c r="J6" s="61">
        <f t="shared" si="0"/>
        <v>7</v>
      </c>
      <c r="K6" s="61">
        <f t="shared" si="0"/>
        <v>8</v>
      </c>
      <c r="L6" s="61">
        <f t="shared" si="0"/>
        <v>9</v>
      </c>
      <c r="M6" s="61">
        <f t="shared" si="0"/>
        <v>10</v>
      </c>
    </row>
    <row r="7" spans="1:13">
      <c r="B7" s="66" t="s">
        <v>77</v>
      </c>
      <c r="C7" s="62"/>
      <c r="D7" s="59">
        <f>-'3. Kurs'!E12</f>
        <v>-389000</v>
      </c>
      <c r="E7" s="59">
        <f>-'3. Kurs'!E17</f>
        <v>-38900</v>
      </c>
      <c r="F7" s="59">
        <f>+E7</f>
        <v>-38900</v>
      </c>
      <c r="G7" s="59">
        <f t="shared" ref="G7:M8" si="1">+F7</f>
        <v>-38900</v>
      </c>
      <c r="H7" s="59">
        <f t="shared" si="1"/>
        <v>-38900</v>
      </c>
      <c r="I7" s="59">
        <f t="shared" si="1"/>
        <v>-38900</v>
      </c>
      <c r="J7" s="59">
        <f t="shared" si="1"/>
        <v>-38900</v>
      </c>
      <c r="K7" s="59">
        <f t="shared" si="1"/>
        <v>-38900</v>
      </c>
      <c r="L7" s="59">
        <f t="shared" si="1"/>
        <v>-38900</v>
      </c>
      <c r="M7" s="59">
        <f t="shared" si="1"/>
        <v>-38900</v>
      </c>
    </row>
    <row r="8" spans="1:13">
      <c r="B8" s="66" t="s">
        <v>78</v>
      </c>
      <c r="C8" s="63"/>
      <c r="D8" s="56">
        <f>-'5. Lønn alt. B'!C18</f>
        <v>-4457859.9999999991</v>
      </c>
      <c r="E8" s="56">
        <f>+D8</f>
        <v>-4457859.9999999991</v>
      </c>
      <c r="F8" s="56">
        <f t="shared" ref="F8" si="2">+E8</f>
        <v>-4457859.9999999991</v>
      </c>
      <c r="G8" s="56">
        <f t="shared" si="1"/>
        <v>-4457859.9999999991</v>
      </c>
      <c r="H8" s="56">
        <f t="shared" si="1"/>
        <v>-4457859.9999999991</v>
      </c>
      <c r="I8" s="56">
        <f t="shared" si="1"/>
        <v>-4457859.9999999991</v>
      </c>
      <c r="J8" s="56">
        <f t="shared" si="1"/>
        <v>-4457859.9999999991</v>
      </c>
      <c r="K8" s="56">
        <f t="shared" si="1"/>
        <v>-4457859.9999999991</v>
      </c>
      <c r="L8" s="56">
        <f t="shared" si="1"/>
        <v>-4457859.9999999991</v>
      </c>
      <c r="M8" s="56">
        <f t="shared" si="1"/>
        <v>-4457859.9999999991</v>
      </c>
    </row>
    <row r="9" spans="1:13">
      <c r="B9" s="88" t="s">
        <v>66</v>
      </c>
      <c r="C9" s="63"/>
      <c r="D9" s="56">
        <f>-'7. Vedlikehold'!C34</f>
        <v>-1767272.7272727275</v>
      </c>
      <c r="E9" s="56">
        <f>-'7. Vedlikehold'!D34</f>
        <v>-1767272.7272727275</v>
      </c>
      <c r="F9" s="56">
        <f>-'7. Vedlikehold'!E34</f>
        <v>-1767272.7272727275</v>
      </c>
      <c r="G9" s="56">
        <f>-'7. Vedlikehold'!F34</f>
        <v>-1767272.7272727275</v>
      </c>
      <c r="H9" s="56">
        <f>-'7. Vedlikehold'!G34</f>
        <v>-1767272.7272727275</v>
      </c>
      <c r="I9" s="56">
        <f>-'7. Vedlikehold'!H34</f>
        <v>-1767272.7272727275</v>
      </c>
      <c r="J9" s="56">
        <f>-'7. Vedlikehold'!I34</f>
        <v>-1767272.7272727275</v>
      </c>
      <c r="K9" s="56">
        <f>-'7. Vedlikehold'!J34</f>
        <v>-1767272.7272727275</v>
      </c>
      <c r="L9" s="56">
        <f>-'7. Vedlikehold'!K34</f>
        <v>-1767272.7272727275</v>
      </c>
      <c r="M9" s="56">
        <f>-'7. Vedlikehold'!L34</f>
        <v>-1767272.7272727275</v>
      </c>
    </row>
    <row r="10" spans="1:13" ht="16.5" customHeight="1">
      <c r="B10" s="66" t="s">
        <v>79</v>
      </c>
      <c r="C10" s="63"/>
      <c r="D10" s="56">
        <f>-'6. Kost og reise'!F17</f>
        <v>-48360</v>
      </c>
      <c r="E10" s="56">
        <f>D10</f>
        <v>-48360</v>
      </c>
      <c r="F10" s="56">
        <f t="shared" ref="F10:M10" si="3">E10</f>
        <v>-48360</v>
      </c>
      <c r="G10" s="56">
        <f t="shared" si="3"/>
        <v>-48360</v>
      </c>
      <c r="H10" s="56">
        <f t="shared" si="3"/>
        <v>-48360</v>
      </c>
      <c r="I10" s="56">
        <f t="shared" si="3"/>
        <v>-48360</v>
      </c>
      <c r="J10" s="56">
        <f t="shared" si="3"/>
        <v>-48360</v>
      </c>
      <c r="K10" s="56">
        <f t="shared" si="3"/>
        <v>-48360</v>
      </c>
      <c r="L10" s="56">
        <f t="shared" si="3"/>
        <v>-48360</v>
      </c>
      <c r="M10" s="56">
        <f t="shared" si="3"/>
        <v>-48360</v>
      </c>
    </row>
    <row r="11" spans="1:13" hidden="1">
      <c r="B11" s="67" t="s">
        <v>67</v>
      </c>
      <c r="C11" s="64"/>
      <c r="D11" s="57">
        <f>SUM(D7:D10)</f>
        <v>-6662492.7272727266</v>
      </c>
      <c r="E11" s="57">
        <f t="shared" ref="E11:L11" si="4">SUM(E7:E10)</f>
        <v>-6312392.7272727266</v>
      </c>
      <c r="F11" s="57">
        <f t="shared" si="4"/>
        <v>-6312392.7272727266</v>
      </c>
      <c r="G11" s="57">
        <f t="shared" si="4"/>
        <v>-6312392.7272727266</v>
      </c>
      <c r="H11" s="57">
        <f t="shared" si="4"/>
        <v>-6312392.7272727266</v>
      </c>
      <c r="I11" s="57">
        <f t="shared" si="4"/>
        <v>-6312392.7272727266</v>
      </c>
      <c r="J11" s="57">
        <f t="shared" si="4"/>
        <v>-6312392.7272727266</v>
      </c>
      <c r="K11" s="57">
        <f t="shared" si="4"/>
        <v>-6312392.7272727266</v>
      </c>
      <c r="L11" s="57">
        <f t="shared" si="4"/>
        <v>-6312392.7272727266</v>
      </c>
      <c r="M11" s="57">
        <f t="shared" ref="M11" si="5">SUM(M7:M10)</f>
        <v>-6312392.7272727266</v>
      </c>
    </row>
    <row r="12" spans="1:13" hidden="1">
      <c r="B12" s="66" t="s">
        <v>68</v>
      </c>
      <c r="C12" s="63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idden="1">
      <c r="B13" s="67" t="s">
        <v>69</v>
      </c>
      <c r="C13" s="64"/>
      <c r="D13" s="57">
        <f>SUM(D11:D12)</f>
        <v>-6662492.7272727266</v>
      </c>
      <c r="E13" s="57">
        <f>SUM(E11:E12)</f>
        <v>-6312392.7272727266</v>
      </c>
      <c r="F13" s="57">
        <f t="shared" ref="F13:M13" si="6">SUM(F11:F12)</f>
        <v>-6312392.7272727266</v>
      </c>
      <c r="G13" s="57">
        <f t="shared" si="6"/>
        <v>-6312392.7272727266</v>
      </c>
      <c r="H13" s="57">
        <f t="shared" si="6"/>
        <v>-6312392.7272727266</v>
      </c>
      <c r="I13" s="57">
        <f t="shared" si="6"/>
        <v>-6312392.7272727266</v>
      </c>
      <c r="J13" s="57">
        <f t="shared" si="6"/>
        <v>-6312392.7272727266</v>
      </c>
      <c r="K13" s="57">
        <f t="shared" si="6"/>
        <v>-6312392.7272727266</v>
      </c>
      <c r="L13" s="57">
        <f t="shared" si="6"/>
        <v>-6312392.7272727266</v>
      </c>
      <c r="M13" s="57">
        <f t="shared" si="6"/>
        <v>-6312392.7272727266</v>
      </c>
    </row>
    <row r="14" spans="1:13" hidden="1">
      <c r="B14" s="66" t="s">
        <v>70</v>
      </c>
      <c r="C14" s="63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hidden="1">
      <c r="B15" s="66" t="s">
        <v>71</v>
      </c>
      <c r="C15" s="63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hidden="1">
      <c r="B16" s="66" t="s">
        <v>72</v>
      </c>
      <c r="C16" s="63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2:13" hidden="1">
      <c r="B17" s="66" t="s">
        <v>73</v>
      </c>
      <c r="C17" s="63"/>
      <c r="E17" s="56"/>
      <c r="F17" s="56"/>
      <c r="G17" s="56"/>
      <c r="H17" s="56"/>
      <c r="I17" s="56"/>
      <c r="J17" s="56"/>
      <c r="K17" s="56"/>
      <c r="L17" s="56"/>
      <c r="M17" s="56"/>
    </row>
    <row r="18" spans="2:13">
      <c r="B18" s="67" t="s">
        <v>74</v>
      </c>
      <c r="C18" s="64"/>
      <c r="D18" s="57">
        <f>SUM(D7:D10)</f>
        <v>-6662492.7272727266</v>
      </c>
      <c r="E18" s="57">
        <f t="shared" ref="E18:M18" si="7">SUM(E7:E10)</f>
        <v>-6312392.7272727266</v>
      </c>
      <c r="F18" s="57">
        <f t="shared" si="7"/>
        <v>-6312392.7272727266</v>
      </c>
      <c r="G18" s="57">
        <f t="shared" si="7"/>
        <v>-6312392.7272727266</v>
      </c>
      <c r="H18" s="57">
        <f t="shared" si="7"/>
        <v>-6312392.7272727266</v>
      </c>
      <c r="I18" s="57">
        <f t="shared" si="7"/>
        <v>-6312392.7272727266</v>
      </c>
      <c r="J18" s="57">
        <f t="shared" si="7"/>
        <v>-6312392.7272727266</v>
      </c>
      <c r="K18" s="57">
        <f t="shared" si="7"/>
        <v>-6312392.7272727266</v>
      </c>
      <c r="L18" s="57">
        <f t="shared" si="7"/>
        <v>-6312392.7272727266</v>
      </c>
      <c r="M18" s="57">
        <f t="shared" si="7"/>
        <v>-6312392.7272727266</v>
      </c>
    </row>
    <row r="19" spans="2:13">
      <c r="B19" s="66"/>
      <c r="C19" s="63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2:13">
      <c r="B20" s="69" t="s">
        <v>75</v>
      </c>
      <c r="C20" s="72">
        <v>0.01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2:13" ht="16" thickBot="1">
      <c r="B21" s="70" t="s">
        <v>76</v>
      </c>
      <c r="C21" s="85">
        <f>NPV(C20,D18:M18)</f>
        <v>-60133227.500752792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4" spans="2:13">
      <c r="B24" s="76" t="s">
        <v>108</v>
      </c>
    </row>
    <row r="25" spans="2:13">
      <c r="B25" t="s">
        <v>109</v>
      </c>
    </row>
    <row r="27" spans="2:13" ht="16" thickBot="1">
      <c r="B27" t="s">
        <v>213</v>
      </c>
      <c r="I27" s="74"/>
    </row>
    <row r="28" spans="2:13">
      <c r="B28" s="149" t="s">
        <v>75</v>
      </c>
      <c r="C28" s="150"/>
      <c r="D28" s="150">
        <v>1.01</v>
      </c>
      <c r="E28" s="150">
        <f>+$D$28^E6</f>
        <v>1.0201</v>
      </c>
      <c r="F28" s="150">
        <f t="shared" ref="F28:M28" si="8">+$D$28^F6</f>
        <v>1.0303009999999999</v>
      </c>
      <c r="G28" s="150">
        <f t="shared" si="8"/>
        <v>1.04060401</v>
      </c>
      <c r="H28" s="150">
        <f t="shared" si="8"/>
        <v>1.0510100500999999</v>
      </c>
      <c r="I28" s="150">
        <f t="shared" si="8"/>
        <v>1.0615201506010001</v>
      </c>
      <c r="J28" s="150">
        <f>+$D$28^J6</f>
        <v>1.0721353521070098</v>
      </c>
      <c r="K28" s="150">
        <f t="shared" si="8"/>
        <v>1.0828567056280802</v>
      </c>
      <c r="L28" s="150">
        <f t="shared" si="8"/>
        <v>1.0936852726843611</v>
      </c>
      <c r="M28" s="151">
        <f t="shared" si="8"/>
        <v>1.1046221254112047</v>
      </c>
    </row>
    <row r="29" spans="2:13" ht="16" thickBot="1">
      <c r="B29" s="136" t="s">
        <v>76</v>
      </c>
      <c r="C29" s="152">
        <f>SUM(D29:M29)</f>
        <v>-60133227.500752799</v>
      </c>
      <c r="D29" s="153">
        <f>+D18/D28</f>
        <v>-6596527.4527452737</v>
      </c>
      <c r="E29" s="153">
        <f t="shared" ref="E29:J29" si="9">+E18/E28</f>
        <v>-6188013.6528504333</v>
      </c>
      <c r="F29" s="153">
        <f t="shared" si="9"/>
        <v>-6126746.1909410236</v>
      </c>
      <c r="G29" s="153">
        <f t="shared" si="9"/>
        <v>-6066085.337565369</v>
      </c>
      <c r="H29" s="153">
        <f t="shared" si="9"/>
        <v>-6006025.0866983859</v>
      </c>
      <c r="I29" s="153">
        <f t="shared" si="9"/>
        <v>-5946559.4917805782</v>
      </c>
      <c r="J29" s="153">
        <f t="shared" si="9"/>
        <v>-5887682.6651292872</v>
      </c>
      <c r="K29" s="153">
        <f>+K18/K28</f>
        <v>-5829388.7773557287</v>
      </c>
      <c r="L29" s="153">
        <f>+L18/L28</f>
        <v>-5771672.0567878494</v>
      </c>
      <c r="M29" s="154">
        <f>+M18/M28</f>
        <v>-5714526.788898861</v>
      </c>
    </row>
  </sheetData>
  <pageMargins left="0.7" right="0.7" top="0.75" bottom="0.75" header="0.3" footer="0.3"/>
  <ignoredErrors>
    <ignoredError sqref="D11:E1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C63A7F62C51E45832604D654F4D5F9" ma:contentTypeVersion="14" ma:contentTypeDescription="Create a new document." ma:contentTypeScope="" ma:versionID="69de1a618b6888528b149bb6d9170c46">
  <xsd:schema xmlns:xsd="http://www.w3.org/2001/XMLSchema" xmlns:xs="http://www.w3.org/2001/XMLSchema" xmlns:p="http://schemas.microsoft.com/office/2006/metadata/properties" xmlns:ns2="dcc75867-4b81-416b-ba87-cf9041e81374" xmlns:ns3="8bcd404e-b814-4f6b-98b6-e29ae617f55a" targetNamespace="http://schemas.microsoft.com/office/2006/metadata/properties" ma:root="true" ma:fieldsID="29e71785aa4c1ef5033ad9f53c1c2222" ns2:_="" ns3:_="">
    <xsd:import namespace="dcc75867-4b81-416b-ba87-cf9041e81374"/>
    <xsd:import namespace="8bcd404e-b814-4f6b-98b6-e29ae617f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5867-4b81-416b-ba87-cf9041e81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5554886-c2b2-42e7-ae49-e712ab45e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404e-b814-4f6b-98b6-e29ae617f5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5bb074-76dd-4778-af22-38e353ddfcd9}" ma:internalName="TaxCatchAll" ma:showField="CatchAllData" ma:web="8bcd404e-b814-4f6b-98b6-e29ae617f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c75867-4b81-416b-ba87-cf9041e81374">
      <Terms xmlns="http://schemas.microsoft.com/office/infopath/2007/PartnerControls"/>
    </lcf76f155ced4ddcb4097134ff3c332f>
    <TaxCatchAll xmlns="8bcd404e-b814-4f6b-98b6-e29ae617f55a" xsi:nil="true"/>
  </documentManagement>
</p:properties>
</file>

<file path=customXml/itemProps1.xml><?xml version="1.0" encoding="utf-8"?>
<ds:datastoreItem xmlns:ds="http://schemas.openxmlformats.org/officeDocument/2006/customXml" ds:itemID="{6CE02D84-7351-492C-BD7B-DD8308C606C9}"/>
</file>

<file path=customXml/itemProps2.xml><?xml version="1.0" encoding="utf-8"?>
<ds:datastoreItem xmlns:ds="http://schemas.openxmlformats.org/officeDocument/2006/customXml" ds:itemID="{73EA8D16-656E-4037-93BE-EBB03EEEECEE}"/>
</file>

<file path=customXml/itemProps3.xml><?xml version="1.0" encoding="utf-8"?>
<ds:datastoreItem xmlns:ds="http://schemas.openxmlformats.org/officeDocument/2006/customXml" ds:itemID="{97C44814-136B-4624-9C30-539C5DDE545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1. Intro og forutsteninger</vt:lpstr>
      <vt:lpstr>2. Utdanningsløp VPL</vt:lpstr>
      <vt:lpstr>3. Kurs</vt:lpstr>
      <vt:lpstr>4. Lønn alt. A</vt:lpstr>
      <vt:lpstr>5. Lønn alt. B</vt:lpstr>
      <vt:lpstr>6. Kost og reise</vt:lpstr>
      <vt:lpstr>7. Vedlikehold</vt:lpstr>
      <vt:lpstr>8. Nåverdi Alternativ A</vt:lpstr>
      <vt:lpstr>9. Nåverdi Alternativ B</vt:lpstr>
      <vt:lpstr>10. Konklusjon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marius markestad</dc:creator>
  <cp:lastModifiedBy>Viktoria</cp:lastModifiedBy>
  <dcterms:created xsi:type="dcterms:W3CDTF">2022-04-21T08:32:34Z</dcterms:created>
  <dcterms:modified xsi:type="dcterms:W3CDTF">2022-05-21T12:25:44Z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0x01010053C63A7F62C51E45832604D654F4D5F9</vt:lpwstr>
  </property>
</Properties>
</file>