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0" yWindow="0" windowWidth="16457" windowHeight="5546"/>
  </bookViews>
  <sheets>
    <sheet name="Income statement" sheetId="16" r:id="rId1"/>
    <sheet name=" Adj. income statement" sheetId="1" r:id="rId2"/>
    <sheet name="Balance sheet" sheetId="17" r:id="rId3"/>
    <sheet name="Adj. balance sheet" sheetId="2" r:id="rId4"/>
    <sheet name="Cash flow" sheetId="7" r:id="rId5"/>
    <sheet name="Ratios" sheetId="8" r:id="rId6"/>
    <sheet name="Cost of capital" sheetId="11" r:id="rId7"/>
    <sheet name="PV-valuation" sheetId="12" r:id="rId8"/>
    <sheet name="Sensitivitesanalyse" sheetId="20" r:id="rId9"/>
    <sheet name="Beta" sheetId="10" r:id="rId10"/>
    <sheet name="Monte Carlo" sheetId="21" r:id="rId11"/>
    <sheet name="Monte Carlo Histo" sheetId="25" r:id="rId12"/>
    <sheet name="Kredittanalyse" sheetId="18" r:id="rId13"/>
  </sheets>
  <externalReferences>
    <externalReference r:id="rId14"/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8" l="1"/>
  <c r="F17" i="18"/>
  <c r="D17" i="18"/>
  <c r="J28" i="8"/>
  <c r="K19" i="8"/>
  <c r="L19" i="8"/>
  <c r="M19" i="8"/>
  <c r="N19" i="8"/>
  <c r="J19" i="8"/>
  <c r="D69" i="20"/>
  <c r="X55" i="2"/>
  <c r="J30" i="17"/>
  <c r="R18" i="12"/>
  <c r="R17" i="12"/>
  <c r="F39" i="25"/>
  <c r="F38" i="25"/>
  <c r="F37" i="25"/>
  <c r="U36" i="21"/>
  <c r="S78" i="21"/>
  <c r="S79" i="21" s="1"/>
  <c r="S80" i="21" s="1"/>
  <c r="S81" i="21" s="1"/>
  <c r="S82" i="21" s="1"/>
  <c r="S83" i="21" s="1"/>
  <c r="S84" i="21" s="1"/>
  <c r="S85" i="21" s="1"/>
  <c r="S86" i="21" s="1"/>
  <c r="S87" i="21" s="1"/>
  <c r="S88" i="21" s="1"/>
  <c r="S89" i="21" s="1"/>
  <c r="S90" i="21" s="1"/>
  <c r="S91" i="21" s="1"/>
  <c r="S92" i="21" s="1"/>
  <c r="S93" i="21" s="1"/>
  <c r="S94" i="21" s="1"/>
  <c r="S95" i="21" s="1"/>
  <c r="S96" i="21" s="1"/>
  <c r="S97" i="21" s="1"/>
  <c r="S98" i="21" s="1"/>
  <c r="S99" i="21" s="1"/>
  <c r="S100" i="21" s="1"/>
  <c r="S101" i="21" s="1"/>
  <c r="S102" i="21" s="1"/>
  <c r="S103" i="21" s="1"/>
  <c r="S104" i="21" s="1"/>
  <c r="S105" i="21" s="1"/>
  <c r="S106" i="21" s="1"/>
  <c r="S107" i="21" s="1"/>
  <c r="S108" i="21" s="1"/>
  <c r="S109" i="21" s="1"/>
  <c r="S110" i="21" s="1"/>
  <c r="S111" i="21" s="1"/>
  <c r="S112" i="21" s="1"/>
  <c r="S113" i="21" s="1"/>
  <c r="S114" i="21" s="1"/>
  <c r="S115" i="21" s="1"/>
  <c r="S116" i="21" s="1"/>
  <c r="S67" i="21"/>
  <c r="S68" i="21" s="1"/>
  <c r="S69" i="21" s="1"/>
  <c r="S70" i="21" s="1"/>
  <c r="S71" i="21" s="1"/>
  <c r="S72" i="21" s="1"/>
  <c r="S73" i="21" s="1"/>
  <c r="S74" i="21" s="1"/>
  <c r="S75" i="21" s="1"/>
  <c r="S76" i="21" s="1"/>
  <c r="S77" i="21" s="1"/>
  <c r="S52" i="21"/>
  <c r="S53" i="21"/>
  <c r="S54" i="21" s="1"/>
  <c r="S55" i="21" s="1"/>
  <c r="S56" i="21" s="1"/>
  <c r="S57" i="21" s="1"/>
  <c r="S58" i="21" s="1"/>
  <c r="S59" i="21" s="1"/>
  <c r="S60" i="21" s="1"/>
  <c r="S61" i="21" s="1"/>
  <c r="S62" i="21" s="1"/>
  <c r="S63" i="21" s="1"/>
  <c r="S64" i="21" s="1"/>
  <c r="S65" i="21" s="1"/>
  <c r="S66" i="21" s="1"/>
  <c r="U34" i="21"/>
  <c r="V33" i="21"/>
  <c r="O24" i="21"/>
  <c r="O29" i="21" s="1"/>
  <c r="J40" i="21"/>
  <c r="R29" i="21"/>
  <c r="R28" i="21"/>
  <c r="O25" i="21"/>
  <c r="Q20" i="21"/>
  <c r="R20" i="21" s="1"/>
  <c r="H30" i="21" s="1"/>
  <c r="Q19" i="21"/>
  <c r="O28" i="21" l="1"/>
  <c r="R19" i="21"/>
  <c r="G32" i="21" s="1"/>
  <c r="C31" i="21" l="1"/>
  <c r="G31" i="21"/>
  <c r="G33" i="21" s="1"/>
  <c r="F31" i="21"/>
  <c r="E31" i="21"/>
  <c r="D31" i="21"/>
  <c r="C34" i="21" l="1"/>
  <c r="J38" i="21" s="1"/>
  <c r="J30" i="21"/>
  <c r="F33" i="21" l="1"/>
  <c r="E33" i="21"/>
  <c r="D33" i="21"/>
  <c r="C35" i="21" l="1"/>
  <c r="J37" i="21" s="1"/>
  <c r="J39" i="21" l="1"/>
  <c r="J41" i="21" s="1"/>
  <c r="M6" i="21" l="1"/>
  <c r="M4" i="21"/>
  <c r="I6" i="11"/>
  <c r="J6" i="11"/>
  <c r="K6" i="11"/>
  <c r="L6" i="11" s="1"/>
  <c r="Q19" i="1" l="1"/>
  <c r="K25" i="8"/>
  <c r="L25" i="8"/>
  <c r="M25" i="8"/>
  <c r="N25" i="8"/>
  <c r="J25" i="8"/>
  <c r="L24" i="8"/>
  <c r="K24" i="8"/>
  <c r="M24" i="8"/>
  <c r="J24" i="8"/>
  <c r="M13" i="8"/>
  <c r="L13" i="8"/>
  <c r="K13" i="8"/>
  <c r="J13" i="8"/>
  <c r="M9" i="8"/>
  <c r="L9" i="8"/>
  <c r="K9" i="8"/>
  <c r="J9" i="8"/>
  <c r="M5" i="8"/>
  <c r="L5" i="8"/>
  <c r="K5" i="8"/>
  <c r="J5" i="8"/>
  <c r="C8" i="8"/>
  <c r="AJ9" i="2"/>
  <c r="AL9" i="2" s="1"/>
  <c r="AM9" i="2" s="1"/>
  <c r="AK9" i="2"/>
  <c r="Q19" i="12"/>
  <c r="R19" i="12" s="1"/>
  <c r="Q18" i="12"/>
  <c r="Q17" i="12"/>
  <c r="AJ10" i="2"/>
  <c r="O10" i="1"/>
  <c r="O16" i="1"/>
  <c r="O20" i="1"/>
  <c r="O23" i="1"/>
  <c r="AN9" i="2" l="1"/>
  <c r="R20" i="12"/>
  <c r="R21" i="12" s="1"/>
  <c r="M32" i="12" s="1"/>
  <c r="Q31" i="12" l="1"/>
  <c r="D26" i="12"/>
  <c r="D37" i="20"/>
  <c r="H60" i="20"/>
  <c r="D68" i="20"/>
  <c r="D60" i="20" s="1"/>
  <c r="D53" i="20"/>
  <c r="D34" i="20"/>
  <c r="D50" i="20" s="1"/>
  <c r="D66" i="20" s="1"/>
  <c r="D36" i="20"/>
  <c r="E28" i="20" s="1"/>
  <c r="AJ4" i="2"/>
  <c r="AJ8" i="2"/>
  <c r="AJ34" i="2"/>
  <c r="E60" i="20" l="1"/>
  <c r="F60" i="20"/>
  <c r="G60" i="20"/>
  <c r="D28" i="20"/>
  <c r="G28" i="20"/>
  <c r="F28" i="20"/>
  <c r="H28" i="20"/>
  <c r="O35" i="1"/>
  <c r="AI13" i="2"/>
  <c r="M34" i="2"/>
  <c r="L34" i="2"/>
  <c r="M18" i="2"/>
  <c r="H30" i="1"/>
  <c r="G30" i="1"/>
  <c r="G16" i="1"/>
  <c r="AV24" i="2" l="1"/>
  <c r="AW24" i="2"/>
  <c r="AV23" i="2"/>
  <c r="AW23" i="2"/>
  <c r="AV22" i="2"/>
  <c r="AW22" i="2"/>
  <c r="AT21" i="2"/>
  <c r="AU21" i="2"/>
  <c r="AV21" i="2"/>
  <c r="AW21" i="2"/>
  <c r="AS21" i="2"/>
  <c r="AT20" i="2"/>
  <c r="AU20" i="2"/>
  <c r="AV20" i="2"/>
  <c r="AW20" i="2"/>
  <c r="AS20" i="2"/>
  <c r="AT19" i="2"/>
  <c r="AU19" i="2"/>
  <c r="AV19" i="2"/>
  <c r="AW19" i="2"/>
  <c r="AS19" i="2"/>
  <c r="M23" i="8"/>
  <c r="M36" i="8" s="1"/>
  <c r="N23" i="8"/>
  <c r="N36" i="8" s="1"/>
  <c r="E37" i="12" l="1"/>
  <c r="H12" i="18" l="1"/>
  <c r="F12" i="18"/>
  <c r="H11" i="18"/>
  <c r="F11" i="18"/>
  <c r="AK10" i="2" l="1"/>
  <c r="AK11" i="2" s="1"/>
  <c r="AK12" i="2" s="1"/>
  <c r="AL10" i="2" l="1"/>
  <c r="AM10" i="2" s="1"/>
  <c r="AN10" i="2" s="1"/>
  <c r="H8" i="11" l="1"/>
  <c r="I8" i="11"/>
  <c r="J8" i="11"/>
  <c r="K8" i="11"/>
  <c r="L8" i="11"/>
  <c r="F4" i="11"/>
  <c r="G4" i="11"/>
  <c r="AK41" i="2"/>
  <c r="N11" i="1"/>
  <c r="D17" i="2"/>
  <c r="E17" i="2"/>
  <c r="F17" i="2"/>
  <c r="G17" i="2"/>
  <c r="C17" i="2"/>
  <c r="L11" i="1"/>
  <c r="M11" i="1"/>
  <c r="O11" i="1"/>
  <c r="M46" i="2"/>
  <c r="N13" i="1"/>
  <c r="O13" i="1"/>
  <c r="N18" i="1"/>
  <c r="P18" i="1" s="1"/>
  <c r="O18" i="1"/>
  <c r="Q18" i="1" s="1"/>
  <c r="R18" i="1" s="1"/>
  <c r="F5" i="17"/>
  <c r="G5" i="17"/>
  <c r="J8" i="17"/>
  <c r="K8" i="17"/>
  <c r="K11" i="17" s="1"/>
  <c r="K33" i="17" s="1"/>
  <c r="L8" i="17"/>
  <c r="M8" i="17"/>
  <c r="N8" i="17"/>
  <c r="C9" i="17"/>
  <c r="D9" i="17"/>
  <c r="D17" i="17" s="1"/>
  <c r="D30" i="17" s="1"/>
  <c r="E9" i="17"/>
  <c r="E17" i="17" s="1"/>
  <c r="F9" i="17"/>
  <c r="F17" i="17" s="1"/>
  <c r="F30" i="17" s="1"/>
  <c r="G9" i="17"/>
  <c r="J11" i="17"/>
  <c r="L11" i="17"/>
  <c r="M11" i="17"/>
  <c r="N11" i="17"/>
  <c r="C12" i="17"/>
  <c r="D12" i="17"/>
  <c r="E12" i="17"/>
  <c r="F12" i="17"/>
  <c r="G12" i="17"/>
  <c r="G17" i="17" s="1"/>
  <c r="G30" i="17" s="1"/>
  <c r="J15" i="17"/>
  <c r="K15" i="17"/>
  <c r="L15" i="17"/>
  <c r="L18" i="17" s="1"/>
  <c r="L30" i="17" s="1"/>
  <c r="L33" i="17" s="1"/>
  <c r="M15" i="17"/>
  <c r="N15" i="17"/>
  <c r="N18" i="17" s="1"/>
  <c r="N30" i="17" s="1"/>
  <c r="N33" i="17" s="1"/>
  <c r="C17" i="17"/>
  <c r="C30" i="17" s="1"/>
  <c r="Q17" i="17"/>
  <c r="R17" i="17"/>
  <c r="S17" i="17"/>
  <c r="T17" i="17"/>
  <c r="U17" i="17"/>
  <c r="J18" i="17"/>
  <c r="K18" i="17"/>
  <c r="M18" i="17"/>
  <c r="C22" i="17"/>
  <c r="D22" i="17"/>
  <c r="E22" i="17"/>
  <c r="F22" i="17"/>
  <c r="G22" i="17"/>
  <c r="C26" i="17"/>
  <c r="C28" i="17" s="1"/>
  <c r="D26" i="17"/>
  <c r="E26" i="17"/>
  <c r="E28" i="17" s="1"/>
  <c r="F26" i="17"/>
  <c r="G26" i="17"/>
  <c r="D28" i="17"/>
  <c r="F28" i="17"/>
  <c r="G28" i="17"/>
  <c r="J28" i="17"/>
  <c r="K28" i="17"/>
  <c r="L28" i="17"/>
  <c r="M28" i="17"/>
  <c r="M30" i="17" s="1"/>
  <c r="M33" i="17" s="1"/>
  <c r="N28" i="17"/>
  <c r="J33" i="17"/>
  <c r="K30" i="17"/>
  <c r="C39" i="17"/>
  <c r="Q4" i="17" s="1"/>
  <c r="D39" i="17"/>
  <c r="R4" i="17" s="1"/>
  <c r="E39" i="17"/>
  <c r="S4" i="17" s="1"/>
  <c r="F39" i="17"/>
  <c r="T4" i="17" s="1"/>
  <c r="G39" i="17"/>
  <c r="U4" i="17" s="1"/>
  <c r="C40" i="17"/>
  <c r="Q5" i="17" s="1"/>
  <c r="Q40" i="17" s="1"/>
  <c r="AE5" i="17" s="1"/>
  <c r="D40" i="17"/>
  <c r="R5" i="17" s="1"/>
  <c r="R40" i="17" s="1"/>
  <c r="AF5" i="17" s="1"/>
  <c r="E40" i="17"/>
  <c r="S5" i="17" s="1"/>
  <c r="S40" i="17" s="1"/>
  <c r="AG5" i="17" s="1"/>
  <c r="F40" i="17"/>
  <c r="T5" i="17" s="1"/>
  <c r="T40" i="17" s="1"/>
  <c r="AH5" i="17" s="1"/>
  <c r="G40" i="17"/>
  <c r="U5" i="17" s="1"/>
  <c r="U40" i="17" s="1"/>
  <c r="AI5" i="17" s="1"/>
  <c r="J40" i="17"/>
  <c r="X4" i="17" s="1"/>
  <c r="K40" i="17"/>
  <c r="Y4" i="17" s="1"/>
  <c r="L40" i="17"/>
  <c r="Z4" i="17" s="1"/>
  <c r="M40" i="17"/>
  <c r="AA4" i="17" s="1"/>
  <c r="N40" i="17"/>
  <c r="AB4" i="17" s="1"/>
  <c r="C41" i="17"/>
  <c r="Q6" i="17" s="1"/>
  <c r="Q41" i="17" s="1"/>
  <c r="AE6" i="17" s="1"/>
  <c r="D41" i="17"/>
  <c r="R6" i="17" s="1"/>
  <c r="R41" i="17" s="1"/>
  <c r="AF6" i="17" s="1"/>
  <c r="E41" i="17"/>
  <c r="S6" i="17" s="1"/>
  <c r="S41" i="17" s="1"/>
  <c r="AG6" i="17" s="1"/>
  <c r="F41" i="17"/>
  <c r="T6" i="17" s="1"/>
  <c r="T41" i="17" s="1"/>
  <c r="AH6" i="17" s="1"/>
  <c r="G41" i="17"/>
  <c r="U6" i="17" s="1"/>
  <c r="U41" i="17" s="1"/>
  <c r="AI6" i="17" s="1"/>
  <c r="J41" i="17"/>
  <c r="X5" i="17" s="1"/>
  <c r="X40" i="17" s="1"/>
  <c r="AE32" i="17" s="1"/>
  <c r="K41" i="17"/>
  <c r="Y5" i="17" s="1"/>
  <c r="Y40" i="17" s="1"/>
  <c r="AF32" i="17" s="1"/>
  <c r="L41" i="17"/>
  <c r="Z5" i="17" s="1"/>
  <c r="Z40" i="17" s="1"/>
  <c r="AG32" i="17" s="1"/>
  <c r="M41" i="17"/>
  <c r="AA5" i="17" s="1"/>
  <c r="AA40" i="17" s="1"/>
  <c r="AH32" i="17" s="1"/>
  <c r="N41" i="17"/>
  <c r="AB5" i="17" s="1"/>
  <c r="AB40" i="17" s="1"/>
  <c r="AI32" i="17" s="1"/>
  <c r="C42" i="17"/>
  <c r="Q7" i="17" s="1"/>
  <c r="D42" i="17"/>
  <c r="R7" i="17" s="1"/>
  <c r="R42" i="17" s="1"/>
  <c r="AF7" i="17" s="1"/>
  <c r="E42" i="17"/>
  <c r="S7" i="17" s="1"/>
  <c r="S42" i="17" s="1"/>
  <c r="AG7" i="17" s="1"/>
  <c r="F42" i="17"/>
  <c r="T7" i="17" s="1"/>
  <c r="T42" i="17" s="1"/>
  <c r="AH7" i="17" s="1"/>
  <c r="G42" i="17"/>
  <c r="U7" i="17" s="1"/>
  <c r="U42" i="17" s="1"/>
  <c r="AI7" i="17" s="1"/>
  <c r="J42" i="17"/>
  <c r="X6" i="17" s="1"/>
  <c r="X41" i="17" s="1"/>
  <c r="AE33" i="17" s="1"/>
  <c r="K42" i="17"/>
  <c r="Y6" i="17" s="1"/>
  <c r="Y41" i="17" s="1"/>
  <c r="AF33" i="17" s="1"/>
  <c r="L42" i="17"/>
  <c r="Z6" i="17" s="1"/>
  <c r="Z41" i="17" s="1"/>
  <c r="AG33" i="17" s="1"/>
  <c r="M42" i="17"/>
  <c r="AA6" i="17" s="1"/>
  <c r="AA41" i="17" s="1"/>
  <c r="AH33" i="17" s="1"/>
  <c r="N42" i="17"/>
  <c r="AB6" i="17" s="1"/>
  <c r="AB41" i="17" s="1"/>
  <c r="AI33" i="17" s="1"/>
  <c r="Q42" i="17"/>
  <c r="AE7" i="17" s="1"/>
  <c r="D43" i="17"/>
  <c r="J43" i="17"/>
  <c r="K43" i="17"/>
  <c r="L43" i="17"/>
  <c r="M43" i="17"/>
  <c r="N43" i="17"/>
  <c r="N46" i="17" s="1"/>
  <c r="C44" i="17"/>
  <c r="D44" i="17"/>
  <c r="R9" i="17" s="1"/>
  <c r="E44" i="17"/>
  <c r="S9" i="17" s="1"/>
  <c r="F44" i="17"/>
  <c r="T9" i="17" s="1"/>
  <c r="G44" i="17"/>
  <c r="U9" i="17" s="1"/>
  <c r="J44" i="17"/>
  <c r="X8" i="17" s="1"/>
  <c r="X43" i="17" s="1"/>
  <c r="AE35" i="17" s="1"/>
  <c r="K44" i="17"/>
  <c r="Y8" i="17" s="1"/>
  <c r="Y43" i="17" s="1"/>
  <c r="AF35" i="17" s="1"/>
  <c r="L44" i="17"/>
  <c r="L46" i="17" s="1"/>
  <c r="M44" i="17"/>
  <c r="AA8" i="17" s="1"/>
  <c r="AA43" i="17" s="1"/>
  <c r="AH35" i="17" s="1"/>
  <c r="N44" i="17"/>
  <c r="AB8" i="17" s="1"/>
  <c r="AB43" i="17" s="1"/>
  <c r="AI35" i="17" s="1"/>
  <c r="C45" i="17"/>
  <c r="Q10" i="17" s="1"/>
  <c r="Q45" i="17" s="1"/>
  <c r="AE10" i="17" s="1"/>
  <c r="D45" i="17"/>
  <c r="R10" i="17" s="1"/>
  <c r="R45" i="17" s="1"/>
  <c r="AF10" i="17" s="1"/>
  <c r="E45" i="17"/>
  <c r="S10" i="17" s="1"/>
  <c r="S45" i="17" s="1"/>
  <c r="AG10" i="17" s="1"/>
  <c r="F45" i="17"/>
  <c r="T10" i="17" s="1"/>
  <c r="T45" i="17" s="1"/>
  <c r="AH10" i="17" s="1"/>
  <c r="G45" i="17"/>
  <c r="U10" i="17" s="1"/>
  <c r="U45" i="17" s="1"/>
  <c r="AI10" i="17" s="1"/>
  <c r="J45" i="17"/>
  <c r="X9" i="17" s="1"/>
  <c r="X44" i="17" s="1"/>
  <c r="AE36" i="17" s="1"/>
  <c r="K45" i="17"/>
  <c r="Y9" i="17" s="1"/>
  <c r="Y44" i="17" s="1"/>
  <c r="AF36" i="17" s="1"/>
  <c r="L45" i="17"/>
  <c r="Z9" i="17" s="1"/>
  <c r="Z44" i="17" s="1"/>
  <c r="AG36" i="17" s="1"/>
  <c r="M45" i="17"/>
  <c r="AA9" i="17" s="1"/>
  <c r="AA44" i="17" s="1"/>
  <c r="AH36" i="17" s="1"/>
  <c r="N45" i="17"/>
  <c r="AB9" i="17" s="1"/>
  <c r="AB44" i="17" s="1"/>
  <c r="AI36" i="17" s="1"/>
  <c r="D46" i="17"/>
  <c r="E46" i="17"/>
  <c r="F46" i="17"/>
  <c r="G46" i="17"/>
  <c r="J46" i="17"/>
  <c r="K46" i="17"/>
  <c r="C47" i="17"/>
  <c r="Q12" i="17" s="1"/>
  <c r="Q47" i="17" s="1"/>
  <c r="AE12" i="17" s="1"/>
  <c r="D47" i="17"/>
  <c r="R12" i="17" s="1"/>
  <c r="R47" i="17" s="1"/>
  <c r="AF12" i="17" s="1"/>
  <c r="E47" i="17"/>
  <c r="S12" i="17" s="1"/>
  <c r="S47" i="17" s="1"/>
  <c r="AG12" i="17" s="1"/>
  <c r="F47" i="17"/>
  <c r="T12" i="17" s="1"/>
  <c r="G47" i="17"/>
  <c r="U12" i="17" s="1"/>
  <c r="U47" i="17" s="1"/>
  <c r="AI12" i="17" s="1"/>
  <c r="J47" i="17"/>
  <c r="K47" i="17"/>
  <c r="R14" i="17" s="1"/>
  <c r="R49" i="17" s="1"/>
  <c r="AF14" i="17" s="1"/>
  <c r="L47" i="17"/>
  <c r="S14" i="17" s="1"/>
  <c r="S49" i="17" s="1"/>
  <c r="AG14" i="17" s="1"/>
  <c r="M47" i="17"/>
  <c r="T14" i="17" s="1"/>
  <c r="T49" i="17" s="1"/>
  <c r="AH14" i="17" s="1"/>
  <c r="N47" i="17"/>
  <c r="U14" i="17" s="1"/>
  <c r="U49" i="17" s="1"/>
  <c r="AI14" i="17" s="1"/>
  <c r="T47" i="17"/>
  <c r="AH12" i="17" s="1"/>
  <c r="C48" i="17"/>
  <c r="Q13" i="17" s="1"/>
  <c r="Q48" i="17" s="1"/>
  <c r="AE13" i="17" s="1"/>
  <c r="D48" i="17"/>
  <c r="R13" i="17" s="1"/>
  <c r="R48" i="17" s="1"/>
  <c r="AF13" i="17" s="1"/>
  <c r="E48" i="17"/>
  <c r="S13" i="17" s="1"/>
  <c r="F48" i="17"/>
  <c r="T13" i="17" s="1"/>
  <c r="T48" i="17" s="1"/>
  <c r="AH13" i="17" s="1"/>
  <c r="G48" i="17"/>
  <c r="U13" i="17" s="1"/>
  <c r="U48" i="17" s="1"/>
  <c r="AI13" i="17" s="1"/>
  <c r="J48" i="17"/>
  <c r="Q15" i="17" s="1"/>
  <c r="Q50" i="17" s="1"/>
  <c r="AE15" i="17" s="1"/>
  <c r="K48" i="17"/>
  <c r="R15" i="17" s="1"/>
  <c r="R50" i="17" s="1"/>
  <c r="AF15" i="17" s="1"/>
  <c r="L48" i="17"/>
  <c r="S15" i="17" s="1"/>
  <c r="S50" i="17" s="1"/>
  <c r="AG15" i="17" s="1"/>
  <c r="M48" i="17"/>
  <c r="T15" i="17" s="1"/>
  <c r="T50" i="17" s="1"/>
  <c r="AH15" i="17" s="1"/>
  <c r="N48" i="17"/>
  <c r="N49" i="17" s="1"/>
  <c r="S48" i="17"/>
  <c r="AG13" i="17" s="1"/>
  <c r="K49" i="17"/>
  <c r="L49" i="17"/>
  <c r="M49" i="17"/>
  <c r="Q28" i="17"/>
  <c r="R28" i="17"/>
  <c r="S28" i="17"/>
  <c r="T28" i="17"/>
  <c r="J50" i="17"/>
  <c r="Q22" i="17" s="1"/>
  <c r="K50" i="17"/>
  <c r="R22" i="17" s="1"/>
  <c r="R57" i="17" s="1"/>
  <c r="AF22" i="17" s="1"/>
  <c r="L50" i="17"/>
  <c r="S22" i="17" s="1"/>
  <c r="S57" i="17" s="1"/>
  <c r="AG22" i="17" s="1"/>
  <c r="M50" i="17"/>
  <c r="T22" i="17" s="1"/>
  <c r="T57" i="17" s="1"/>
  <c r="AH22" i="17" s="1"/>
  <c r="N50" i="17"/>
  <c r="U22" i="17" s="1"/>
  <c r="U57" i="17" s="1"/>
  <c r="AI22" i="17" s="1"/>
  <c r="C55" i="17"/>
  <c r="F55" i="17"/>
  <c r="J51" i="17"/>
  <c r="Q23" i="17" s="1"/>
  <c r="K51" i="17"/>
  <c r="R23" i="17" s="1"/>
  <c r="R58" i="17" s="1"/>
  <c r="AF23" i="17" s="1"/>
  <c r="L51" i="17"/>
  <c r="S23" i="17" s="1"/>
  <c r="S58" i="17" s="1"/>
  <c r="AG23" i="17" s="1"/>
  <c r="M51" i="17"/>
  <c r="T23" i="17" s="1"/>
  <c r="N51" i="17"/>
  <c r="C52" i="17"/>
  <c r="Q30" i="17" s="1"/>
  <c r="D52" i="17"/>
  <c r="R30" i="17" s="1"/>
  <c r="Y52" i="17" s="1"/>
  <c r="AF44" i="17" s="1"/>
  <c r="E52" i="17"/>
  <c r="S30" i="17" s="1"/>
  <c r="Z52" i="17" s="1"/>
  <c r="F52" i="17"/>
  <c r="T30" i="17" s="1"/>
  <c r="AA52" i="17" s="1"/>
  <c r="AH44" i="17" s="1"/>
  <c r="G52" i="17"/>
  <c r="U30" i="17" s="1"/>
  <c r="AB52" i="17" s="1"/>
  <c r="AI44" i="17" s="1"/>
  <c r="J52" i="17"/>
  <c r="Q24" i="17" s="1"/>
  <c r="K52" i="17"/>
  <c r="R24" i="17" s="1"/>
  <c r="L52" i="17"/>
  <c r="S24" i="17" s="1"/>
  <c r="M52" i="17"/>
  <c r="T24" i="17" s="1"/>
  <c r="N52" i="17"/>
  <c r="U24" i="17" s="1"/>
  <c r="Q52" i="17"/>
  <c r="AE17" i="17" s="1"/>
  <c r="AE18" i="17" s="1"/>
  <c r="R52" i="17"/>
  <c r="AF17" i="17" s="1"/>
  <c r="AF18" i="17" s="1"/>
  <c r="S52" i="17"/>
  <c r="AG17" i="17" s="1"/>
  <c r="AG18" i="17" s="1"/>
  <c r="T52" i="17"/>
  <c r="U52" i="17"/>
  <c r="AI17" i="17" s="1"/>
  <c r="AI18" i="17" s="1"/>
  <c r="X52" i="17"/>
  <c r="AE44" i="17" s="1"/>
  <c r="C53" i="17"/>
  <c r="Q31" i="17" s="1"/>
  <c r="D53" i="17"/>
  <c r="E53" i="17"/>
  <c r="S31" i="17" s="1"/>
  <c r="Z53" i="17" s="1"/>
  <c r="AG45" i="17" s="1"/>
  <c r="F53" i="17"/>
  <c r="T31" i="17" s="1"/>
  <c r="AA53" i="17" s="1"/>
  <c r="AH45" i="17" s="1"/>
  <c r="G53" i="17"/>
  <c r="U31" i="17" s="1"/>
  <c r="AB53" i="17" s="1"/>
  <c r="AI45" i="17" s="1"/>
  <c r="J53" i="17"/>
  <c r="Q25" i="17" s="1"/>
  <c r="Q60" i="17" s="1"/>
  <c r="AE25" i="17" s="1"/>
  <c r="K53" i="17"/>
  <c r="R25" i="17" s="1"/>
  <c r="R60" i="17" s="1"/>
  <c r="AF25" i="17" s="1"/>
  <c r="L53" i="17"/>
  <c r="S25" i="17" s="1"/>
  <c r="S60" i="17" s="1"/>
  <c r="AG25" i="17" s="1"/>
  <c r="M53" i="17"/>
  <c r="T25" i="17" s="1"/>
  <c r="N53" i="17"/>
  <c r="U25" i="17" s="1"/>
  <c r="Q53" i="17"/>
  <c r="R53" i="17"/>
  <c r="S53" i="17"/>
  <c r="U53" i="17"/>
  <c r="X53" i="17"/>
  <c r="AE45" i="17" s="1"/>
  <c r="C54" i="17"/>
  <c r="E54" i="17"/>
  <c r="F54" i="17"/>
  <c r="G54" i="17"/>
  <c r="G55" i="17" s="1"/>
  <c r="M54" i="17"/>
  <c r="T54" i="17"/>
  <c r="AH19" i="17" s="1"/>
  <c r="U54" i="17"/>
  <c r="AI19" i="17" s="1"/>
  <c r="J55" i="17"/>
  <c r="X11" i="17" s="1"/>
  <c r="K55" i="17"/>
  <c r="Y11" i="17" s="1"/>
  <c r="L55" i="17"/>
  <c r="Z11" i="17" s="1"/>
  <c r="M55" i="17"/>
  <c r="AA11" i="17" s="1"/>
  <c r="N55" i="17"/>
  <c r="AB11" i="17" s="1"/>
  <c r="Q55" i="17"/>
  <c r="AE20" i="17" s="1"/>
  <c r="C56" i="17"/>
  <c r="D56" i="17"/>
  <c r="E56" i="17"/>
  <c r="E57" i="17" s="1"/>
  <c r="S18" i="17" s="1"/>
  <c r="F56" i="17"/>
  <c r="F57" i="17" s="1"/>
  <c r="G56" i="17"/>
  <c r="G57" i="17" s="1"/>
  <c r="J56" i="17"/>
  <c r="X12" i="17" s="1"/>
  <c r="X47" i="17" s="1"/>
  <c r="AE39" i="17" s="1"/>
  <c r="K56" i="17"/>
  <c r="Y12" i="17" s="1"/>
  <c r="Y47" i="17" s="1"/>
  <c r="AF39" i="17" s="1"/>
  <c r="L56" i="17"/>
  <c r="Z12" i="17" s="1"/>
  <c r="Z47" i="17" s="1"/>
  <c r="AG39" i="17" s="1"/>
  <c r="M56" i="17"/>
  <c r="AA12" i="17" s="1"/>
  <c r="AA47" i="17" s="1"/>
  <c r="AH39" i="17" s="1"/>
  <c r="N56" i="17"/>
  <c r="AB12" i="17" s="1"/>
  <c r="AB47" i="17" s="1"/>
  <c r="AI39" i="17" s="1"/>
  <c r="C57" i="17"/>
  <c r="Q18" i="17" s="1"/>
  <c r="D57" i="17"/>
  <c r="R18" i="17" s="1"/>
  <c r="J57" i="17"/>
  <c r="X13" i="17" s="1"/>
  <c r="X48" i="17" s="1"/>
  <c r="AE40" i="17" s="1"/>
  <c r="K57" i="17"/>
  <c r="Y13" i="17" s="1"/>
  <c r="Y48" i="17" s="1"/>
  <c r="AF40" i="17" s="1"/>
  <c r="L57" i="17"/>
  <c r="Z13" i="17" s="1"/>
  <c r="Z48" i="17" s="1"/>
  <c r="AG40" i="17" s="1"/>
  <c r="M57" i="17"/>
  <c r="AA13" i="17" s="1"/>
  <c r="AA48" i="17" s="1"/>
  <c r="AH40" i="17" s="1"/>
  <c r="N57" i="17"/>
  <c r="AB13" i="17" s="1"/>
  <c r="AB48" i="17" s="1"/>
  <c r="AI40" i="17" s="1"/>
  <c r="Q57" i="17"/>
  <c r="AE22" i="17" s="1"/>
  <c r="C58" i="17"/>
  <c r="Q19" i="17" s="1"/>
  <c r="Q54" i="17" s="1"/>
  <c r="D58" i="17"/>
  <c r="R19" i="17" s="1"/>
  <c r="R54" i="17" s="1"/>
  <c r="E58" i="17"/>
  <c r="S19" i="17" s="1"/>
  <c r="S54" i="17" s="1"/>
  <c r="F58" i="17"/>
  <c r="T19" i="17" s="1"/>
  <c r="G58" i="17"/>
  <c r="U19" i="17" s="1"/>
  <c r="J58" i="17"/>
  <c r="X14" i="17" s="1"/>
  <c r="X49" i="17" s="1"/>
  <c r="AE41" i="17" s="1"/>
  <c r="K58" i="17"/>
  <c r="Y14" i="17" s="1"/>
  <c r="Y49" i="17" s="1"/>
  <c r="AF41" i="17" s="1"/>
  <c r="L58" i="17"/>
  <c r="Z14" i="17" s="1"/>
  <c r="Z49" i="17" s="1"/>
  <c r="AG41" i="17" s="1"/>
  <c r="M58" i="17"/>
  <c r="AA14" i="17" s="1"/>
  <c r="AA49" i="17" s="1"/>
  <c r="AH41" i="17" s="1"/>
  <c r="N58" i="17"/>
  <c r="AB14" i="17" s="1"/>
  <c r="AB49" i="17" s="1"/>
  <c r="AI41" i="17" s="1"/>
  <c r="Q58" i="17"/>
  <c r="AE23" i="17" s="1"/>
  <c r="T58" i="17"/>
  <c r="AH23" i="17" s="1"/>
  <c r="C59" i="17"/>
  <c r="Q20" i="17" s="1"/>
  <c r="D59" i="17"/>
  <c r="R20" i="17" s="1"/>
  <c r="R55" i="17" s="1"/>
  <c r="AF20" i="17" s="1"/>
  <c r="E59" i="17"/>
  <c r="S20" i="17" s="1"/>
  <c r="S55" i="17" s="1"/>
  <c r="AG20" i="17" s="1"/>
  <c r="F59" i="17"/>
  <c r="T20" i="17" s="1"/>
  <c r="T55" i="17" s="1"/>
  <c r="AH20" i="17" s="1"/>
  <c r="G59" i="17"/>
  <c r="U20" i="17" s="1"/>
  <c r="U55" i="17" s="1"/>
  <c r="Q59" i="17"/>
  <c r="AE24" i="17" s="1"/>
  <c r="R59" i="17"/>
  <c r="AF24" i="17" s="1"/>
  <c r="S59" i="17"/>
  <c r="AG24" i="17" s="1"/>
  <c r="T59" i="17"/>
  <c r="AH24" i="17" s="1"/>
  <c r="U59" i="17"/>
  <c r="AI24" i="17" s="1"/>
  <c r="G60" i="17"/>
  <c r="U21" i="17" s="1"/>
  <c r="T60" i="17"/>
  <c r="AH25" i="17" s="1"/>
  <c r="U60" i="17"/>
  <c r="AI25" i="17" s="1"/>
  <c r="AE64" i="17"/>
  <c r="AF64" i="17"/>
  <c r="AG64" i="17"/>
  <c r="AF72" i="17"/>
  <c r="K5" i="16"/>
  <c r="L5" i="16"/>
  <c r="M5" i="16"/>
  <c r="O5" i="16"/>
  <c r="D6" i="16"/>
  <c r="D8" i="16" s="1"/>
  <c r="D12" i="16" s="1"/>
  <c r="E6" i="16"/>
  <c r="E8" i="16" s="1"/>
  <c r="E12" i="16" s="1"/>
  <c r="F6" i="16"/>
  <c r="F8" i="16" s="1"/>
  <c r="F12" i="16" s="1"/>
  <c r="G6" i="16"/>
  <c r="N4" i="16" s="1"/>
  <c r="H6" i="16"/>
  <c r="O4" i="16" s="1"/>
  <c r="O34" i="16" s="1"/>
  <c r="K7" i="16"/>
  <c r="L7" i="16"/>
  <c r="M7" i="16"/>
  <c r="N7" i="16"/>
  <c r="N36" i="16" s="1"/>
  <c r="O7" i="16"/>
  <c r="O36" i="16" s="1"/>
  <c r="G7" i="16"/>
  <c r="N5" i="16" s="1"/>
  <c r="N35" i="16" s="1"/>
  <c r="K8" i="16"/>
  <c r="L8" i="16"/>
  <c r="M8" i="16"/>
  <c r="N8" i="16"/>
  <c r="N37" i="16" s="1"/>
  <c r="O8" i="16"/>
  <c r="K10" i="16"/>
  <c r="L10" i="16"/>
  <c r="M10" i="16"/>
  <c r="N10" i="16"/>
  <c r="K11" i="16"/>
  <c r="L11" i="16"/>
  <c r="M11" i="16"/>
  <c r="N11" i="16"/>
  <c r="K12" i="16"/>
  <c r="L12" i="16"/>
  <c r="M12" i="16"/>
  <c r="N12" i="16"/>
  <c r="H13" i="16"/>
  <c r="O11" i="16" s="1"/>
  <c r="K14" i="16"/>
  <c r="AF71" i="17" s="1"/>
  <c r="L14" i="16"/>
  <c r="AG71" i="17" s="1"/>
  <c r="AG72" i="17" s="1"/>
  <c r="M14" i="16"/>
  <c r="AH71" i="17" s="1"/>
  <c r="AH72" i="17" s="1"/>
  <c r="N14" i="16"/>
  <c r="AI71" i="17" s="1"/>
  <c r="AI72" i="17" s="1"/>
  <c r="O14" i="16"/>
  <c r="H14" i="16"/>
  <c r="O12" i="16" s="1"/>
  <c r="H15" i="16"/>
  <c r="O10" i="16" s="1"/>
  <c r="K16" i="16"/>
  <c r="L16" i="16"/>
  <c r="M16" i="16"/>
  <c r="N16" i="16"/>
  <c r="O16" i="16"/>
  <c r="O20" i="16"/>
  <c r="K20" i="16"/>
  <c r="L20" i="16"/>
  <c r="M20" i="16"/>
  <c r="N20" i="16"/>
  <c r="H20" i="16"/>
  <c r="K22" i="16"/>
  <c r="L22" i="16"/>
  <c r="M22" i="16"/>
  <c r="N22" i="16"/>
  <c r="O22" i="16"/>
  <c r="D22" i="16"/>
  <c r="E22" i="16"/>
  <c r="F22" i="16"/>
  <c r="G22" i="16"/>
  <c r="H22" i="16"/>
  <c r="K24" i="16"/>
  <c r="L24" i="16"/>
  <c r="M24" i="16"/>
  <c r="N24" i="16"/>
  <c r="N29" i="16" s="1"/>
  <c r="O24" i="16"/>
  <c r="E55" i="17" l="1"/>
  <c r="D49" i="17"/>
  <c r="K29" i="16"/>
  <c r="L36" i="16"/>
  <c r="M25" i="16"/>
  <c r="M17" i="16" s="1"/>
  <c r="M9" i="16"/>
  <c r="M37" i="16"/>
  <c r="O29" i="16"/>
  <c r="O37" i="16"/>
  <c r="N34" i="16"/>
  <c r="O35" i="16"/>
  <c r="K25" i="16"/>
  <c r="K17" i="16" s="1"/>
  <c r="K18" i="16" s="1"/>
  <c r="O25" i="16"/>
  <c r="O17" i="16" s="1"/>
  <c r="O18" i="16" s="1"/>
  <c r="M29" i="16"/>
  <c r="O9" i="16"/>
  <c r="O13" i="16" s="1"/>
  <c r="L25" i="16"/>
  <c r="L17" i="16" s="1"/>
  <c r="L18" i="16" s="1"/>
  <c r="L29" i="16"/>
  <c r="N25" i="16"/>
  <c r="N17" i="16" s="1"/>
  <c r="N18" i="16" s="1"/>
  <c r="S18" i="1"/>
  <c r="T18" i="1"/>
  <c r="T18" i="17"/>
  <c r="T26" i="17" s="1"/>
  <c r="F61" i="17"/>
  <c r="AI20" i="17"/>
  <c r="AI21" i="17" s="1"/>
  <c r="AI26" i="17" s="1"/>
  <c r="AI74" i="17" s="1"/>
  <c r="U56" i="17"/>
  <c r="U61" i="17" s="1"/>
  <c r="AE19" i="17"/>
  <c r="AE21" i="17" s="1"/>
  <c r="Q56" i="17"/>
  <c r="S61" i="17"/>
  <c r="AI46" i="17"/>
  <c r="AG19" i="17"/>
  <c r="AG21" i="17" s="1"/>
  <c r="S56" i="17"/>
  <c r="U18" i="17"/>
  <c r="G61" i="17"/>
  <c r="Q61" i="17"/>
  <c r="AF19" i="17"/>
  <c r="AF21" i="17" s="1"/>
  <c r="R56" i="17"/>
  <c r="R61" i="17" s="1"/>
  <c r="Q26" i="17"/>
  <c r="AH21" i="17"/>
  <c r="Y50" i="17"/>
  <c r="R29" i="17"/>
  <c r="R32" i="17" s="1"/>
  <c r="S11" i="17"/>
  <c r="S44" i="17"/>
  <c r="AB7" i="17"/>
  <c r="AB10" i="17" s="1"/>
  <c r="AB34" i="17" s="1"/>
  <c r="AB39" i="17"/>
  <c r="F60" i="17"/>
  <c r="T21" i="17" s="1"/>
  <c r="AB46" i="17"/>
  <c r="AB15" i="17"/>
  <c r="T53" i="17"/>
  <c r="AH17" i="17"/>
  <c r="AH18" i="17" s="1"/>
  <c r="Q29" i="17"/>
  <c r="Q32" i="17" s="1"/>
  <c r="R44" i="17"/>
  <c r="R11" i="17"/>
  <c r="AA7" i="17"/>
  <c r="AA10" i="17" s="1"/>
  <c r="AA39" i="17"/>
  <c r="E60" i="17"/>
  <c r="T56" i="17"/>
  <c r="AG26" i="17"/>
  <c r="AG74" i="17" s="1"/>
  <c r="AG75" i="17" s="1"/>
  <c r="Q9" i="17"/>
  <c r="C46" i="17"/>
  <c r="Z7" i="17"/>
  <c r="Z39" i="17"/>
  <c r="U8" i="17"/>
  <c r="U16" i="17" s="1"/>
  <c r="U39" i="17"/>
  <c r="AA46" i="17"/>
  <c r="AA15" i="17"/>
  <c r="AB54" i="17"/>
  <c r="AA54" i="17"/>
  <c r="Z54" i="17"/>
  <c r="AG44" i="17"/>
  <c r="AG46" i="17" s="1"/>
  <c r="X39" i="17"/>
  <c r="X7" i="17"/>
  <c r="X10" i="17" s="1"/>
  <c r="X34" i="17" s="1"/>
  <c r="S8" i="17"/>
  <c r="S39" i="17"/>
  <c r="N59" i="17"/>
  <c r="D60" i="17"/>
  <c r="M59" i="17"/>
  <c r="AF26" i="17"/>
  <c r="AF74" i="17" s="1"/>
  <c r="AF75" i="17" s="1"/>
  <c r="L59" i="17"/>
  <c r="AE26" i="17"/>
  <c r="AE74" i="17" s="1"/>
  <c r="K59" i="17"/>
  <c r="X46" i="17"/>
  <c r="X15" i="17"/>
  <c r="L54" i="17"/>
  <c r="L63" i="17" s="1"/>
  <c r="R31" i="17"/>
  <c r="Y53" i="17" s="1"/>
  <c r="D54" i="17"/>
  <c r="D55" i="17" s="1"/>
  <c r="N54" i="17"/>
  <c r="N63" i="17" s="1"/>
  <c r="U23" i="17"/>
  <c r="U58" i="17" s="1"/>
  <c r="AI23" i="17" s="1"/>
  <c r="Q14" i="17"/>
  <c r="Q49" i="17" s="1"/>
  <c r="AE14" i="17" s="1"/>
  <c r="J49" i="17"/>
  <c r="J63" i="17" s="1"/>
  <c r="M46" i="17"/>
  <c r="M63" i="17" s="1"/>
  <c r="R8" i="17"/>
  <c r="R39" i="17"/>
  <c r="C61" i="17"/>
  <c r="AH46" i="17"/>
  <c r="Y39" i="17"/>
  <c r="Y7" i="17"/>
  <c r="Y10" i="17" s="1"/>
  <c r="Y34" i="17" s="1"/>
  <c r="T8" i="17"/>
  <c r="T16" i="17" s="1"/>
  <c r="T27" i="17" s="1"/>
  <c r="T39" i="17"/>
  <c r="C60" i="17"/>
  <c r="Q21" i="17" s="1"/>
  <c r="Y46" i="17"/>
  <c r="Y15" i="17"/>
  <c r="J59" i="17"/>
  <c r="X54" i="17"/>
  <c r="K54" i="17"/>
  <c r="K63" i="17" s="1"/>
  <c r="X50" i="17"/>
  <c r="T29" i="17"/>
  <c r="AA50" i="17"/>
  <c r="U11" i="17"/>
  <c r="U44" i="17"/>
  <c r="Q8" i="17"/>
  <c r="Q39" i="17"/>
  <c r="E30" i="17"/>
  <c r="Z46" i="17"/>
  <c r="Z15" i="17"/>
  <c r="AI64" i="17"/>
  <c r="J54" i="17"/>
  <c r="AE46" i="17"/>
  <c r="Z50" i="17"/>
  <c r="S29" i="17"/>
  <c r="S32" i="17" s="1"/>
  <c r="T11" i="17"/>
  <c r="T44" i="17"/>
  <c r="C43" i="17"/>
  <c r="C49" i="17" s="1"/>
  <c r="C63" i="17" s="1"/>
  <c r="U28" i="17"/>
  <c r="Z8" i="17"/>
  <c r="Z43" i="17" s="1"/>
  <c r="AG35" i="17" s="1"/>
  <c r="G43" i="17"/>
  <c r="G49" i="17" s="1"/>
  <c r="G63" i="17" s="1"/>
  <c r="F43" i="17"/>
  <c r="F49" i="17" s="1"/>
  <c r="F63" i="17" s="1"/>
  <c r="U15" i="17"/>
  <c r="U50" i="17" s="1"/>
  <c r="AI15" i="17" s="1"/>
  <c r="E43" i="17"/>
  <c r="E49" i="17" s="1"/>
  <c r="N6" i="16"/>
  <c r="F16" i="16"/>
  <c r="F23" i="16" s="1"/>
  <c r="F25" i="16" s="1"/>
  <c r="M15" i="16"/>
  <c r="N9" i="16"/>
  <c r="N13" i="16" s="1"/>
  <c r="M18" i="16"/>
  <c r="L15" i="16"/>
  <c r="E16" i="16"/>
  <c r="E23" i="16" s="1"/>
  <c r="E25" i="16" s="1"/>
  <c r="K15" i="16"/>
  <c r="D16" i="16"/>
  <c r="D23" i="16" s="1"/>
  <c r="D25" i="16" s="1"/>
  <c r="O6" i="16"/>
  <c r="M4" i="16"/>
  <c r="M36" i="16" s="1"/>
  <c r="L9" i="16"/>
  <c r="L4" i="16"/>
  <c r="K4" i="16"/>
  <c r="K36" i="16" s="1"/>
  <c r="K9" i="16"/>
  <c r="H8" i="16"/>
  <c r="H12" i="16" s="1"/>
  <c r="G8" i="16"/>
  <c r="G12" i="16" s="1"/>
  <c r="L34" i="16" l="1"/>
  <c r="K35" i="16"/>
  <c r="L35" i="16"/>
  <c r="L37" i="16"/>
  <c r="M34" i="16"/>
  <c r="K37" i="16"/>
  <c r="M35" i="16"/>
  <c r="AE63" i="17"/>
  <c r="AB42" i="17"/>
  <c r="AB45" i="17" s="1"/>
  <c r="AI31" i="17"/>
  <c r="AI34" i="17" s="1"/>
  <c r="AI37" i="17" s="1"/>
  <c r="AG38" i="17"/>
  <c r="AH38" i="17"/>
  <c r="U43" i="17"/>
  <c r="AI4" i="17"/>
  <c r="AI8" i="17" s="1"/>
  <c r="AA34" i="17"/>
  <c r="T43" i="17"/>
  <c r="AH4" i="17"/>
  <c r="AH8" i="17" s="1"/>
  <c r="X51" i="17"/>
  <c r="X55" i="17" s="1"/>
  <c r="AH26" i="17"/>
  <c r="AH74" i="17" s="1"/>
  <c r="AH75" i="17" s="1"/>
  <c r="AH64" i="17"/>
  <c r="Y42" i="17"/>
  <c r="Y45" i="17" s="1"/>
  <c r="AF31" i="17"/>
  <c r="AF34" i="17" s="1"/>
  <c r="AF37" i="17" s="1"/>
  <c r="Z51" i="17"/>
  <c r="Z55" i="17" s="1"/>
  <c r="AE38" i="17"/>
  <c r="S21" i="17"/>
  <c r="S26" i="17" s="1"/>
  <c r="E61" i="17"/>
  <c r="U29" i="17"/>
  <c r="AB50" i="17"/>
  <c r="U32" i="17"/>
  <c r="AH31" i="17"/>
  <c r="AH34" i="17" s="1"/>
  <c r="AH37" i="17" s="1"/>
  <c r="AA42" i="17"/>
  <c r="AA45" i="17" s="1"/>
  <c r="R21" i="17"/>
  <c r="R26" i="17" s="1"/>
  <c r="D61" i="17"/>
  <c r="D63" i="17" s="1"/>
  <c r="AG31" i="17"/>
  <c r="AG34" i="17" s="1"/>
  <c r="AG37" i="17" s="1"/>
  <c r="Z42" i="17"/>
  <c r="Z45" i="17" s="1"/>
  <c r="AI38" i="17"/>
  <c r="Z10" i="17"/>
  <c r="Z34" i="17" s="1"/>
  <c r="E63" i="17"/>
  <c r="T32" i="17"/>
  <c r="T33" i="17" s="1"/>
  <c r="T34" i="17" s="1"/>
  <c r="AF38" i="17"/>
  <c r="R43" i="17"/>
  <c r="AF4" i="17"/>
  <c r="AF8" i="17" s="1"/>
  <c r="AF16" i="17" s="1"/>
  <c r="AF27" i="17" s="1"/>
  <c r="S43" i="17"/>
  <c r="AG4" i="17"/>
  <c r="AG8" i="17" s="1"/>
  <c r="AG16" i="17" s="1"/>
  <c r="AG27" i="17" s="1"/>
  <c r="AF9" i="17"/>
  <c r="AF11" i="17" s="1"/>
  <c r="R46" i="17"/>
  <c r="Y51" i="17"/>
  <c r="Y55" i="17" s="1"/>
  <c r="U26" i="17"/>
  <c r="U27" i="17" s="1"/>
  <c r="X42" i="17"/>
  <c r="X45" i="17" s="1"/>
  <c r="AE31" i="17"/>
  <c r="AE34" i="17" s="1"/>
  <c r="AE37" i="17" s="1"/>
  <c r="Q43" i="17"/>
  <c r="AE4" i="17"/>
  <c r="AE8" i="17" s="1"/>
  <c r="T61" i="17"/>
  <c r="AG9" i="17"/>
  <c r="AG11" i="17" s="1"/>
  <c r="S46" i="17"/>
  <c r="Q16" i="17"/>
  <c r="Q27" i="17" s="1"/>
  <c r="AI9" i="17"/>
  <c r="AI11" i="17" s="1"/>
  <c r="U46" i="17"/>
  <c r="R33" i="17"/>
  <c r="AH9" i="17"/>
  <c r="AH11" i="17" s="1"/>
  <c r="T46" i="17"/>
  <c r="S33" i="17"/>
  <c r="AA51" i="17"/>
  <c r="AA55" i="17" s="1"/>
  <c r="R16" i="17"/>
  <c r="R27" i="17" s="1"/>
  <c r="R34" i="17" s="1"/>
  <c r="AF45" i="17"/>
  <c r="AF46" i="17" s="1"/>
  <c r="Y54" i="17"/>
  <c r="S16" i="17"/>
  <c r="S27" i="17" s="1"/>
  <c r="Q44" i="17"/>
  <c r="Q11" i="17"/>
  <c r="Q33" i="17"/>
  <c r="M19" i="16"/>
  <c r="O15" i="16"/>
  <c r="H16" i="16"/>
  <c r="H23" i="16" s="1"/>
  <c r="H25" i="16" s="1"/>
  <c r="L19" i="16"/>
  <c r="M13" i="16"/>
  <c r="M6" i="16"/>
  <c r="L13" i="16"/>
  <c r="L6" i="16"/>
  <c r="G16" i="16"/>
  <c r="G23" i="16" s="1"/>
  <c r="G25" i="16" s="1"/>
  <c r="N15" i="16"/>
  <c r="K19" i="16"/>
  <c r="K6" i="16"/>
  <c r="K13" i="16"/>
  <c r="Q34" i="17" l="1"/>
  <c r="S34" i="17"/>
  <c r="X62" i="17"/>
  <c r="S51" i="17"/>
  <c r="S62" i="17" s="1"/>
  <c r="AE47" i="17"/>
  <c r="AE49" i="17" s="1"/>
  <c r="AH47" i="17"/>
  <c r="AH49" i="17" s="1"/>
  <c r="R51" i="17"/>
  <c r="R62" i="17" s="1"/>
  <c r="Z62" i="17"/>
  <c r="AH16" i="17"/>
  <c r="AH27" i="17" s="1"/>
  <c r="AE9" i="17"/>
  <c r="AE11" i="17" s="1"/>
  <c r="Q46" i="17"/>
  <c r="Q51" i="17" s="1"/>
  <c r="Q62" i="17" s="1"/>
  <c r="AG66" i="17"/>
  <c r="AI47" i="17"/>
  <c r="AI49" i="17" s="1"/>
  <c r="AB51" i="17"/>
  <c r="AB55" i="17" s="1"/>
  <c r="AB62" i="17" s="1"/>
  <c r="T51" i="17"/>
  <c r="T62" i="17" s="1"/>
  <c r="AG47" i="17"/>
  <c r="AG49" i="17" s="1"/>
  <c r="AH66" i="17"/>
  <c r="AF47" i="17"/>
  <c r="AF49" i="17" s="1"/>
  <c r="U33" i="17"/>
  <c r="U34" i="17" s="1"/>
  <c r="AI66" i="17"/>
  <c r="AE16" i="17"/>
  <c r="AE27" i="17" s="1"/>
  <c r="Y62" i="17"/>
  <c r="AI16" i="17"/>
  <c r="AI27" i="17" s="1"/>
  <c r="AF66" i="17"/>
  <c r="AA62" i="17"/>
  <c r="U51" i="17"/>
  <c r="U62" i="17" s="1"/>
  <c r="AI75" i="17"/>
  <c r="L26" i="16"/>
  <c r="AF65" i="17" s="1"/>
  <c r="K26" i="16"/>
  <c r="O19" i="16"/>
  <c r="N19" i="16"/>
  <c r="M26" i="16"/>
  <c r="AG65" i="17" s="1"/>
  <c r="AE65" i="17" l="1"/>
  <c r="AE66" i="17"/>
  <c r="O26" i="16"/>
  <c r="AI65" i="17" s="1"/>
  <c r="M28" i="16"/>
  <c r="K28" i="16"/>
  <c r="N26" i="16"/>
  <c r="AH65" i="17" s="1"/>
  <c r="L28" i="16"/>
  <c r="O28" i="16" l="1"/>
  <c r="N28" i="16"/>
  <c r="G31" i="1" l="1"/>
  <c r="N34" i="2"/>
  <c r="N35" i="2" s="1"/>
  <c r="M35" i="2"/>
  <c r="L35" i="2" l="1"/>
  <c r="D16" i="8"/>
  <c r="E16" i="8"/>
  <c r="F16" i="8"/>
  <c r="G16" i="8"/>
  <c r="C16" i="8"/>
  <c r="C14" i="11" l="1"/>
  <c r="C16" i="11" s="1"/>
  <c r="E14" i="10"/>
  <c r="D7" i="10"/>
  <c r="H7" i="10"/>
  <c r="D5" i="10"/>
  <c r="E7" i="10"/>
  <c r="F7" i="10"/>
  <c r="G7" i="10"/>
  <c r="C7" i="10"/>
  <c r="G6" i="10"/>
  <c r="F6" i="10"/>
  <c r="E6" i="10"/>
  <c r="D6" i="10"/>
  <c r="C6" i="10"/>
  <c r="G5" i="10"/>
  <c r="F5" i="10"/>
  <c r="E5" i="10"/>
  <c r="C5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0" i="10"/>
  <c r="F801" i="10"/>
  <c r="F802" i="10"/>
  <c r="F803" i="10"/>
  <c r="F804" i="10"/>
  <c r="F805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18" i="10"/>
  <c r="F819" i="10"/>
  <c r="F820" i="10"/>
  <c r="F821" i="10"/>
  <c r="F822" i="10"/>
  <c r="F823" i="10"/>
  <c r="F824" i="10"/>
  <c r="F825" i="10"/>
  <c r="F826" i="10"/>
  <c r="F827" i="10"/>
  <c r="F828" i="10"/>
  <c r="F829" i="10"/>
  <c r="F830" i="10"/>
  <c r="F831" i="10"/>
  <c r="F832" i="10"/>
  <c r="F833" i="10"/>
  <c r="F834" i="10"/>
  <c r="F835" i="10"/>
  <c r="F836" i="10"/>
  <c r="F837" i="10"/>
  <c r="F838" i="10"/>
  <c r="F839" i="10"/>
  <c r="F840" i="10"/>
  <c r="F841" i="10"/>
  <c r="F842" i="10"/>
  <c r="F843" i="10"/>
  <c r="F844" i="10"/>
  <c r="F845" i="10"/>
  <c r="F846" i="10"/>
  <c r="F847" i="10"/>
  <c r="F848" i="10"/>
  <c r="F849" i="10"/>
  <c r="F850" i="10"/>
  <c r="F851" i="10"/>
  <c r="F852" i="10"/>
  <c r="F853" i="10"/>
  <c r="F854" i="10"/>
  <c r="F855" i="10"/>
  <c r="F856" i="10"/>
  <c r="F857" i="10"/>
  <c r="F858" i="10"/>
  <c r="F859" i="10"/>
  <c r="F860" i="10"/>
  <c r="F861" i="10"/>
  <c r="F862" i="10"/>
  <c r="F863" i="10"/>
  <c r="F864" i="10"/>
  <c r="F865" i="10"/>
  <c r="F866" i="10"/>
  <c r="F867" i="10"/>
  <c r="F868" i="10"/>
  <c r="F869" i="10"/>
  <c r="F870" i="10"/>
  <c r="F871" i="10"/>
  <c r="F872" i="10"/>
  <c r="F873" i="10"/>
  <c r="F874" i="10"/>
  <c r="F875" i="10"/>
  <c r="F876" i="10"/>
  <c r="F877" i="10"/>
  <c r="F878" i="10"/>
  <c r="F879" i="10"/>
  <c r="F880" i="10"/>
  <c r="F881" i="10"/>
  <c r="F882" i="10"/>
  <c r="F883" i="10"/>
  <c r="F884" i="10"/>
  <c r="F885" i="10"/>
  <c r="F886" i="10"/>
  <c r="F887" i="10"/>
  <c r="F888" i="10"/>
  <c r="F889" i="10"/>
  <c r="F890" i="10"/>
  <c r="F891" i="10"/>
  <c r="F892" i="10"/>
  <c r="F893" i="10"/>
  <c r="F894" i="10"/>
  <c r="F895" i="10"/>
  <c r="F896" i="10"/>
  <c r="F897" i="10"/>
  <c r="F898" i="10"/>
  <c r="F899" i="10"/>
  <c r="F900" i="10"/>
  <c r="F901" i="10"/>
  <c r="F902" i="10"/>
  <c r="F903" i="10"/>
  <c r="F904" i="10"/>
  <c r="F905" i="10"/>
  <c r="F906" i="10"/>
  <c r="F907" i="10"/>
  <c r="F908" i="10"/>
  <c r="F909" i="10"/>
  <c r="F910" i="10"/>
  <c r="F911" i="10"/>
  <c r="F912" i="10"/>
  <c r="F913" i="10"/>
  <c r="F914" i="10"/>
  <c r="F915" i="10"/>
  <c r="F916" i="10"/>
  <c r="F917" i="10"/>
  <c r="F918" i="10"/>
  <c r="F919" i="10"/>
  <c r="F920" i="10"/>
  <c r="F921" i="10"/>
  <c r="F922" i="10"/>
  <c r="F923" i="10"/>
  <c r="F924" i="10"/>
  <c r="F925" i="10"/>
  <c r="F926" i="10"/>
  <c r="F927" i="10"/>
  <c r="F928" i="10"/>
  <c r="F929" i="10"/>
  <c r="F930" i="10"/>
  <c r="F931" i="10"/>
  <c r="F932" i="10"/>
  <c r="F933" i="10"/>
  <c r="F934" i="10"/>
  <c r="F935" i="10"/>
  <c r="F936" i="10"/>
  <c r="F937" i="10"/>
  <c r="F938" i="10"/>
  <c r="F939" i="10"/>
  <c r="F940" i="10"/>
  <c r="F941" i="10"/>
  <c r="F942" i="10"/>
  <c r="F943" i="10"/>
  <c r="F944" i="10"/>
  <c r="F945" i="10"/>
  <c r="F946" i="10"/>
  <c r="F947" i="10"/>
  <c r="F948" i="10"/>
  <c r="F949" i="10"/>
  <c r="F950" i="10"/>
  <c r="F951" i="10"/>
  <c r="F952" i="10"/>
  <c r="F953" i="10"/>
  <c r="F954" i="10"/>
  <c r="F955" i="10"/>
  <c r="F956" i="10"/>
  <c r="F957" i="10"/>
  <c r="F958" i="10"/>
  <c r="F959" i="10"/>
  <c r="F960" i="10"/>
  <c r="F961" i="10"/>
  <c r="F962" i="10"/>
  <c r="F963" i="10"/>
  <c r="F964" i="10"/>
  <c r="F965" i="10"/>
  <c r="F966" i="10"/>
  <c r="F967" i="10"/>
  <c r="F968" i="10"/>
  <c r="F969" i="10"/>
  <c r="F970" i="10"/>
  <c r="F971" i="10"/>
  <c r="F972" i="10"/>
  <c r="F973" i="10"/>
  <c r="F974" i="10"/>
  <c r="F975" i="10"/>
  <c r="F976" i="10"/>
  <c r="F977" i="10"/>
  <c r="F978" i="10"/>
  <c r="F979" i="10"/>
  <c r="F980" i="10"/>
  <c r="F981" i="10"/>
  <c r="F982" i="10"/>
  <c r="F983" i="10"/>
  <c r="F984" i="10"/>
  <c r="F985" i="10"/>
  <c r="F986" i="10"/>
  <c r="F987" i="10"/>
  <c r="F988" i="10"/>
  <c r="F989" i="10"/>
  <c r="F990" i="10"/>
  <c r="F991" i="10"/>
  <c r="F992" i="10"/>
  <c r="F993" i="10"/>
  <c r="F994" i="10"/>
  <c r="F995" i="10"/>
  <c r="F996" i="10"/>
  <c r="F997" i="10"/>
  <c r="F998" i="10"/>
  <c r="F999" i="10"/>
  <c r="F1000" i="10"/>
  <c r="F1001" i="10"/>
  <c r="F1002" i="10"/>
  <c r="F1003" i="10"/>
  <c r="F1004" i="10"/>
  <c r="F1005" i="10"/>
  <c r="F1006" i="10"/>
  <c r="F1007" i="10"/>
  <c r="F1008" i="10"/>
  <c r="F1009" i="10"/>
  <c r="F1010" i="10"/>
  <c r="F1011" i="10"/>
  <c r="F1012" i="10"/>
  <c r="F1013" i="10"/>
  <c r="F1014" i="10"/>
  <c r="F1015" i="10"/>
  <c r="F1016" i="10"/>
  <c r="F1017" i="10"/>
  <c r="F1018" i="10"/>
  <c r="F1019" i="10"/>
  <c r="F1020" i="10"/>
  <c r="F1021" i="10"/>
  <c r="F1022" i="10"/>
  <c r="F1023" i="10"/>
  <c r="F1024" i="10"/>
  <c r="F1025" i="10"/>
  <c r="F1026" i="10"/>
  <c r="F1027" i="10"/>
  <c r="F1028" i="10"/>
  <c r="F1029" i="10"/>
  <c r="F1030" i="10"/>
  <c r="F1031" i="10"/>
  <c r="F1032" i="10"/>
  <c r="F1033" i="10"/>
  <c r="F1034" i="10"/>
  <c r="F1035" i="10"/>
  <c r="F1036" i="10"/>
  <c r="F1037" i="10"/>
  <c r="F1038" i="10"/>
  <c r="F1039" i="10"/>
  <c r="F1040" i="10"/>
  <c r="F1041" i="10"/>
  <c r="F1042" i="10"/>
  <c r="F1043" i="10"/>
  <c r="F1044" i="10"/>
  <c r="F1045" i="10"/>
  <c r="F1046" i="10"/>
  <c r="F1047" i="10"/>
  <c r="F1048" i="10"/>
  <c r="F1049" i="10"/>
  <c r="F1050" i="10"/>
  <c r="F1051" i="10"/>
  <c r="F1052" i="10"/>
  <c r="F1053" i="10"/>
  <c r="F1054" i="10"/>
  <c r="F1055" i="10"/>
  <c r="F1056" i="10"/>
  <c r="F1057" i="10"/>
  <c r="F1058" i="10"/>
  <c r="F1059" i="10"/>
  <c r="F1060" i="10"/>
  <c r="F1061" i="10"/>
  <c r="F1062" i="10"/>
  <c r="F1063" i="10"/>
  <c r="F1064" i="10"/>
  <c r="F1065" i="10"/>
  <c r="F1066" i="10"/>
  <c r="F1067" i="10"/>
  <c r="F1068" i="10"/>
  <c r="F1069" i="10"/>
  <c r="F1070" i="10"/>
  <c r="F1071" i="10"/>
  <c r="F1072" i="10"/>
  <c r="F1073" i="10"/>
  <c r="F1074" i="10"/>
  <c r="F1075" i="10"/>
  <c r="F1076" i="10"/>
  <c r="F1077" i="10"/>
  <c r="F1078" i="10"/>
  <c r="F1079" i="10"/>
  <c r="F1080" i="10"/>
  <c r="F1081" i="10"/>
  <c r="F1082" i="10"/>
  <c r="F1083" i="10"/>
  <c r="F1084" i="10"/>
  <c r="F1085" i="10"/>
  <c r="F1086" i="10"/>
  <c r="F1087" i="10"/>
  <c r="F1088" i="10"/>
  <c r="F1089" i="10"/>
  <c r="F1090" i="10"/>
  <c r="F1091" i="10"/>
  <c r="F1092" i="10"/>
  <c r="F1093" i="10"/>
  <c r="F1094" i="10"/>
  <c r="F1095" i="10"/>
  <c r="F1096" i="10"/>
  <c r="F1097" i="10"/>
  <c r="F1098" i="10"/>
  <c r="F1099" i="10"/>
  <c r="F1100" i="10"/>
  <c r="F1101" i="10"/>
  <c r="F1102" i="10"/>
  <c r="F1103" i="10"/>
  <c r="F1104" i="10"/>
  <c r="F1105" i="10"/>
  <c r="F1106" i="10"/>
  <c r="F1107" i="10"/>
  <c r="F1108" i="10"/>
  <c r="F1109" i="10"/>
  <c r="F1110" i="10"/>
  <c r="F1111" i="10"/>
  <c r="F1112" i="10"/>
  <c r="F1113" i="10"/>
  <c r="F1114" i="10"/>
  <c r="F1115" i="10"/>
  <c r="F1116" i="10"/>
  <c r="F1117" i="10"/>
  <c r="F1118" i="10"/>
  <c r="F1119" i="10"/>
  <c r="F1120" i="10"/>
  <c r="F1121" i="10"/>
  <c r="F1122" i="10"/>
  <c r="F1123" i="10"/>
  <c r="F1124" i="10"/>
  <c r="F1125" i="10"/>
  <c r="F1126" i="10"/>
  <c r="F1127" i="10"/>
  <c r="F1128" i="10"/>
  <c r="F1129" i="10"/>
  <c r="F1130" i="10"/>
  <c r="F1131" i="10"/>
  <c r="F1132" i="10"/>
  <c r="F1133" i="10"/>
  <c r="F1134" i="10"/>
  <c r="F1135" i="10"/>
  <c r="F1136" i="10"/>
  <c r="F1137" i="10"/>
  <c r="F1138" i="10"/>
  <c r="F1139" i="10"/>
  <c r="F1140" i="10"/>
  <c r="F1141" i="10"/>
  <c r="F1142" i="10"/>
  <c r="F1143" i="10"/>
  <c r="F1144" i="10"/>
  <c r="F1145" i="10"/>
  <c r="F1146" i="10"/>
  <c r="F1147" i="10"/>
  <c r="F1148" i="10"/>
  <c r="F1149" i="10"/>
  <c r="F1150" i="10"/>
  <c r="F1151" i="10"/>
  <c r="F1152" i="10"/>
  <c r="F1153" i="10"/>
  <c r="F1154" i="10"/>
  <c r="F1155" i="10"/>
  <c r="F1156" i="10"/>
  <c r="F1157" i="10"/>
  <c r="F1158" i="10"/>
  <c r="F1159" i="10"/>
  <c r="F1160" i="10"/>
  <c r="F1161" i="10"/>
  <c r="F1162" i="10"/>
  <c r="F1163" i="10"/>
  <c r="F1164" i="10"/>
  <c r="F1165" i="10"/>
  <c r="F1166" i="10"/>
  <c r="F1167" i="10"/>
  <c r="F1168" i="10"/>
  <c r="F1169" i="10"/>
  <c r="F1170" i="10"/>
  <c r="F1171" i="10"/>
  <c r="F1172" i="10"/>
  <c r="F1173" i="10"/>
  <c r="F1174" i="10"/>
  <c r="F1175" i="10"/>
  <c r="F1176" i="10"/>
  <c r="F1177" i="10"/>
  <c r="F1178" i="10"/>
  <c r="F1179" i="10"/>
  <c r="F1180" i="10"/>
  <c r="F1181" i="10"/>
  <c r="F1182" i="10"/>
  <c r="F1183" i="10"/>
  <c r="F1184" i="10"/>
  <c r="F1185" i="10"/>
  <c r="F1186" i="10"/>
  <c r="F1187" i="10"/>
  <c r="F1188" i="10"/>
  <c r="F1189" i="10"/>
  <c r="F1190" i="10"/>
  <c r="F1191" i="10"/>
  <c r="F1192" i="10"/>
  <c r="F1193" i="10"/>
  <c r="F1194" i="10"/>
  <c r="F1195" i="10"/>
  <c r="F1196" i="10"/>
  <c r="F1197" i="10"/>
  <c r="F1198" i="10"/>
  <c r="F1199" i="10"/>
  <c r="F1200" i="10"/>
  <c r="F1201" i="10"/>
  <c r="F1202" i="10"/>
  <c r="F1203" i="10"/>
  <c r="F1204" i="10"/>
  <c r="F1205" i="10"/>
  <c r="F1206" i="10"/>
  <c r="F1207" i="10"/>
  <c r="F1208" i="10"/>
  <c r="F1209" i="10"/>
  <c r="F1210" i="10"/>
  <c r="F1211" i="10"/>
  <c r="F1212" i="10"/>
  <c r="F1213" i="10"/>
  <c r="F1214" i="10"/>
  <c r="F1215" i="10"/>
  <c r="F1216" i="10"/>
  <c r="F1217" i="10"/>
  <c r="F1218" i="10"/>
  <c r="F1219" i="10"/>
  <c r="F1220" i="10"/>
  <c r="F1221" i="10"/>
  <c r="F1222" i="10"/>
  <c r="F1223" i="10"/>
  <c r="F1224" i="10"/>
  <c r="F1225" i="10"/>
  <c r="F1226" i="10"/>
  <c r="F1227" i="10"/>
  <c r="F1228" i="10"/>
  <c r="F1229" i="10"/>
  <c r="F1230" i="10"/>
  <c r="F1231" i="10"/>
  <c r="F1232" i="10"/>
  <c r="F1233" i="10"/>
  <c r="F1234" i="10"/>
  <c r="F1235" i="10"/>
  <c r="F1236" i="10"/>
  <c r="F1237" i="10"/>
  <c r="F1238" i="10"/>
  <c r="F1239" i="10"/>
  <c r="F1240" i="10"/>
  <c r="F1241" i="10"/>
  <c r="F1242" i="10"/>
  <c r="F1243" i="10"/>
  <c r="F1244" i="10"/>
  <c r="F1245" i="10"/>
  <c r="F1246" i="10"/>
  <c r="F1247" i="10"/>
  <c r="F1248" i="10"/>
  <c r="F1249" i="10"/>
  <c r="F1250" i="10"/>
  <c r="F1251" i="10"/>
  <c r="F1252" i="10"/>
  <c r="F1253" i="10"/>
  <c r="F1254" i="10"/>
  <c r="F1255" i="10"/>
  <c r="F1256" i="10"/>
  <c r="F1257" i="10"/>
  <c r="F1258" i="10"/>
  <c r="F1259" i="10"/>
  <c r="F1260" i="10"/>
  <c r="F1261" i="10"/>
  <c r="F1262" i="10"/>
  <c r="F1263" i="10"/>
  <c r="F1264" i="10"/>
  <c r="F1265" i="10"/>
  <c r="F1266" i="10"/>
  <c r="F1267" i="10"/>
  <c r="F1268" i="10"/>
  <c r="F1269" i="10"/>
  <c r="F1270" i="10"/>
  <c r="F1271" i="10"/>
  <c r="F1272" i="10"/>
  <c r="F1273" i="10"/>
  <c r="F1274" i="10"/>
  <c r="F1275" i="10"/>
  <c r="F1276" i="10"/>
  <c r="F1277" i="10"/>
  <c r="F1278" i="10"/>
  <c r="F1279" i="10"/>
  <c r="F1280" i="10"/>
  <c r="F1281" i="10"/>
  <c r="F1282" i="10"/>
  <c r="F1283" i="10"/>
  <c r="F1284" i="10"/>
  <c r="F1285" i="10"/>
  <c r="F1286" i="10"/>
  <c r="F1287" i="10"/>
  <c r="F1288" i="10"/>
  <c r="F1289" i="10"/>
  <c r="F1290" i="10"/>
  <c r="F1291" i="10"/>
  <c r="F1292" i="10"/>
  <c r="F1293" i="10"/>
  <c r="F1294" i="10"/>
  <c r="F1295" i="10"/>
  <c r="F1296" i="10"/>
  <c r="F1297" i="10"/>
  <c r="F1298" i="10"/>
  <c r="F1299" i="10"/>
  <c r="F1300" i="10"/>
  <c r="F1301" i="10"/>
  <c r="F14" i="10"/>
  <c r="E1301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881" i="10"/>
  <c r="E882" i="10"/>
  <c r="E883" i="10"/>
  <c r="E884" i="10"/>
  <c r="E885" i="10"/>
  <c r="E886" i="10"/>
  <c r="E887" i="10"/>
  <c r="E888" i="10"/>
  <c r="E889" i="10"/>
  <c r="E890" i="10"/>
  <c r="E891" i="10"/>
  <c r="E892" i="10"/>
  <c r="E893" i="10"/>
  <c r="E894" i="10"/>
  <c r="E895" i="10"/>
  <c r="E896" i="10"/>
  <c r="E897" i="10"/>
  <c r="E898" i="10"/>
  <c r="E899" i="10"/>
  <c r="E900" i="10"/>
  <c r="E901" i="10"/>
  <c r="E902" i="10"/>
  <c r="E903" i="10"/>
  <c r="E904" i="10"/>
  <c r="E905" i="10"/>
  <c r="E906" i="10"/>
  <c r="E907" i="10"/>
  <c r="E908" i="10"/>
  <c r="E909" i="10"/>
  <c r="E910" i="10"/>
  <c r="E911" i="10"/>
  <c r="E912" i="10"/>
  <c r="E913" i="10"/>
  <c r="E914" i="10"/>
  <c r="E915" i="10"/>
  <c r="E916" i="10"/>
  <c r="E917" i="10"/>
  <c r="E918" i="10"/>
  <c r="E919" i="10"/>
  <c r="E920" i="10"/>
  <c r="E921" i="10"/>
  <c r="E922" i="10"/>
  <c r="E923" i="10"/>
  <c r="E924" i="10"/>
  <c r="E925" i="10"/>
  <c r="E926" i="10"/>
  <c r="E927" i="10"/>
  <c r="E928" i="10"/>
  <c r="E929" i="10"/>
  <c r="E930" i="10"/>
  <c r="E931" i="10"/>
  <c r="E932" i="10"/>
  <c r="E933" i="10"/>
  <c r="E934" i="10"/>
  <c r="E935" i="10"/>
  <c r="E936" i="10"/>
  <c r="E937" i="10"/>
  <c r="E938" i="10"/>
  <c r="E939" i="10"/>
  <c r="E940" i="10"/>
  <c r="E941" i="10"/>
  <c r="E942" i="10"/>
  <c r="E943" i="10"/>
  <c r="E944" i="10"/>
  <c r="E945" i="10"/>
  <c r="E946" i="10"/>
  <c r="E947" i="10"/>
  <c r="E948" i="10"/>
  <c r="E949" i="10"/>
  <c r="E950" i="10"/>
  <c r="E951" i="10"/>
  <c r="E952" i="10"/>
  <c r="E953" i="10"/>
  <c r="E954" i="10"/>
  <c r="E955" i="10"/>
  <c r="E956" i="10"/>
  <c r="E957" i="10"/>
  <c r="E958" i="10"/>
  <c r="E959" i="10"/>
  <c r="E960" i="10"/>
  <c r="E961" i="10"/>
  <c r="E962" i="10"/>
  <c r="E963" i="10"/>
  <c r="E964" i="10"/>
  <c r="E965" i="10"/>
  <c r="E966" i="10"/>
  <c r="E967" i="10"/>
  <c r="E968" i="10"/>
  <c r="E969" i="10"/>
  <c r="E970" i="10"/>
  <c r="E971" i="10"/>
  <c r="E972" i="10"/>
  <c r="E973" i="10"/>
  <c r="E974" i="10"/>
  <c r="E975" i="10"/>
  <c r="E976" i="10"/>
  <c r="E977" i="10"/>
  <c r="E978" i="10"/>
  <c r="E979" i="10"/>
  <c r="E980" i="10"/>
  <c r="E981" i="10"/>
  <c r="E982" i="10"/>
  <c r="E983" i="10"/>
  <c r="E984" i="10"/>
  <c r="E985" i="10"/>
  <c r="E986" i="10"/>
  <c r="E987" i="10"/>
  <c r="E988" i="10"/>
  <c r="E989" i="10"/>
  <c r="E990" i="10"/>
  <c r="E991" i="10"/>
  <c r="E992" i="10"/>
  <c r="E993" i="10"/>
  <c r="E994" i="10"/>
  <c r="E995" i="10"/>
  <c r="E996" i="10"/>
  <c r="E997" i="10"/>
  <c r="E998" i="10"/>
  <c r="E999" i="10"/>
  <c r="E1000" i="10"/>
  <c r="E1001" i="10"/>
  <c r="E1002" i="10"/>
  <c r="E1003" i="10"/>
  <c r="E1004" i="10"/>
  <c r="E1005" i="10"/>
  <c r="E1006" i="10"/>
  <c r="E1007" i="10"/>
  <c r="E1008" i="10"/>
  <c r="E1009" i="10"/>
  <c r="E1010" i="10"/>
  <c r="E1011" i="10"/>
  <c r="E1012" i="10"/>
  <c r="E1013" i="10"/>
  <c r="E1014" i="10"/>
  <c r="E1015" i="10"/>
  <c r="E1016" i="10"/>
  <c r="E1017" i="10"/>
  <c r="E1018" i="10"/>
  <c r="E1019" i="10"/>
  <c r="E1020" i="10"/>
  <c r="E1021" i="10"/>
  <c r="E1022" i="10"/>
  <c r="E1023" i="10"/>
  <c r="E1024" i="10"/>
  <c r="E1025" i="10"/>
  <c r="E1026" i="10"/>
  <c r="E1027" i="10"/>
  <c r="E1028" i="10"/>
  <c r="E1029" i="10"/>
  <c r="E1030" i="10"/>
  <c r="E1031" i="10"/>
  <c r="E1032" i="10"/>
  <c r="E1033" i="10"/>
  <c r="E1034" i="10"/>
  <c r="E1035" i="10"/>
  <c r="E1036" i="10"/>
  <c r="E1037" i="10"/>
  <c r="E1038" i="10"/>
  <c r="E1039" i="10"/>
  <c r="E1040" i="10"/>
  <c r="E1041" i="10"/>
  <c r="E1042" i="10"/>
  <c r="E1043" i="10"/>
  <c r="E1044" i="10"/>
  <c r="E1045" i="10"/>
  <c r="E1046" i="10"/>
  <c r="E1047" i="10"/>
  <c r="E1048" i="10"/>
  <c r="E1049" i="10"/>
  <c r="E1050" i="10"/>
  <c r="E1051" i="10"/>
  <c r="E1052" i="10"/>
  <c r="E1053" i="10"/>
  <c r="E1054" i="10"/>
  <c r="E1055" i="10"/>
  <c r="E1056" i="10"/>
  <c r="E1057" i="10"/>
  <c r="E1058" i="10"/>
  <c r="E1059" i="10"/>
  <c r="E1060" i="10"/>
  <c r="E1061" i="10"/>
  <c r="E1062" i="10"/>
  <c r="E1063" i="10"/>
  <c r="E1064" i="10"/>
  <c r="E1065" i="10"/>
  <c r="E1066" i="10"/>
  <c r="E1067" i="10"/>
  <c r="E1068" i="10"/>
  <c r="E1069" i="10"/>
  <c r="E1070" i="10"/>
  <c r="E1071" i="10"/>
  <c r="E1072" i="10"/>
  <c r="E1073" i="10"/>
  <c r="E1074" i="10"/>
  <c r="E1075" i="10"/>
  <c r="E1076" i="10"/>
  <c r="E1077" i="10"/>
  <c r="E1078" i="10"/>
  <c r="E1079" i="10"/>
  <c r="E1080" i="10"/>
  <c r="E1081" i="10"/>
  <c r="E1082" i="10"/>
  <c r="E1083" i="10"/>
  <c r="E1084" i="10"/>
  <c r="E1085" i="10"/>
  <c r="E1086" i="10"/>
  <c r="E1087" i="10"/>
  <c r="E1088" i="10"/>
  <c r="E1089" i="10"/>
  <c r="E1090" i="10"/>
  <c r="E1091" i="10"/>
  <c r="E1092" i="10"/>
  <c r="E1093" i="10"/>
  <c r="E1094" i="10"/>
  <c r="E1095" i="10"/>
  <c r="E1096" i="10"/>
  <c r="E1097" i="10"/>
  <c r="E1098" i="10"/>
  <c r="E1099" i="10"/>
  <c r="E1100" i="10"/>
  <c r="E1101" i="10"/>
  <c r="E1102" i="10"/>
  <c r="E1103" i="10"/>
  <c r="E1104" i="10"/>
  <c r="E1105" i="10"/>
  <c r="E1106" i="10"/>
  <c r="E1107" i="10"/>
  <c r="E1108" i="10"/>
  <c r="E1109" i="10"/>
  <c r="E1110" i="10"/>
  <c r="E1111" i="10"/>
  <c r="E1112" i="10"/>
  <c r="E1113" i="10"/>
  <c r="E1114" i="10"/>
  <c r="E1115" i="10"/>
  <c r="E1116" i="10"/>
  <c r="E1117" i="10"/>
  <c r="E1118" i="10"/>
  <c r="E1119" i="10"/>
  <c r="E1120" i="10"/>
  <c r="E1121" i="10"/>
  <c r="E1122" i="10"/>
  <c r="E1123" i="10"/>
  <c r="E1124" i="10"/>
  <c r="E1125" i="10"/>
  <c r="E1126" i="10"/>
  <c r="E1127" i="10"/>
  <c r="E1128" i="10"/>
  <c r="E1129" i="10"/>
  <c r="E1130" i="10"/>
  <c r="E1131" i="10"/>
  <c r="E1132" i="10"/>
  <c r="E1133" i="10"/>
  <c r="E1134" i="10"/>
  <c r="E1135" i="10"/>
  <c r="E1136" i="10"/>
  <c r="E1137" i="10"/>
  <c r="E1138" i="10"/>
  <c r="E1139" i="10"/>
  <c r="E1140" i="10"/>
  <c r="E1141" i="10"/>
  <c r="E1142" i="10"/>
  <c r="E1143" i="10"/>
  <c r="E1144" i="10"/>
  <c r="E1145" i="10"/>
  <c r="E1146" i="10"/>
  <c r="E1147" i="10"/>
  <c r="E1148" i="10"/>
  <c r="E1149" i="10"/>
  <c r="E1150" i="10"/>
  <c r="E1151" i="10"/>
  <c r="E1152" i="10"/>
  <c r="E1153" i="10"/>
  <c r="E1154" i="10"/>
  <c r="E1155" i="10"/>
  <c r="E1156" i="10"/>
  <c r="E1157" i="10"/>
  <c r="E1158" i="10"/>
  <c r="E1159" i="10"/>
  <c r="E1160" i="10"/>
  <c r="E1161" i="10"/>
  <c r="E1162" i="10"/>
  <c r="E1163" i="10"/>
  <c r="E1164" i="10"/>
  <c r="E1165" i="10"/>
  <c r="E1166" i="10"/>
  <c r="E1167" i="10"/>
  <c r="E1168" i="10"/>
  <c r="E1169" i="10"/>
  <c r="E1170" i="10"/>
  <c r="E1171" i="10"/>
  <c r="E1172" i="10"/>
  <c r="E1173" i="10"/>
  <c r="E1174" i="10"/>
  <c r="E1175" i="10"/>
  <c r="E1176" i="10"/>
  <c r="E1177" i="10"/>
  <c r="E1178" i="10"/>
  <c r="E1179" i="10"/>
  <c r="E1180" i="10"/>
  <c r="E1181" i="10"/>
  <c r="E1182" i="10"/>
  <c r="E1183" i="10"/>
  <c r="E1184" i="10"/>
  <c r="E1185" i="10"/>
  <c r="E1186" i="10"/>
  <c r="E1187" i="10"/>
  <c r="E1188" i="10"/>
  <c r="E1189" i="10"/>
  <c r="E1190" i="10"/>
  <c r="E1191" i="10"/>
  <c r="E1192" i="10"/>
  <c r="E1193" i="10"/>
  <c r="E1194" i="10"/>
  <c r="E1195" i="10"/>
  <c r="E1196" i="10"/>
  <c r="E1197" i="10"/>
  <c r="E1198" i="10"/>
  <c r="E1199" i="10"/>
  <c r="E1200" i="10"/>
  <c r="E1201" i="10"/>
  <c r="E1202" i="10"/>
  <c r="E1203" i="10"/>
  <c r="E1204" i="10"/>
  <c r="E1205" i="10"/>
  <c r="E1206" i="10"/>
  <c r="E1207" i="10"/>
  <c r="E1208" i="10"/>
  <c r="E1209" i="10"/>
  <c r="E1210" i="10"/>
  <c r="E1211" i="10"/>
  <c r="E1212" i="10"/>
  <c r="E1213" i="10"/>
  <c r="E1214" i="10"/>
  <c r="E1215" i="10"/>
  <c r="E1216" i="10"/>
  <c r="E1217" i="10"/>
  <c r="E1218" i="10"/>
  <c r="E1219" i="10"/>
  <c r="E1220" i="10"/>
  <c r="E1221" i="10"/>
  <c r="E1222" i="10"/>
  <c r="E1223" i="10"/>
  <c r="E1224" i="10"/>
  <c r="E1225" i="10"/>
  <c r="E1226" i="10"/>
  <c r="E1227" i="10"/>
  <c r="E1228" i="10"/>
  <c r="E1229" i="10"/>
  <c r="E1230" i="10"/>
  <c r="E1231" i="10"/>
  <c r="E1232" i="10"/>
  <c r="E1233" i="10"/>
  <c r="E1234" i="10"/>
  <c r="E1235" i="10"/>
  <c r="E1236" i="10"/>
  <c r="E1237" i="10"/>
  <c r="E1238" i="10"/>
  <c r="E1239" i="10"/>
  <c r="E1240" i="10"/>
  <c r="E1241" i="10"/>
  <c r="E1242" i="10"/>
  <c r="E1243" i="10"/>
  <c r="E1244" i="10"/>
  <c r="E1245" i="10"/>
  <c r="E1246" i="10"/>
  <c r="E1247" i="10"/>
  <c r="E1248" i="10"/>
  <c r="E1249" i="10"/>
  <c r="E1250" i="10"/>
  <c r="E1251" i="10"/>
  <c r="E1252" i="10"/>
  <c r="E1253" i="10"/>
  <c r="E1254" i="10"/>
  <c r="E1255" i="10"/>
  <c r="E1256" i="10"/>
  <c r="E1257" i="10"/>
  <c r="E1258" i="10"/>
  <c r="E1259" i="10"/>
  <c r="E1260" i="10"/>
  <c r="E1261" i="10"/>
  <c r="E1262" i="10"/>
  <c r="E1263" i="10"/>
  <c r="E1264" i="10"/>
  <c r="E1265" i="10"/>
  <c r="E1266" i="10"/>
  <c r="E1267" i="10"/>
  <c r="E1268" i="10"/>
  <c r="E1269" i="10"/>
  <c r="E1270" i="10"/>
  <c r="E1271" i="10"/>
  <c r="E1272" i="10"/>
  <c r="E1273" i="10"/>
  <c r="E1274" i="10"/>
  <c r="E1275" i="10"/>
  <c r="E1276" i="10"/>
  <c r="E1277" i="10"/>
  <c r="E1278" i="10"/>
  <c r="E1279" i="10"/>
  <c r="E1280" i="10"/>
  <c r="E1281" i="10"/>
  <c r="E1282" i="10"/>
  <c r="E1283" i="10"/>
  <c r="E1284" i="10"/>
  <c r="E1285" i="10"/>
  <c r="E1286" i="10"/>
  <c r="E1287" i="10"/>
  <c r="E1288" i="10"/>
  <c r="E1289" i="10"/>
  <c r="E1290" i="10"/>
  <c r="E1291" i="10"/>
  <c r="E1292" i="10"/>
  <c r="E1293" i="10"/>
  <c r="E1294" i="10"/>
  <c r="E1295" i="10"/>
  <c r="E1296" i="10"/>
  <c r="E1297" i="10"/>
  <c r="E1298" i="10"/>
  <c r="E1299" i="10"/>
  <c r="E1300" i="10"/>
  <c r="H6" i="10"/>
  <c r="C7" i="11" l="1"/>
  <c r="H5" i="10"/>
  <c r="D45" i="12" l="1"/>
  <c r="D8" i="11"/>
  <c r="E8" i="11"/>
  <c r="F8" i="11"/>
  <c r="G8" i="11"/>
  <c r="C8" i="11"/>
  <c r="D7" i="11" l="1"/>
  <c r="E7" i="11" l="1"/>
  <c r="F7" i="11" s="1"/>
  <c r="G7" i="11" s="1"/>
  <c r="H7" i="11" l="1"/>
  <c r="I7" i="11" l="1"/>
  <c r="J7" i="11" l="1"/>
  <c r="K7" i="11" l="1"/>
  <c r="L7" i="11" l="1"/>
  <c r="D6" i="8"/>
  <c r="E6" i="8"/>
  <c r="F6" i="8"/>
  <c r="G6" i="8"/>
  <c r="C6" i="8"/>
  <c r="R14" i="2" l="1"/>
  <c r="R50" i="2" s="1"/>
  <c r="R51" i="2" s="1"/>
  <c r="S14" i="2"/>
  <c r="S50" i="2" s="1"/>
  <c r="S51" i="2" s="1"/>
  <c r="T14" i="2"/>
  <c r="T50" i="2" s="1"/>
  <c r="AH14" i="2" s="1"/>
  <c r="AH15" i="2" s="1"/>
  <c r="U14" i="2"/>
  <c r="U50" i="2" s="1"/>
  <c r="U51" i="2" s="1"/>
  <c r="Q14" i="2"/>
  <c r="Q50" i="2" s="1"/>
  <c r="Q51" i="2" s="1"/>
  <c r="K59" i="2"/>
  <c r="Y16" i="2" s="1"/>
  <c r="Y52" i="2" s="1"/>
  <c r="AF39" i="2" s="1"/>
  <c r="L59" i="2"/>
  <c r="Z16" i="2" s="1"/>
  <c r="Z52" i="2" s="1"/>
  <c r="AG39" i="2" s="1"/>
  <c r="M59" i="2"/>
  <c r="AA16" i="2" s="1"/>
  <c r="AA52" i="2" s="1"/>
  <c r="AH39" i="2" s="1"/>
  <c r="AJ39" i="2" s="1"/>
  <c r="N59" i="2"/>
  <c r="AB16" i="2" s="1"/>
  <c r="AB52" i="2" s="1"/>
  <c r="AI39" i="2" s="1"/>
  <c r="J59" i="2"/>
  <c r="X16" i="2" s="1"/>
  <c r="X52" i="2" s="1"/>
  <c r="AE39" i="2" s="1"/>
  <c r="K58" i="2"/>
  <c r="Y15" i="2" s="1"/>
  <c r="Y51" i="2" s="1"/>
  <c r="AF38" i="2" s="1"/>
  <c r="L58" i="2"/>
  <c r="Z15" i="2" s="1"/>
  <c r="Z51" i="2" s="1"/>
  <c r="AG38" i="2" s="1"/>
  <c r="M58" i="2"/>
  <c r="AA15" i="2" s="1"/>
  <c r="AA51" i="2" s="1"/>
  <c r="AH38" i="2" s="1"/>
  <c r="N58" i="2"/>
  <c r="AB15" i="2" s="1"/>
  <c r="AB51" i="2" s="1"/>
  <c r="AI38" i="2" s="1"/>
  <c r="J58" i="2"/>
  <c r="X15" i="2" s="1"/>
  <c r="X51" i="2" s="1"/>
  <c r="AE38" i="2" s="1"/>
  <c r="K57" i="2"/>
  <c r="Y14" i="2" s="1"/>
  <c r="Y48" i="2" s="1"/>
  <c r="AF37" i="2" s="1"/>
  <c r="L57" i="2"/>
  <c r="Z14" i="2" s="1"/>
  <c r="Z48" i="2" s="1"/>
  <c r="AG37" i="2" s="1"/>
  <c r="M57" i="2"/>
  <c r="AA14" i="2" s="1"/>
  <c r="AA48" i="2" s="1"/>
  <c r="AH37" i="2" s="1"/>
  <c r="N57" i="2"/>
  <c r="J57" i="2"/>
  <c r="X14" i="2" s="1"/>
  <c r="X48" i="2" s="1"/>
  <c r="AE37" i="2" s="1"/>
  <c r="K52" i="2"/>
  <c r="R21" i="2" s="1"/>
  <c r="R57" i="2" s="1"/>
  <c r="AF21" i="2" s="1"/>
  <c r="L52" i="2"/>
  <c r="S21" i="2" s="1"/>
  <c r="S57" i="2" s="1"/>
  <c r="AG21" i="2" s="1"/>
  <c r="M52" i="2"/>
  <c r="N52" i="2"/>
  <c r="U21" i="2" s="1"/>
  <c r="U57" i="2" s="1"/>
  <c r="AI21" i="2" s="1"/>
  <c r="AJ21" i="2" s="1"/>
  <c r="AK21" i="2" s="1"/>
  <c r="AL21" i="2" s="1"/>
  <c r="AM21" i="2" s="1"/>
  <c r="AN21" i="2" s="1"/>
  <c r="J52" i="2"/>
  <c r="Q21" i="2" s="1"/>
  <c r="Q57" i="2" s="1"/>
  <c r="AE21" i="2" s="1"/>
  <c r="K51" i="2"/>
  <c r="R20" i="2" s="1"/>
  <c r="R56" i="2" s="1"/>
  <c r="AF20" i="2" s="1"/>
  <c r="L51" i="2"/>
  <c r="M51" i="2"/>
  <c r="T20" i="2" s="1"/>
  <c r="T56" i="2" s="1"/>
  <c r="AH20" i="2" s="1"/>
  <c r="N51" i="2"/>
  <c r="U20" i="2" s="1"/>
  <c r="U56" i="2" s="1"/>
  <c r="AI20" i="2" s="1"/>
  <c r="AJ20" i="2" s="1"/>
  <c r="AK20" i="2" s="1"/>
  <c r="AL20" i="2" s="1"/>
  <c r="AM20" i="2" s="1"/>
  <c r="AN20" i="2" s="1"/>
  <c r="J51" i="2"/>
  <c r="Q20" i="2" s="1"/>
  <c r="Q56" i="2" s="1"/>
  <c r="AE20" i="2" s="1"/>
  <c r="K50" i="2"/>
  <c r="L50" i="2"/>
  <c r="S19" i="2" s="1"/>
  <c r="S55" i="2" s="1"/>
  <c r="AG19" i="2" s="1"/>
  <c r="M50" i="2"/>
  <c r="T19" i="2" s="1"/>
  <c r="T55" i="2" s="1"/>
  <c r="AH19" i="2" s="1"/>
  <c r="AH65" i="2" s="1"/>
  <c r="N50" i="2"/>
  <c r="U19" i="2" s="1"/>
  <c r="U55" i="2" s="1"/>
  <c r="AI19" i="2" s="1"/>
  <c r="AI65" i="2" s="1"/>
  <c r="J50" i="2"/>
  <c r="M55" i="2"/>
  <c r="N55" i="2"/>
  <c r="AB12" i="2" s="1"/>
  <c r="K54" i="2"/>
  <c r="L54" i="2"/>
  <c r="M54" i="2"/>
  <c r="N54" i="2"/>
  <c r="J54" i="2"/>
  <c r="M56" i="2"/>
  <c r="N56" i="2"/>
  <c r="K48" i="2"/>
  <c r="L48" i="2"/>
  <c r="M48" i="2"/>
  <c r="M49" i="2" s="1"/>
  <c r="N48" i="2"/>
  <c r="N49" i="2" s="1"/>
  <c r="J48" i="2"/>
  <c r="K45" i="2"/>
  <c r="Y8" i="2" s="1"/>
  <c r="Y44" i="2" s="1"/>
  <c r="AF31" i="2" s="1"/>
  <c r="L45" i="2"/>
  <c r="Z8" i="2" s="1"/>
  <c r="Z44" i="2" s="1"/>
  <c r="AG31" i="2" s="1"/>
  <c r="M45" i="2"/>
  <c r="AA8" i="2" s="1"/>
  <c r="AA44" i="2" s="1"/>
  <c r="AH31" i="2" s="1"/>
  <c r="N45" i="2"/>
  <c r="AB8" i="2" s="1"/>
  <c r="AB44" i="2" s="1"/>
  <c r="AI31" i="2" s="1"/>
  <c r="AA9" i="2"/>
  <c r="AA45" i="2" s="1"/>
  <c r="AH32" i="2" s="1"/>
  <c r="N46" i="2"/>
  <c r="AB9" i="2" s="1"/>
  <c r="AB45" i="2" s="1"/>
  <c r="AI32" i="2" s="1"/>
  <c r="J45" i="2"/>
  <c r="X8" i="2" s="1"/>
  <c r="X44" i="2" s="1"/>
  <c r="AE31" i="2" s="1"/>
  <c r="K43" i="2"/>
  <c r="Y6" i="2" s="1"/>
  <c r="Y42" i="2" s="1"/>
  <c r="AF29" i="2" s="1"/>
  <c r="L43" i="2"/>
  <c r="Z6" i="2" s="1"/>
  <c r="Z42" i="2" s="1"/>
  <c r="AG29" i="2" s="1"/>
  <c r="M43" i="2"/>
  <c r="AA6" i="2" s="1"/>
  <c r="AA42" i="2" s="1"/>
  <c r="AH29" i="2" s="1"/>
  <c r="N43" i="2"/>
  <c r="AB6" i="2" s="1"/>
  <c r="AB42" i="2" s="1"/>
  <c r="AI29" i="2" s="1"/>
  <c r="AJ29" i="2" s="1"/>
  <c r="AK29" i="2" s="1"/>
  <c r="AL29" i="2" s="1"/>
  <c r="AM29" i="2" s="1"/>
  <c r="AN29" i="2" s="1"/>
  <c r="K42" i="2"/>
  <c r="L42" i="2"/>
  <c r="M42" i="2"/>
  <c r="AA5" i="2" s="1"/>
  <c r="AA41" i="2" s="1"/>
  <c r="AH28" i="2" s="1"/>
  <c r="N42" i="2"/>
  <c r="AB5" i="2" s="1"/>
  <c r="AB41" i="2" s="1"/>
  <c r="AI28" i="2" s="1"/>
  <c r="AJ28" i="2" s="1"/>
  <c r="AK28" i="2" s="1"/>
  <c r="AL28" i="2" s="1"/>
  <c r="AM28" i="2" s="1"/>
  <c r="AN28" i="2" s="1"/>
  <c r="J43" i="2"/>
  <c r="X6" i="2" s="1"/>
  <c r="X42" i="2" s="1"/>
  <c r="AE29" i="2" s="1"/>
  <c r="J42" i="2"/>
  <c r="K41" i="2"/>
  <c r="Y4" i="2" s="1"/>
  <c r="L41" i="2"/>
  <c r="Z4" i="2" s="1"/>
  <c r="M41" i="2"/>
  <c r="AA4" i="2" s="1"/>
  <c r="AA40" i="2" s="1"/>
  <c r="AH27" i="2" s="1"/>
  <c r="N41" i="2"/>
  <c r="J41" i="2"/>
  <c r="X4" i="2" s="1"/>
  <c r="AJ38" i="2" l="1"/>
  <c r="AK39" i="2"/>
  <c r="M60" i="2"/>
  <c r="AA12" i="2"/>
  <c r="AA50" i="2" s="1"/>
  <c r="AH35" i="2" s="1"/>
  <c r="AA11" i="2"/>
  <c r="AB11" i="2"/>
  <c r="S12" i="2"/>
  <c r="S48" i="2" s="1"/>
  <c r="AG12" i="2" s="1"/>
  <c r="L49" i="2"/>
  <c r="R12" i="2"/>
  <c r="R48" i="2" s="1"/>
  <c r="AF12" i="2" s="1"/>
  <c r="K49" i="2"/>
  <c r="Q12" i="2"/>
  <c r="Q48" i="2" s="1"/>
  <c r="AE12" i="2" s="1"/>
  <c r="J49" i="2"/>
  <c r="AB13" i="2"/>
  <c r="AB47" i="2" s="1"/>
  <c r="N60" i="2"/>
  <c r="AI14" i="2"/>
  <c r="AH30" i="2"/>
  <c r="AH33" i="2" s="1"/>
  <c r="AG14" i="2"/>
  <c r="AF14" i="2"/>
  <c r="AE14" i="2"/>
  <c r="T51" i="2"/>
  <c r="L44" i="2"/>
  <c r="Z40" i="2"/>
  <c r="AG27" i="2" s="1"/>
  <c r="Z13" i="2"/>
  <c r="Y13" i="2"/>
  <c r="K44" i="2"/>
  <c r="Y5" i="2"/>
  <c r="Y41" i="2" s="1"/>
  <c r="AF28" i="2" s="1"/>
  <c r="X40" i="2"/>
  <c r="AE27" i="2" s="1"/>
  <c r="Y40" i="2"/>
  <c r="T12" i="2"/>
  <c r="T48" i="2" s="1"/>
  <c r="AH12" i="2" s="1"/>
  <c r="N44" i="2"/>
  <c r="N47" i="2" s="1"/>
  <c r="AB4" i="2"/>
  <c r="J44" i="2"/>
  <c r="X13" i="2"/>
  <c r="Z5" i="2"/>
  <c r="Z41" i="2" s="1"/>
  <c r="AG28" i="2" s="1"/>
  <c r="AA43" i="2"/>
  <c r="AA46" i="2" s="1"/>
  <c r="M44" i="2"/>
  <c r="M47" i="2" s="1"/>
  <c r="U12" i="2"/>
  <c r="U48" i="2" s="1"/>
  <c r="AI12" i="2" s="1"/>
  <c r="AA13" i="2"/>
  <c r="N53" i="2"/>
  <c r="Q19" i="2"/>
  <c r="Q55" i="2" s="1"/>
  <c r="AE19" i="2" s="1"/>
  <c r="R19" i="2"/>
  <c r="R55" i="2" s="1"/>
  <c r="AF19" i="2" s="1"/>
  <c r="S20" i="2"/>
  <c r="S56" i="2" s="1"/>
  <c r="AG20" i="2" s="1"/>
  <c r="M53" i="2"/>
  <c r="T21" i="2"/>
  <c r="T57" i="2" s="1"/>
  <c r="AH21" i="2" s="1"/>
  <c r="AB14" i="2"/>
  <c r="AB50" i="2"/>
  <c r="AI35" i="2" s="1"/>
  <c r="X5" i="2"/>
  <c r="X41" i="2" s="1"/>
  <c r="AE28" i="2" s="1"/>
  <c r="AA7" i="2"/>
  <c r="AA10" i="2" s="1"/>
  <c r="AM39" i="2" l="1"/>
  <c r="AL39" i="2"/>
  <c r="AK38" i="2"/>
  <c r="AL38" i="2" s="1"/>
  <c r="AM38" i="2" s="1"/>
  <c r="AN38" i="2" s="1"/>
  <c r="AI15" i="2"/>
  <c r="AE15" i="2"/>
  <c r="AF15" i="2"/>
  <c r="AG15" i="2"/>
  <c r="AI36" i="2"/>
  <c r="AB49" i="2"/>
  <c r="AI34" i="2" s="1"/>
  <c r="AB17" i="2"/>
  <c r="AA49" i="2"/>
  <c r="AH34" i="2" s="1"/>
  <c r="AA17" i="2"/>
  <c r="AA28" i="2" s="1"/>
  <c r="M62" i="2"/>
  <c r="Y7" i="2"/>
  <c r="AE30" i="2"/>
  <c r="AG30" i="2"/>
  <c r="F5" i="11"/>
  <c r="Y43" i="2"/>
  <c r="AF27" i="2"/>
  <c r="AF30" i="2" s="1"/>
  <c r="X47" i="2"/>
  <c r="AA47" i="2"/>
  <c r="AB48" i="2"/>
  <c r="N62" i="2"/>
  <c r="Y47" i="2"/>
  <c r="X43" i="2"/>
  <c r="Z47" i="2"/>
  <c r="Z7" i="2"/>
  <c r="AB7" i="2"/>
  <c r="AB10" i="2" s="1"/>
  <c r="AB40" i="2"/>
  <c r="X7" i="2"/>
  <c r="Z43" i="2"/>
  <c r="N28" i="2"/>
  <c r="M28" i="2"/>
  <c r="K15" i="2"/>
  <c r="L15" i="2"/>
  <c r="M15" i="2"/>
  <c r="N15" i="2"/>
  <c r="N18" i="2" s="1"/>
  <c r="J15" i="2"/>
  <c r="K8" i="2"/>
  <c r="L8" i="2"/>
  <c r="M8" i="2"/>
  <c r="M11" i="2" s="1"/>
  <c r="N8" i="2"/>
  <c r="N11" i="2" s="1"/>
  <c r="J8" i="2"/>
  <c r="D55" i="2"/>
  <c r="R16" i="2" s="1"/>
  <c r="R52" i="2" s="1"/>
  <c r="AF16" i="2" s="1"/>
  <c r="E55" i="2"/>
  <c r="S16" i="2" s="1"/>
  <c r="S52" i="2" s="1"/>
  <c r="AG16" i="2" s="1"/>
  <c r="F55" i="2"/>
  <c r="T16" i="2" s="1"/>
  <c r="T52" i="2" s="1"/>
  <c r="AH16" i="2" s="1"/>
  <c r="G55" i="2"/>
  <c r="U16" i="2" s="1"/>
  <c r="U52" i="2" s="1"/>
  <c r="AI16" i="2" s="1"/>
  <c r="D56" i="2"/>
  <c r="R17" i="2" s="1"/>
  <c r="R53" i="2" s="1"/>
  <c r="AF17" i="2" s="1"/>
  <c r="E56" i="2"/>
  <c r="S17" i="2" s="1"/>
  <c r="S53" i="2" s="1"/>
  <c r="AG17" i="2" s="1"/>
  <c r="F56" i="2"/>
  <c r="T17" i="2" s="1"/>
  <c r="T53" i="2" s="1"/>
  <c r="AH17" i="2" s="1"/>
  <c r="G56" i="2"/>
  <c r="U17" i="2" s="1"/>
  <c r="U53" i="2" s="1"/>
  <c r="AI17" i="2" s="1"/>
  <c r="D50" i="2"/>
  <c r="R25" i="2" s="1"/>
  <c r="Y54" i="2" s="1"/>
  <c r="AF41" i="2" s="1"/>
  <c r="E50" i="2"/>
  <c r="S25" i="2" s="1"/>
  <c r="Z54" i="2" s="1"/>
  <c r="AG41" i="2" s="1"/>
  <c r="F50" i="2"/>
  <c r="T25" i="2" s="1"/>
  <c r="AA54" i="2" s="1"/>
  <c r="AH41" i="2" s="1"/>
  <c r="G50" i="2"/>
  <c r="U25" i="2" s="1"/>
  <c r="AB54" i="2" s="1"/>
  <c r="AI41" i="2" s="1"/>
  <c r="C56" i="2"/>
  <c r="Q17" i="2" s="1"/>
  <c r="Q53" i="2" s="1"/>
  <c r="AE17" i="2" s="1"/>
  <c r="C50" i="2"/>
  <c r="C55" i="2"/>
  <c r="Q16" i="2" s="1"/>
  <c r="Q52" i="2" s="1"/>
  <c r="D53" i="2"/>
  <c r="D54" i="2" s="1"/>
  <c r="R15" i="2" s="1"/>
  <c r="E53" i="2"/>
  <c r="E54" i="2" s="1"/>
  <c r="S15" i="2" s="1"/>
  <c r="F53" i="2"/>
  <c r="F54" i="2" s="1"/>
  <c r="T15" i="2" s="1"/>
  <c r="G53" i="2"/>
  <c r="G54" i="2" s="1"/>
  <c r="U15" i="2" s="1"/>
  <c r="C53" i="2"/>
  <c r="C54" i="2" s="1"/>
  <c r="Q15" i="2" s="1"/>
  <c r="F49" i="2"/>
  <c r="G49" i="2"/>
  <c r="D46" i="2"/>
  <c r="R10" i="2" s="1"/>
  <c r="R46" i="2" s="1"/>
  <c r="AF10" i="2" s="1"/>
  <c r="E46" i="2"/>
  <c r="S10" i="2" s="1"/>
  <c r="S46" i="2" s="1"/>
  <c r="AG10" i="2" s="1"/>
  <c r="F46" i="2"/>
  <c r="T10" i="2" s="1"/>
  <c r="T46" i="2" s="1"/>
  <c r="AH10" i="2" s="1"/>
  <c r="G46" i="2"/>
  <c r="U10" i="2" s="1"/>
  <c r="U46" i="2" s="1"/>
  <c r="AI10" i="2" s="1"/>
  <c r="C46" i="2"/>
  <c r="Q10" i="2" s="1"/>
  <c r="F45" i="2"/>
  <c r="T9" i="2" s="1"/>
  <c r="G45" i="2"/>
  <c r="U9" i="2" s="1"/>
  <c r="D40" i="2"/>
  <c r="R4" i="2" s="1"/>
  <c r="E40" i="2"/>
  <c r="S4" i="2" s="1"/>
  <c r="D41" i="2"/>
  <c r="R5" i="2" s="1"/>
  <c r="R41" i="2" s="1"/>
  <c r="AF5" i="2" s="1"/>
  <c r="E41" i="2"/>
  <c r="S5" i="2" s="1"/>
  <c r="S41" i="2" s="1"/>
  <c r="AG5" i="2" s="1"/>
  <c r="F41" i="2"/>
  <c r="T5" i="2" s="1"/>
  <c r="T41" i="2" s="1"/>
  <c r="AH5" i="2" s="1"/>
  <c r="G41" i="2"/>
  <c r="U5" i="2" s="1"/>
  <c r="U41" i="2" s="1"/>
  <c r="AI5" i="2" s="1"/>
  <c r="D42" i="2"/>
  <c r="R6" i="2" s="1"/>
  <c r="R42" i="2" s="1"/>
  <c r="AF6" i="2" s="1"/>
  <c r="E42" i="2"/>
  <c r="S6" i="2" s="1"/>
  <c r="S42" i="2" s="1"/>
  <c r="AG6" i="2" s="1"/>
  <c r="F42" i="2"/>
  <c r="T6" i="2" s="1"/>
  <c r="T42" i="2" s="1"/>
  <c r="AH6" i="2" s="1"/>
  <c r="G42" i="2"/>
  <c r="U6" i="2" s="1"/>
  <c r="U42" i="2" s="1"/>
  <c r="AI6" i="2" s="1"/>
  <c r="AJ6" i="2" s="1"/>
  <c r="AK6" i="2" s="1"/>
  <c r="AL6" i="2" s="1"/>
  <c r="AM6" i="2" s="1"/>
  <c r="AN6" i="2" s="1"/>
  <c r="D43" i="2"/>
  <c r="R7" i="2" s="1"/>
  <c r="R43" i="2" s="1"/>
  <c r="AF7" i="2" s="1"/>
  <c r="E43" i="2"/>
  <c r="S7" i="2" s="1"/>
  <c r="S43" i="2" s="1"/>
  <c r="AG7" i="2" s="1"/>
  <c r="F43" i="2"/>
  <c r="T7" i="2" s="1"/>
  <c r="T43" i="2" s="1"/>
  <c r="AH7" i="2" s="1"/>
  <c r="G43" i="2"/>
  <c r="U7" i="2" s="1"/>
  <c r="U43" i="2" s="1"/>
  <c r="AI7" i="2" s="1"/>
  <c r="AJ7" i="2" s="1"/>
  <c r="AK7" i="2" s="1"/>
  <c r="AL7" i="2" s="1"/>
  <c r="AM7" i="2" s="1"/>
  <c r="AN7" i="2" s="1"/>
  <c r="C41" i="2"/>
  <c r="Q5" i="2" s="1"/>
  <c r="Q41" i="2" s="1"/>
  <c r="AE5" i="2" s="1"/>
  <c r="C42" i="2"/>
  <c r="Q6" i="2" s="1"/>
  <c r="Q42" i="2" s="1"/>
  <c r="AE6" i="2" s="1"/>
  <c r="C43" i="2"/>
  <c r="Q7" i="2" s="1"/>
  <c r="Q43" i="2" s="1"/>
  <c r="AE7" i="2" s="1"/>
  <c r="C40" i="2"/>
  <c r="Q4" i="2" s="1"/>
  <c r="AJ41" i="2" l="1"/>
  <c r="AN39" i="2"/>
  <c r="AJ17" i="2"/>
  <c r="AL5" i="2"/>
  <c r="AM5" i="2"/>
  <c r="AN5" i="2"/>
  <c r="AJ5" i="2"/>
  <c r="AK5" i="2"/>
  <c r="AE16" i="2"/>
  <c r="AE18" i="2" s="1"/>
  <c r="AE22" i="2" s="1"/>
  <c r="AE71" i="2" s="1"/>
  <c r="Q54" i="2"/>
  <c r="Q58" i="2" s="1"/>
  <c r="Q25" i="2"/>
  <c r="X54" i="2" s="1"/>
  <c r="AE41" i="2" s="1"/>
  <c r="AG18" i="2"/>
  <c r="AG22" i="2" s="1"/>
  <c r="AG71" i="2" s="1"/>
  <c r="AF18" i="2"/>
  <c r="AF22" i="2" s="1"/>
  <c r="AF71" i="2" s="1"/>
  <c r="AB28" i="2"/>
  <c r="AH18" i="2"/>
  <c r="AG36" i="2"/>
  <c r="AJ36" i="2" s="1"/>
  <c r="AI37" i="2"/>
  <c r="AJ37" i="2" s="1"/>
  <c r="AE36" i="2"/>
  <c r="AH36" i="2"/>
  <c r="AB43" i="2"/>
  <c r="AB46" i="2" s="1"/>
  <c r="AI27" i="2"/>
  <c r="AF36" i="2"/>
  <c r="AI18" i="2"/>
  <c r="AI22" i="2" s="1"/>
  <c r="AI71" i="2" s="1"/>
  <c r="Q46" i="2"/>
  <c r="AE10" i="2" s="1"/>
  <c r="R54" i="2"/>
  <c r="R58" i="2" s="1"/>
  <c r="R40" i="2"/>
  <c r="AF4" i="2" s="1"/>
  <c r="AF8" i="2" s="1"/>
  <c r="R8" i="2"/>
  <c r="F51" i="2"/>
  <c r="F52" i="2" s="1"/>
  <c r="T24" i="2"/>
  <c r="AA53" i="2" s="1"/>
  <c r="T54" i="2"/>
  <c r="T58" i="2" s="1"/>
  <c r="U11" i="2"/>
  <c r="U45" i="2"/>
  <c r="Q40" i="2"/>
  <c r="AE4" i="2" s="1"/>
  <c r="AE8" i="2" s="1"/>
  <c r="Q8" i="2"/>
  <c r="S8" i="2"/>
  <c r="S40" i="2"/>
  <c r="AG4" i="2" s="1"/>
  <c r="AG8" i="2" s="1"/>
  <c r="T45" i="2"/>
  <c r="T11" i="2"/>
  <c r="G51" i="2"/>
  <c r="G52" i="2" s="1"/>
  <c r="U24" i="2"/>
  <c r="AB53" i="2" s="1"/>
  <c r="U54" i="2"/>
  <c r="U58" i="2" s="1"/>
  <c r="S54" i="2"/>
  <c r="S58" i="2" s="1"/>
  <c r="N30" i="2"/>
  <c r="D57" i="2"/>
  <c r="R18" i="2" s="1"/>
  <c r="R22" i="2" s="1"/>
  <c r="G57" i="2"/>
  <c r="C57" i="2"/>
  <c r="F57" i="2"/>
  <c r="E57" i="2"/>
  <c r="F47" i="2"/>
  <c r="G47" i="2"/>
  <c r="AL41" i="2" l="1"/>
  <c r="AK37" i="2"/>
  <c r="AK36" i="2"/>
  <c r="AF72" i="2"/>
  <c r="AI30" i="2"/>
  <c r="AI33" i="2" s="1"/>
  <c r="AK27" i="2"/>
  <c r="AK30" i="2" s="1"/>
  <c r="AJ27" i="2"/>
  <c r="AJ30" i="2" s="1"/>
  <c r="AL27" i="2"/>
  <c r="AL30" i="2" s="1"/>
  <c r="AM27" i="2"/>
  <c r="AM30" i="2" s="1"/>
  <c r="AN27" i="2"/>
  <c r="AN30" i="2" s="1"/>
  <c r="AK17" i="2"/>
  <c r="AL17" i="2" s="1"/>
  <c r="D6" i="7"/>
  <c r="E6" i="7"/>
  <c r="AH22" i="2"/>
  <c r="D58" i="2"/>
  <c r="T26" i="2"/>
  <c r="T27" i="2" s="1"/>
  <c r="N33" i="2"/>
  <c r="AA55" i="2"/>
  <c r="AA56" i="2" s="1"/>
  <c r="AA60" i="2" s="1"/>
  <c r="AH40" i="2"/>
  <c r="G15" i="7" s="1"/>
  <c r="AB55" i="2"/>
  <c r="AB56" i="2" s="1"/>
  <c r="AB60" i="2" s="1"/>
  <c r="AI40" i="2"/>
  <c r="H15" i="7" s="1"/>
  <c r="U47" i="2"/>
  <c r="AI9" i="2"/>
  <c r="G5" i="11"/>
  <c r="T47" i="2"/>
  <c r="AH9" i="2"/>
  <c r="S44" i="2"/>
  <c r="R44" i="2"/>
  <c r="U26" i="2"/>
  <c r="U27" i="2" s="1"/>
  <c r="Q44" i="2"/>
  <c r="F58" i="2"/>
  <c r="T18" i="2"/>
  <c r="T22" i="2" s="1"/>
  <c r="E58" i="2"/>
  <c r="S18" i="2"/>
  <c r="S22" i="2" s="1"/>
  <c r="C58" i="2"/>
  <c r="Q18" i="2"/>
  <c r="Q22" i="2" s="1"/>
  <c r="G58" i="2"/>
  <c r="U18" i="2"/>
  <c r="U22" i="2" s="1"/>
  <c r="D44" i="2"/>
  <c r="E44" i="2"/>
  <c r="C44" i="2"/>
  <c r="AL37" i="2" l="1"/>
  <c r="AM41" i="2"/>
  <c r="AN41" i="2" s="1"/>
  <c r="AI74" i="2"/>
  <c r="AI73" i="2"/>
  <c r="AH74" i="2"/>
  <c r="AH73" i="2"/>
  <c r="AL36" i="2"/>
  <c r="AM36" i="2" s="1"/>
  <c r="AM17" i="2"/>
  <c r="AN17" i="2" s="1"/>
  <c r="F6" i="7"/>
  <c r="AH71" i="2"/>
  <c r="AI72" i="2" s="1"/>
  <c r="AH11" i="2"/>
  <c r="AH64" i="2" s="1"/>
  <c r="AI11" i="2"/>
  <c r="N38" i="1"/>
  <c r="G6" i="7"/>
  <c r="AI42" i="2"/>
  <c r="AI43" i="2" s="1"/>
  <c r="F9" i="11"/>
  <c r="AH42" i="2"/>
  <c r="AH43" i="2" s="1"/>
  <c r="G9" i="11"/>
  <c r="F12" i="2"/>
  <c r="G12" i="2"/>
  <c r="G5" i="2"/>
  <c r="G27" i="2" s="1"/>
  <c r="H16" i="1"/>
  <c r="H6" i="1"/>
  <c r="H8" i="1" s="1"/>
  <c r="H12" i="1" s="1"/>
  <c r="G21" i="2"/>
  <c r="F21" i="2"/>
  <c r="D9" i="2"/>
  <c r="E9" i="2"/>
  <c r="C9" i="2"/>
  <c r="F5" i="2"/>
  <c r="E21" i="2"/>
  <c r="D21" i="2"/>
  <c r="C21" i="2"/>
  <c r="L17" i="1"/>
  <c r="M17" i="1"/>
  <c r="N17" i="1"/>
  <c r="K17" i="1"/>
  <c r="K11" i="1"/>
  <c r="E5" i="7"/>
  <c r="D5" i="7"/>
  <c r="F5" i="7"/>
  <c r="L8" i="1"/>
  <c r="M8" i="1"/>
  <c r="N8" i="1"/>
  <c r="K8" i="1"/>
  <c r="L7" i="1"/>
  <c r="M7" i="1"/>
  <c r="N7" i="1"/>
  <c r="K7" i="1"/>
  <c r="L5" i="1"/>
  <c r="AF62" i="2" s="1"/>
  <c r="M5" i="1"/>
  <c r="AG62" i="2" s="1"/>
  <c r="K5" i="1"/>
  <c r="AE62" i="2" s="1"/>
  <c r="O5" i="1"/>
  <c r="AI62" i="2" s="1"/>
  <c r="O7" i="1"/>
  <c r="G5" i="7"/>
  <c r="O8" i="1"/>
  <c r="O17" i="1"/>
  <c r="G7" i="1"/>
  <c r="G6" i="1"/>
  <c r="N4" i="1" s="1"/>
  <c r="F6" i="1"/>
  <c r="F8" i="1" s="1"/>
  <c r="F12" i="1" s="1"/>
  <c r="E6" i="1"/>
  <c r="E8" i="1" s="1"/>
  <c r="E12" i="1" s="1"/>
  <c r="D6" i="1"/>
  <c r="D8" i="1" s="1"/>
  <c r="D12" i="1" s="1"/>
  <c r="M14" i="8" l="1"/>
  <c r="N14" i="8"/>
  <c r="AH61" i="2"/>
  <c r="AH51" i="2"/>
  <c r="AM37" i="2"/>
  <c r="AN36" i="2"/>
  <c r="AJ11" i="2"/>
  <c r="AJ12" i="2" s="1"/>
  <c r="AI64" i="2"/>
  <c r="AI68" i="2"/>
  <c r="AJ68" i="2"/>
  <c r="O38" i="1"/>
  <c r="P38" i="1" s="1"/>
  <c r="Q38" i="1" s="1"/>
  <c r="R38" i="1" s="1"/>
  <c r="S38" i="1" s="1"/>
  <c r="T38" i="1" s="1"/>
  <c r="N19" i="1"/>
  <c r="F11" i="7" s="1"/>
  <c r="P17" i="1"/>
  <c r="H10" i="7" s="1"/>
  <c r="C5" i="7"/>
  <c r="H17" i="1"/>
  <c r="H19" i="1" s="1"/>
  <c r="G10" i="7"/>
  <c r="O19" i="1"/>
  <c r="G11" i="7" s="1"/>
  <c r="M9" i="1"/>
  <c r="G9" i="7"/>
  <c r="AI45" i="2"/>
  <c r="N24" i="1"/>
  <c r="N40" i="1" s="1"/>
  <c r="F10" i="7"/>
  <c r="F27" i="2"/>
  <c r="F28" i="2" s="1"/>
  <c r="F23" i="2"/>
  <c r="AH45" i="2"/>
  <c r="N37" i="1"/>
  <c r="N36" i="1"/>
  <c r="M4" i="1"/>
  <c r="L4" i="1"/>
  <c r="K4" i="1"/>
  <c r="N5" i="1"/>
  <c r="G23" i="2"/>
  <c r="F9" i="2"/>
  <c r="F13" i="2" s="1"/>
  <c r="F40" i="2"/>
  <c r="G9" i="2"/>
  <c r="G13" i="2" s="1"/>
  <c r="G40" i="2"/>
  <c r="O4" i="1"/>
  <c r="M30" i="2"/>
  <c r="K9" i="1"/>
  <c r="O24" i="1"/>
  <c r="O40" i="1" s="1"/>
  <c r="O9" i="1"/>
  <c r="L9" i="1"/>
  <c r="G8" i="1"/>
  <c r="P11" i="1" l="1"/>
  <c r="AF51" i="2"/>
  <c r="AF61" i="2"/>
  <c r="AG61" i="2"/>
  <c r="AG51" i="2"/>
  <c r="AI61" i="2"/>
  <c r="AI51" i="2"/>
  <c r="AE61" i="2"/>
  <c r="AE51" i="2"/>
  <c r="AN37" i="2"/>
  <c r="AJ61" i="2"/>
  <c r="AK61" i="2" s="1"/>
  <c r="N35" i="1"/>
  <c r="AH62" i="2"/>
  <c r="P4" i="1"/>
  <c r="P7" i="1" s="1"/>
  <c r="P19" i="1"/>
  <c r="H11" i="7" s="1"/>
  <c r="P24" i="1"/>
  <c r="Q17" i="1"/>
  <c r="I10" i="7" s="1"/>
  <c r="F9" i="18"/>
  <c r="L36" i="1"/>
  <c r="L10" i="1"/>
  <c r="L12" i="1" s="1"/>
  <c r="M10" i="1"/>
  <c r="K10" i="1"/>
  <c r="K12" i="1" s="1"/>
  <c r="N9" i="1"/>
  <c r="N6" i="1"/>
  <c r="AB3" i="1" s="1"/>
  <c r="C10" i="2"/>
  <c r="J16" i="2" s="1"/>
  <c r="D10" i="2"/>
  <c r="D12" i="2" s="1"/>
  <c r="D13" i="2" s="1"/>
  <c r="E10" i="2"/>
  <c r="L16" i="2" s="1"/>
  <c r="L21" i="2" s="1"/>
  <c r="K6" i="1"/>
  <c r="Y3" i="1" s="1"/>
  <c r="L35" i="1"/>
  <c r="N34" i="1"/>
  <c r="L34" i="1"/>
  <c r="M33" i="2"/>
  <c r="L6" i="1"/>
  <c r="Z3" i="1" s="1"/>
  <c r="Y14" i="1"/>
  <c r="M36" i="1"/>
  <c r="O37" i="1"/>
  <c r="O36" i="1"/>
  <c r="K37" i="1"/>
  <c r="K36" i="1"/>
  <c r="L37" i="1"/>
  <c r="K35" i="1"/>
  <c r="O34" i="1"/>
  <c r="O6" i="1"/>
  <c r="AC3" i="1" s="1"/>
  <c r="M34" i="1"/>
  <c r="M37" i="1"/>
  <c r="M35" i="1"/>
  <c r="M6" i="1"/>
  <c r="AA3" i="1" s="1"/>
  <c r="O14" i="1"/>
  <c r="O15" i="1" s="1"/>
  <c r="N14" i="1"/>
  <c r="N15" i="1" s="1"/>
  <c r="G44" i="2"/>
  <c r="U4" i="2"/>
  <c r="F44" i="2"/>
  <c r="T4" i="2"/>
  <c r="G24" i="2"/>
  <c r="F24" i="2"/>
  <c r="G12" i="1"/>
  <c r="G17" i="1" s="1"/>
  <c r="Q4" i="1" l="1"/>
  <c r="Q7" i="1" s="1"/>
  <c r="M34" i="8"/>
  <c r="N34" i="8"/>
  <c r="AL11" i="2"/>
  <c r="AJ16" i="2"/>
  <c r="AJ18" i="2" s="1"/>
  <c r="AL61" i="2"/>
  <c r="AM61" i="2" s="1"/>
  <c r="AJ62" i="2"/>
  <c r="Z14" i="1"/>
  <c r="Z15" i="1" s="1"/>
  <c r="R17" i="1"/>
  <c r="J10" i="7" s="1"/>
  <c r="R19" i="1"/>
  <c r="J11" i="7" s="1"/>
  <c r="O12" i="1"/>
  <c r="AA4" i="1"/>
  <c r="M12" i="1"/>
  <c r="Q24" i="1"/>
  <c r="I11" i="7"/>
  <c r="P14" i="1"/>
  <c r="S35" i="1"/>
  <c r="T35" i="1"/>
  <c r="R35" i="1"/>
  <c r="P35" i="1"/>
  <c r="P5" i="1" s="1"/>
  <c r="Q35" i="1"/>
  <c r="T37" i="1"/>
  <c r="P37" i="1"/>
  <c r="P8" i="1" s="1"/>
  <c r="S37" i="1"/>
  <c r="Q37" i="1"/>
  <c r="R37" i="1"/>
  <c r="F48" i="2"/>
  <c r="F62" i="2" s="1"/>
  <c r="G48" i="2"/>
  <c r="G62" i="2" s="1"/>
  <c r="N10" i="1"/>
  <c r="E45" i="2"/>
  <c r="E47" i="2" s="1"/>
  <c r="E48" i="2" s="1"/>
  <c r="C12" i="2"/>
  <c r="C13" i="2" s="1"/>
  <c r="C45" i="2"/>
  <c r="Q9" i="2" s="1"/>
  <c r="E12" i="2"/>
  <c r="D45" i="2"/>
  <c r="R9" i="2" s="1"/>
  <c r="K16" i="2"/>
  <c r="K21" i="2" s="1"/>
  <c r="K28" i="2" s="1"/>
  <c r="J21" i="2"/>
  <c r="Z4" i="1"/>
  <c r="Y4" i="1"/>
  <c r="S9" i="2"/>
  <c r="F14" i="1"/>
  <c r="M18" i="1" s="1"/>
  <c r="L56" i="2"/>
  <c r="Z11" i="2" s="1"/>
  <c r="L18" i="2"/>
  <c r="L55" i="2"/>
  <c r="Z12" i="2" s="1"/>
  <c r="L28" i="2"/>
  <c r="J56" i="2"/>
  <c r="X11" i="2" s="1"/>
  <c r="J18" i="2"/>
  <c r="AC4" i="1"/>
  <c r="Y16" i="1"/>
  <c r="G19" i="1"/>
  <c r="T40" i="2"/>
  <c r="AH4" i="2" s="1"/>
  <c r="T8" i="2"/>
  <c r="T13" i="2" s="1"/>
  <c r="U8" i="2"/>
  <c r="U13" i="2" s="1"/>
  <c r="U40" i="2"/>
  <c r="AI4" i="2" s="1"/>
  <c r="Z5" i="1"/>
  <c r="Y5" i="1"/>
  <c r="Y18" i="1" l="1"/>
  <c r="F8" i="18"/>
  <c r="R24" i="1"/>
  <c r="D8" i="18"/>
  <c r="D9" i="18"/>
  <c r="AK16" i="2"/>
  <c r="AK18" i="2" s="1"/>
  <c r="R4" i="1"/>
  <c r="R7" i="1" s="1"/>
  <c r="Q8" i="1"/>
  <c r="Q5" i="1"/>
  <c r="AA14" i="1"/>
  <c r="AA15" i="1" s="1"/>
  <c r="AK62" i="2"/>
  <c r="AJ14" i="2"/>
  <c r="AG68" i="2"/>
  <c r="AH68" i="2"/>
  <c r="AN61" i="2"/>
  <c r="AM11" i="2"/>
  <c r="S17" i="1"/>
  <c r="K10" i="7" s="1"/>
  <c r="AA5" i="1"/>
  <c r="AI8" i="2"/>
  <c r="AH8" i="2"/>
  <c r="AH13" i="2" s="1"/>
  <c r="AH23" i="2" s="1"/>
  <c r="AC5" i="1"/>
  <c r="AB4" i="1"/>
  <c r="N12" i="1"/>
  <c r="N16" i="1" s="1"/>
  <c r="Q14" i="1"/>
  <c r="R14" i="1"/>
  <c r="P9" i="1"/>
  <c r="P6" i="1"/>
  <c r="E13" i="2"/>
  <c r="E10" i="7"/>
  <c r="M19" i="1"/>
  <c r="E11" i="7" s="1"/>
  <c r="C47" i="2"/>
  <c r="C48" i="2" s="1"/>
  <c r="U23" i="2"/>
  <c r="U28" i="2" s="1"/>
  <c r="T23" i="2"/>
  <c r="T28" i="2" s="1"/>
  <c r="AF68" i="2"/>
  <c r="D14" i="1"/>
  <c r="D47" i="2"/>
  <c r="D48" i="2" s="1"/>
  <c r="J55" i="2"/>
  <c r="X12" i="2" s="1"/>
  <c r="X17" i="2" s="1"/>
  <c r="Z17" i="2"/>
  <c r="X49" i="2"/>
  <c r="AE34" i="2" s="1"/>
  <c r="K55" i="2"/>
  <c r="Y12" i="2" s="1"/>
  <c r="K18" i="2"/>
  <c r="K56" i="2"/>
  <c r="L60" i="2"/>
  <c r="E14" i="1"/>
  <c r="L18" i="1" s="1"/>
  <c r="L19" i="1" s="1"/>
  <c r="J28" i="2"/>
  <c r="J30" i="2" s="1"/>
  <c r="M24" i="1"/>
  <c r="F16" i="1"/>
  <c r="S45" i="2"/>
  <c r="S11" i="2"/>
  <c r="S13" i="2" s="1"/>
  <c r="L53" i="2"/>
  <c r="Q45" i="2"/>
  <c r="Q11" i="2"/>
  <c r="R11" i="2"/>
  <c r="R13" i="2" s="1"/>
  <c r="R45" i="2"/>
  <c r="L30" i="2"/>
  <c r="Z49" i="2"/>
  <c r="AG34" i="2" s="1"/>
  <c r="K53" i="2"/>
  <c r="J53" i="2"/>
  <c r="G7" i="8"/>
  <c r="N8" i="8" s="1"/>
  <c r="N30" i="8" s="1"/>
  <c r="U44" i="2"/>
  <c r="T44" i="2"/>
  <c r="F7" i="8" l="1"/>
  <c r="M8" i="8" s="1"/>
  <c r="M30" i="8" s="1"/>
  <c r="AB31" i="1"/>
  <c r="AC31" i="1"/>
  <c r="AC32" i="1" s="1"/>
  <c r="K18" i="1"/>
  <c r="K19" i="1" s="1"/>
  <c r="D16" i="1"/>
  <c r="D17" i="1" s="1"/>
  <c r="R8" i="1"/>
  <c r="Q9" i="1"/>
  <c r="Q10" i="1" s="1"/>
  <c r="P10" i="1"/>
  <c r="AK14" i="2"/>
  <c r="Q6" i="1"/>
  <c r="AL16" i="2"/>
  <c r="AL18" i="2" s="1"/>
  <c r="S4" i="1"/>
  <c r="S7" i="1" s="1"/>
  <c r="AB14" i="1"/>
  <c r="AB15" i="1" s="1"/>
  <c r="R5" i="1"/>
  <c r="G7" i="7"/>
  <c r="AG73" i="2"/>
  <c r="AJ73" i="2" s="1"/>
  <c r="AN11" i="2"/>
  <c r="T11" i="1" s="1"/>
  <c r="AI23" i="2"/>
  <c r="G8" i="8" s="1"/>
  <c r="N12" i="8" s="1"/>
  <c r="N32" i="8" s="1"/>
  <c r="AL62" i="2"/>
  <c r="AM62" i="2" s="1"/>
  <c r="T17" i="1"/>
  <c r="S19" i="1"/>
  <c r="K11" i="7" s="1"/>
  <c r="S24" i="1"/>
  <c r="G13" i="7"/>
  <c r="AI66" i="2" s="1"/>
  <c r="AI67" i="2" s="1"/>
  <c r="AC6" i="1"/>
  <c r="Y20" i="1"/>
  <c r="F8" i="8"/>
  <c r="M12" i="8" s="1"/>
  <c r="M32" i="8" s="1"/>
  <c r="AK4" i="2"/>
  <c r="F4" i="7"/>
  <c r="AB5" i="1"/>
  <c r="N20" i="1"/>
  <c r="G4" i="7"/>
  <c r="AB6" i="1"/>
  <c r="Q13" i="2"/>
  <c r="Q23" i="2" s="1"/>
  <c r="F17" i="1"/>
  <c r="F18" i="1" s="1"/>
  <c r="D11" i="7"/>
  <c r="D10" i="7"/>
  <c r="T49" i="2"/>
  <c r="T60" i="2" s="1"/>
  <c r="U49" i="2"/>
  <c r="U60" i="2" s="1"/>
  <c r="K24" i="1"/>
  <c r="J60" i="2"/>
  <c r="K30" i="2"/>
  <c r="E16" i="1"/>
  <c r="K60" i="2"/>
  <c r="Y11" i="2"/>
  <c r="L24" i="1"/>
  <c r="L14" i="1"/>
  <c r="M14" i="1"/>
  <c r="X50" i="2"/>
  <c r="R47" i="2"/>
  <c r="R49" i="2" s="1"/>
  <c r="R60" i="2" s="1"/>
  <c r="AF9" i="2"/>
  <c r="AF11" i="2" s="1"/>
  <c r="AF64" i="2" s="1"/>
  <c r="Y50" i="2"/>
  <c r="Z50" i="2"/>
  <c r="AE9" i="2"/>
  <c r="AE11" i="2" s="1"/>
  <c r="Q47" i="2"/>
  <c r="Q49" i="2" s="1"/>
  <c r="Q60" i="2" s="1"/>
  <c r="S47" i="2"/>
  <c r="S49" i="2" s="1"/>
  <c r="AG9" i="2"/>
  <c r="AG11" i="2" s="1"/>
  <c r="AG64" i="2" s="1"/>
  <c r="AJ64" i="2" s="1"/>
  <c r="AJ13" i="2" s="1"/>
  <c r="Y22" i="1"/>
  <c r="AC7" i="1"/>
  <c r="T4" i="1" l="1"/>
  <c r="AN16" i="2" s="1"/>
  <c r="AN18" i="2" s="1"/>
  <c r="AH63" i="2"/>
  <c r="AB33" i="1"/>
  <c r="M4" i="8"/>
  <c r="M28" i="8" s="1"/>
  <c r="AI63" i="2"/>
  <c r="AC33" i="1"/>
  <c r="N4" i="8"/>
  <c r="N28" i="8" s="1"/>
  <c r="AX19" i="2"/>
  <c r="AJ51" i="2"/>
  <c r="C10" i="7"/>
  <c r="D18" i="1"/>
  <c r="D19" i="1" s="1"/>
  <c r="G8" i="7"/>
  <c r="H10" i="18" s="1"/>
  <c r="AL14" i="2"/>
  <c r="H9" i="18"/>
  <c r="AM16" i="2"/>
  <c r="AM18" i="2" s="1"/>
  <c r="AC14" i="1"/>
  <c r="AC15" i="1" s="1"/>
  <c r="S5" i="1"/>
  <c r="AM14" i="2" s="1"/>
  <c r="S8" i="1"/>
  <c r="R6" i="1"/>
  <c r="R9" i="1"/>
  <c r="R10" i="1" s="1"/>
  <c r="AK73" i="2"/>
  <c r="AE73" i="2"/>
  <c r="S14" i="1"/>
  <c r="T24" i="1"/>
  <c r="L10" i="7"/>
  <c r="T19" i="1"/>
  <c r="L11" i="7" s="1"/>
  <c r="AK64" i="2"/>
  <c r="AL64" i="2" s="1"/>
  <c r="AL12" i="2" s="1"/>
  <c r="AN62" i="2"/>
  <c r="AK8" i="2"/>
  <c r="AL4" i="2"/>
  <c r="N23" i="1"/>
  <c r="AB7" i="1"/>
  <c r="AF13" i="2"/>
  <c r="L38" i="1"/>
  <c r="AG13" i="2"/>
  <c r="AG23" i="2" s="1"/>
  <c r="M38" i="1"/>
  <c r="AE13" i="2"/>
  <c r="K38" i="1"/>
  <c r="C11" i="7"/>
  <c r="K14" i="1"/>
  <c r="F19" i="1"/>
  <c r="E27" i="2" s="1"/>
  <c r="L10" i="2" s="1"/>
  <c r="L46" i="2" s="1"/>
  <c r="L47" i="2" s="1"/>
  <c r="L62" i="2" s="1"/>
  <c r="M13" i="1"/>
  <c r="E17" i="1"/>
  <c r="E18" i="1" s="1"/>
  <c r="L13" i="1" s="1"/>
  <c r="Y49" i="2"/>
  <c r="AF34" i="2" s="1"/>
  <c r="AF73" i="2" s="1"/>
  <c r="Y17" i="2"/>
  <c r="S23" i="2"/>
  <c r="G12" i="7"/>
  <c r="G14" i="7" s="1"/>
  <c r="G16" i="7" s="1"/>
  <c r="G17" i="7" s="1"/>
  <c r="AF35" i="2"/>
  <c r="AF74" i="2" s="1"/>
  <c r="AE64" i="2"/>
  <c r="AE35" i="2"/>
  <c r="AE74" i="2" s="1"/>
  <c r="AG35" i="2"/>
  <c r="AG74" i="2" s="1"/>
  <c r="AJ74" i="2" s="1"/>
  <c r="S60" i="2"/>
  <c r="R23" i="2"/>
  <c r="G5" i="8"/>
  <c r="AA20" i="1"/>
  <c r="Z20" i="1"/>
  <c r="Z21" i="1" s="1"/>
  <c r="AD14" i="1"/>
  <c r="T8" i="1" l="1"/>
  <c r="T7" i="1"/>
  <c r="T5" i="1"/>
  <c r="T6" i="1" s="1"/>
  <c r="AC34" i="1"/>
  <c r="AD15" i="1"/>
  <c r="S6" i="1"/>
  <c r="S9" i="1"/>
  <c r="S10" i="1" s="1"/>
  <c r="AK74" i="2"/>
  <c r="AJ35" i="2"/>
  <c r="AK34" i="2"/>
  <c r="AL73" i="2"/>
  <c r="AL34" i="2" s="1"/>
  <c r="AN14" i="2"/>
  <c r="T14" i="1"/>
  <c r="AM64" i="2"/>
  <c r="AM12" i="2" s="1"/>
  <c r="AK13" i="2"/>
  <c r="M15" i="1"/>
  <c r="M16" i="1" s="1"/>
  <c r="AG65" i="2"/>
  <c r="AJ65" i="2" s="1"/>
  <c r="L15" i="1"/>
  <c r="L16" i="1" s="1"/>
  <c r="AF65" i="2"/>
  <c r="AL8" i="2"/>
  <c r="AL13" i="2" s="1"/>
  <c r="D7" i="7"/>
  <c r="AM4" i="2"/>
  <c r="AM8" i="2" s="1"/>
  <c r="AF23" i="2"/>
  <c r="F7" i="7"/>
  <c r="E7" i="7"/>
  <c r="Z9" i="2"/>
  <c r="Z45" i="2" s="1"/>
  <c r="E22" i="2"/>
  <c r="E23" i="2" s="1"/>
  <c r="L11" i="2"/>
  <c r="E19" i="1"/>
  <c r="D27" i="2" s="1"/>
  <c r="K10" i="2" s="1"/>
  <c r="K46" i="2" s="1"/>
  <c r="K47" i="2" s="1"/>
  <c r="K62" i="2" s="1"/>
  <c r="AE23" i="2"/>
  <c r="AA21" i="1"/>
  <c r="T9" i="1" l="1"/>
  <c r="T10" i="1" s="1"/>
  <c r="AN64" i="2"/>
  <c r="AN12" i="2" s="1"/>
  <c r="AZ19" i="2"/>
  <c r="AL51" i="2"/>
  <c r="AY19" i="2"/>
  <c r="AK51" i="2"/>
  <c r="E4" i="7"/>
  <c r="E8" i="7" s="1"/>
  <c r="AA31" i="1"/>
  <c r="L20" i="1"/>
  <c r="Z31" i="1"/>
  <c r="L33" i="2"/>
  <c r="L23" i="8"/>
  <c r="L36" i="8" s="1"/>
  <c r="AK35" i="2"/>
  <c r="AL74" i="2"/>
  <c r="AL35" i="2" s="1"/>
  <c r="D4" i="7"/>
  <c r="AM13" i="2"/>
  <c r="AM73" i="2"/>
  <c r="AK65" i="2"/>
  <c r="AL65" i="2" s="1"/>
  <c r="D8" i="7"/>
  <c r="M20" i="1"/>
  <c r="AA6" i="1"/>
  <c r="Z6" i="1"/>
  <c r="AN4" i="2"/>
  <c r="AN8" i="2" s="1"/>
  <c r="K13" i="1"/>
  <c r="Z10" i="2"/>
  <c r="Z28" i="2" s="1"/>
  <c r="E49" i="2"/>
  <c r="E51" i="2" s="1"/>
  <c r="D22" i="2"/>
  <c r="D49" i="2" s="1"/>
  <c r="D51" i="2" s="1"/>
  <c r="C27" i="2"/>
  <c r="Y9" i="2"/>
  <c r="Y45" i="2" s="1"/>
  <c r="AF32" i="2" s="1"/>
  <c r="AF33" i="2" s="1"/>
  <c r="AT22" i="2" s="1"/>
  <c r="K11" i="2"/>
  <c r="AG32" i="2"/>
  <c r="AG33" i="2" s="1"/>
  <c r="Z46" i="2"/>
  <c r="L23" i="1"/>
  <c r="E24" i="2"/>
  <c r="E8" i="8"/>
  <c r="L12" i="8" s="1"/>
  <c r="L32" i="8" s="1"/>
  <c r="AG72" i="2"/>
  <c r="AH72" i="2"/>
  <c r="F8" i="7"/>
  <c r="F10" i="18" s="1"/>
  <c r="D8" i="8"/>
  <c r="K12" i="8" s="1"/>
  <c r="K32" i="8" s="1"/>
  <c r="AB20" i="1"/>
  <c r="AB21" i="1" s="1"/>
  <c r="AN13" i="2" l="1"/>
  <c r="BB19" i="2"/>
  <c r="AN51" i="2"/>
  <c r="BA19" i="2"/>
  <c r="AM51" i="2"/>
  <c r="L4" i="8"/>
  <c r="L28" i="8" s="1"/>
  <c r="Z7" i="1"/>
  <c r="AF63" i="2"/>
  <c r="Z33" i="1"/>
  <c r="AG63" i="2"/>
  <c r="AA33" i="1"/>
  <c r="AB32" i="1"/>
  <c r="AA32" i="1"/>
  <c r="F13" i="7"/>
  <c r="AH66" i="2" s="1"/>
  <c r="AH67" i="2" s="1"/>
  <c r="AU22" i="2"/>
  <c r="L34" i="8"/>
  <c r="D10" i="18"/>
  <c r="K33" i="2"/>
  <c r="K23" i="8"/>
  <c r="K36" i="8" s="1"/>
  <c r="D12" i="18"/>
  <c r="D11" i="18"/>
  <c r="AM74" i="2"/>
  <c r="AM35" i="2" s="1"/>
  <c r="AN74" i="2"/>
  <c r="AN35" i="2" s="1"/>
  <c r="AM34" i="2"/>
  <c r="AN73" i="2"/>
  <c r="AN34" i="2" s="1"/>
  <c r="AA7" i="1"/>
  <c r="AM65" i="2"/>
  <c r="M23" i="1"/>
  <c r="K15" i="1"/>
  <c r="AE65" i="2"/>
  <c r="D52" i="2"/>
  <c r="D62" i="2" s="1"/>
  <c r="E52" i="2"/>
  <c r="E62" i="2" s="1"/>
  <c r="S24" i="2"/>
  <c r="S26" i="2" s="1"/>
  <c r="S27" i="2" s="1"/>
  <c r="R24" i="2"/>
  <c r="Y53" i="2" s="1"/>
  <c r="Y46" i="2"/>
  <c r="D23" i="2"/>
  <c r="D24" i="2" s="1"/>
  <c r="K4" i="8" s="1"/>
  <c r="K28" i="8" s="1"/>
  <c r="J10" i="2"/>
  <c r="C22" i="2"/>
  <c r="Y10" i="2"/>
  <c r="Y28" i="2" s="1"/>
  <c r="E13" i="7"/>
  <c r="E5" i="11"/>
  <c r="E7" i="8"/>
  <c r="L8" i="8" s="1"/>
  <c r="L30" i="8" s="1"/>
  <c r="D5" i="11"/>
  <c r="D7" i="8"/>
  <c r="K8" i="8" s="1"/>
  <c r="K30" i="8" s="1"/>
  <c r="AD20" i="1"/>
  <c r="AC20" i="1"/>
  <c r="AC21" i="1" s="1"/>
  <c r="K16" i="1" l="1"/>
  <c r="AA34" i="1"/>
  <c r="AB34" i="1"/>
  <c r="AN65" i="2"/>
  <c r="AG66" i="2"/>
  <c r="AG67" i="2" s="1"/>
  <c r="R26" i="2"/>
  <c r="R27" i="2" s="1"/>
  <c r="Z53" i="2"/>
  <c r="AG40" i="2" s="1"/>
  <c r="F15" i="7" s="1"/>
  <c r="C23" i="2"/>
  <c r="C49" i="2"/>
  <c r="J46" i="2"/>
  <c r="J11" i="2"/>
  <c r="J23" i="8" s="1"/>
  <c r="E5" i="8"/>
  <c r="F5" i="8"/>
  <c r="G9" i="8"/>
  <c r="F9" i="8"/>
  <c r="Y55" i="2"/>
  <c r="Y56" i="2" s="1"/>
  <c r="Y60" i="2" s="1"/>
  <c r="AF40" i="2"/>
  <c r="E15" i="7" s="1"/>
  <c r="S28" i="2"/>
  <c r="AD21" i="1"/>
  <c r="C4" i="7" l="1"/>
  <c r="Y6" i="1"/>
  <c r="K20" i="1"/>
  <c r="K23" i="1" s="1"/>
  <c r="Y31" i="1"/>
  <c r="Z32" i="1" s="1"/>
  <c r="J12" i="8"/>
  <c r="J32" i="8" s="1"/>
  <c r="AE63" i="2"/>
  <c r="J33" i="2"/>
  <c r="J36" i="8"/>
  <c r="K34" i="8"/>
  <c r="R28" i="2"/>
  <c r="Z55" i="2"/>
  <c r="Z56" i="2" s="1"/>
  <c r="Z60" i="2" s="1"/>
  <c r="X9" i="2"/>
  <c r="J47" i="2"/>
  <c r="J62" i="2" s="1"/>
  <c r="Q24" i="2"/>
  <c r="C51" i="2"/>
  <c r="C24" i="2"/>
  <c r="J4" i="8" s="1"/>
  <c r="AG42" i="2"/>
  <c r="AG43" i="2" s="1"/>
  <c r="AU23" i="2" s="1"/>
  <c r="AF42" i="2"/>
  <c r="AF43" i="2" s="1"/>
  <c r="AT23" i="2" s="1"/>
  <c r="Y33" i="1" l="1"/>
  <c r="Z34" i="1" s="1"/>
  <c r="Y7" i="1"/>
  <c r="M40" i="1"/>
  <c r="E4" i="11"/>
  <c r="J34" i="8"/>
  <c r="L40" i="1"/>
  <c r="D4" i="11"/>
  <c r="D9" i="11" s="1"/>
  <c r="E9" i="11"/>
  <c r="C52" i="2"/>
  <c r="C62" i="2" s="1"/>
  <c r="X53" i="2"/>
  <c r="Q26" i="2"/>
  <c r="Q27" i="2" s="1"/>
  <c r="X45" i="2"/>
  <c r="X10" i="2"/>
  <c r="X28" i="2" s="1"/>
  <c r="AF45" i="2"/>
  <c r="AT24" i="2" s="1"/>
  <c r="E9" i="7"/>
  <c r="E12" i="7" s="1"/>
  <c r="E14" i="7" s="1"/>
  <c r="E16" i="7" s="1"/>
  <c r="E17" i="7" s="1"/>
  <c r="F9" i="7"/>
  <c r="F12" i="7" s="1"/>
  <c r="F14" i="7" s="1"/>
  <c r="F16" i="7" s="1"/>
  <c r="F17" i="7" s="1"/>
  <c r="AG45" i="2"/>
  <c r="AU24" i="2" s="1"/>
  <c r="L14" i="8" l="1"/>
  <c r="K14" i="8"/>
  <c r="Q28" i="2"/>
  <c r="X46" i="2"/>
  <c r="AE32" i="2"/>
  <c r="AE33" i="2" s="1"/>
  <c r="AE40" i="2"/>
  <c r="X56" i="2"/>
  <c r="AS22" i="2" l="1"/>
  <c r="C7" i="8"/>
  <c r="C5" i="11"/>
  <c r="D15" i="7"/>
  <c r="AE42" i="2"/>
  <c r="AE43" i="2" s="1"/>
  <c r="AS23" i="2" s="1"/>
  <c r="X60" i="2"/>
  <c r="D13" i="7"/>
  <c r="AF66" i="2" s="1"/>
  <c r="AF67" i="2" s="1"/>
  <c r="J8" i="8" l="1"/>
  <c r="J30" i="8" s="1"/>
  <c r="K40" i="1"/>
  <c r="C4" i="11"/>
  <c r="D9" i="7"/>
  <c r="D12" i="7" s="1"/>
  <c r="D14" i="7" s="1"/>
  <c r="D16" i="7" s="1"/>
  <c r="D17" i="7" s="1"/>
  <c r="D5" i="8"/>
  <c r="E9" i="8"/>
  <c r="AE45" i="2"/>
  <c r="AS24" i="2" s="1"/>
  <c r="C9" i="11" l="1"/>
  <c r="J14" i="8" s="1"/>
  <c r="AJ15" i="2" l="1"/>
  <c r="AK15" i="2" l="1"/>
  <c r="AL15" i="2" l="1"/>
  <c r="AM15" i="2" l="1"/>
  <c r="AN15" i="2" l="1"/>
  <c r="R11" i="1" l="1"/>
  <c r="R12" i="1" s="1"/>
  <c r="AM68" i="2"/>
  <c r="Q11" i="1"/>
  <c r="Q12" i="1" s="1"/>
  <c r="S11" i="1"/>
  <c r="K5" i="7" s="1"/>
  <c r="K7" i="7" s="1"/>
  <c r="L5" i="7"/>
  <c r="L7" i="7" s="1"/>
  <c r="P12" i="1"/>
  <c r="S12" i="1" l="1"/>
  <c r="AL68" i="2"/>
  <c r="I5" i="7"/>
  <c r="I7" i="7" s="1"/>
  <c r="AN68" i="2"/>
  <c r="P13" i="1"/>
  <c r="R13" i="1"/>
  <c r="Q13" i="1"/>
  <c r="H8" i="18"/>
  <c r="J5" i="7"/>
  <c r="J7" i="7" s="1"/>
  <c r="T12" i="1"/>
  <c r="AK68" i="2"/>
  <c r="H5" i="7"/>
  <c r="H7" i="7" s="1"/>
  <c r="S13" i="1"/>
  <c r="AL19" i="2" l="1"/>
  <c r="AL22" i="2" s="1"/>
  <c r="R15" i="1"/>
  <c r="AB16" i="1"/>
  <c r="AM19" i="2"/>
  <c r="AM22" i="2" s="1"/>
  <c r="S15" i="1"/>
  <c r="AC16" i="1"/>
  <c r="T13" i="1"/>
  <c r="AK19" i="2"/>
  <c r="AK22" i="2" s="1"/>
  <c r="Q15" i="1"/>
  <c r="AA16" i="1"/>
  <c r="P15" i="1"/>
  <c r="AJ19" i="2"/>
  <c r="AJ22" i="2" s="1"/>
  <c r="Z16" i="1"/>
  <c r="Z17" i="1" s="1"/>
  <c r="AA17" i="1" l="1"/>
  <c r="T15" i="1"/>
  <c r="AD16" i="1"/>
  <c r="AD17" i="1" s="1"/>
  <c r="AN19" i="2"/>
  <c r="AN22" i="2" s="1"/>
  <c r="AB17" i="1"/>
  <c r="AA18" i="1"/>
  <c r="Q16" i="1"/>
  <c r="F35" i="12" s="1"/>
  <c r="AC17" i="1"/>
  <c r="AB18" i="1"/>
  <c r="R16" i="1"/>
  <c r="G35" i="12" s="1"/>
  <c r="Z18" i="1"/>
  <c r="Z19" i="1" s="1"/>
  <c r="P16" i="1"/>
  <c r="E35" i="12" s="1"/>
  <c r="AM23" i="2"/>
  <c r="I37" i="12" s="1"/>
  <c r="K6" i="7"/>
  <c r="AM71" i="2"/>
  <c r="BA20" i="2"/>
  <c r="H6" i="7"/>
  <c r="AJ71" i="2"/>
  <c r="AJ72" i="2" s="1"/>
  <c r="AJ23" i="2"/>
  <c r="AX20" i="2"/>
  <c r="AY20" i="2"/>
  <c r="AK71" i="2"/>
  <c r="I6" i="7"/>
  <c r="AK23" i="2"/>
  <c r="AC18" i="1"/>
  <c r="S16" i="1"/>
  <c r="H35" i="12" s="1"/>
  <c r="AL23" i="2"/>
  <c r="AL71" i="2"/>
  <c r="AZ20" i="2"/>
  <c r="J6" i="7"/>
  <c r="AK72" i="2" l="1"/>
  <c r="AC19" i="1"/>
  <c r="AL72" i="2"/>
  <c r="AM45" i="2"/>
  <c r="BA21" i="2"/>
  <c r="J4" i="7"/>
  <c r="J8" i="7" s="1"/>
  <c r="F27" i="20" s="1"/>
  <c r="R20" i="1"/>
  <c r="AF31" i="1"/>
  <c r="I4" i="7"/>
  <c r="I8" i="7" s="1"/>
  <c r="E27" i="20" s="1"/>
  <c r="AE31" i="1"/>
  <c r="Q20" i="1"/>
  <c r="H4" i="7"/>
  <c r="H8" i="7" s="1"/>
  <c r="D27" i="20" s="1"/>
  <c r="P20" i="1"/>
  <c r="AD31" i="1"/>
  <c r="AD32" i="1" s="1"/>
  <c r="AA19" i="1"/>
  <c r="BB20" i="2"/>
  <c r="AN71" i="2"/>
  <c r="AN72" i="2" s="1"/>
  <c r="L6" i="7"/>
  <c r="AN23" i="2"/>
  <c r="AL45" i="2"/>
  <c r="AZ21" i="2"/>
  <c r="H37" i="12"/>
  <c r="AY21" i="2"/>
  <c r="AK45" i="2"/>
  <c r="G37" i="12"/>
  <c r="K4" i="7"/>
  <c r="K8" i="7" s="1"/>
  <c r="G27" i="20" s="1"/>
  <c r="S20" i="1"/>
  <c r="AG31" i="1"/>
  <c r="AG32" i="1" s="1"/>
  <c r="F37" i="12"/>
  <c r="AJ45" i="2"/>
  <c r="AX21" i="2"/>
  <c r="AM72" i="2"/>
  <c r="AB19" i="1"/>
  <c r="AD18" i="1"/>
  <c r="AD19" i="1" s="1"/>
  <c r="T16" i="1"/>
  <c r="I35" i="12" s="1"/>
  <c r="D59" i="20" l="1"/>
  <c r="D63" i="20" s="1"/>
  <c r="D43" i="20"/>
  <c r="D31" i="20"/>
  <c r="G43" i="20"/>
  <c r="G59" i="20"/>
  <c r="G63" i="20" s="1"/>
  <c r="G31" i="20"/>
  <c r="F43" i="20"/>
  <c r="F59" i="20"/>
  <c r="F63" i="20" s="1"/>
  <c r="F31" i="20"/>
  <c r="E59" i="20"/>
  <c r="E63" i="20" s="1"/>
  <c r="E43" i="20"/>
  <c r="E31" i="20"/>
  <c r="AF32" i="1"/>
  <c r="F19" i="12"/>
  <c r="BA24" i="2"/>
  <c r="AC22" i="1"/>
  <c r="S23" i="1"/>
  <c r="AM66" i="2"/>
  <c r="AG33" i="1"/>
  <c r="AM63" i="2"/>
  <c r="AY24" i="2"/>
  <c r="AZ24" i="2"/>
  <c r="AK63" i="2"/>
  <c r="Q23" i="1"/>
  <c r="AK66" i="2"/>
  <c r="AE33" i="1"/>
  <c r="AA22" i="1"/>
  <c r="AJ66" i="2"/>
  <c r="AJ32" i="2" s="1"/>
  <c r="P23" i="1"/>
  <c r="AJ63" i="2"/>
  <c r="AD33" i="1"/>
  <c r="AD34" i="1" s="1"/>
  <c r="Z22" i="1"/>
  <c r="Z23" i="1" s="1"/>
  <c r="AH31" i="1"/>
  <c r="AH32" i="1" s="1"/>
  <c r="L4" i="7"/>
  <c r="L8" i="7" s="1"/>
  <c r="T20" i="1"/>
  <c r="E19" i="12"/>
  <c r="G19" i="12"/>
  <c r="AX24" i="2"/>
  <c r="H19" i="12"/>
  <c r="AN45" i="2"/>
  <c r="BB21" i="2"/>
  <c r="AE32" i="1"/>
  <c r="AL66" i="2"/>
  <c r="AL63" i="2"/>
  <c r="AB22" i="1"/>
  <c r="R23" i="1"/>
  <c r="AF33" i="1"/>
  <c r="AF34" i="1" l="1"/>
  <c r="P6" i="20"/>
  <c r="H27" i="20"/>
  <c r="AB23" i="1"/>
  <c r="AG34" i="1"/>
  <c r="AK32" i="2"/>
  <c r="AJ33" i="2"/>
  <c r="AJ43" i="2" s="1"/>
  <c r="AC23" i="1"/>
  <c r="AN66" i="2"/>
  <c r="AD22" i="1"/>
  <c r="AD23" i="1" s="1"/>
  <c r="AN63" i="2"/>
  <c r="AH33" i="1"/>
  <c r="AH34" i="1" s="1"/>
  <c r="T23" i="1"/>
  <c r="AA23" i="1"/>
  <c r="BB24" i="2"/>
  <c r="I19" i="12"/>
  <c r="AE34" i="1"/>
  <c r="H59" i="20" l="1"/>
  <c r="G61" i="20" s="1"/>
  <c r="G62" i="20" s="1"/>
  <c r="D64" i="20" s="1"/>
  <c r="H43" i="20"/>
  <c r="G29" i="20"/>
  <c r="G30" i="20" s="1"/>
  <c r="D32" i="20" s="1"/>
  <c r="E17" i="20"/>
  <c r="I14" i="20"/>
  <c r="J17" i="20"/>
  <c r="J19" i="20"/>
  <c r="H18" i="20"/>
  <c r="F19" i="20"/>
  <c r="K15" i="20"/>
  <c r="F17" i="20"/>
  <c r="H15" i="20"/>
  <c r="K13" i="20"/>
  <c r="J13" i="20"/>
  <c r="M19" i="20"/>
  <c r="L19" i="20"/>
  <c r="H12" i="20"/>
  <c r="I11" i="20"/>
  <c r="L13" i="20"/>
  <c r="L11" i="20"/>
  <c r="M16" i="20"/>
  <c r="L20" i="20"/>
  <c r="F12" i="20"/>
  <c r="M10" i="20"/>
  <c r="H14" i="20"/>
  <c r="L16" i="20"/>
  <c r="F10" i="20"/>
  <c r="M9" i="20"/>
  <c r="H19" i="20"/>
  <c r="I17" i="20"/>
  <c r="E15" i="20"/>
  <c r="E12" i="20"/>
  <c r="H20" i="20"/>
  <c r="E20" i="20"/>
  <c r="K18" i="20"/>
  <c r="J14" i="20"/>
  <c r="M20" i="20"/>
  <c r="H8" i="20"/>
  <c r="M12" i="20"/>
  <c r="M14" i="20"/>
  <c r="L15" i="20"/>
  <c r="E8" i="20"/>
  <c r="J15" i="20"/>
  <c r="I13" i="20"/>
  <c r="K12" i="20"/>
  <c r="J12" i="20"/>
  <c r="M18" i="20"/>
  <c r="M17" i="20"/>
  <c r="L18" i="20"/>
  <c r="H17" i="20"/>
  <c r="K11" i="20"/>
  <c r="E16" i="20"/>
  <c r="J9" i="20"/>
  <c r="H16" i="20"/>
  <c r="I8" i="20"/>
  <c r="M11" i="20"/>
  <c r="L10" i="20"/>
  <c r="F15" i="20"/>
  <c r="I10" i="20"/>
  <c r="E10" i="20"/>
  <c r="H13" i="20"/>
  <c r="L8" i="20"/>
  <c r="K9" i="20"/>
  <c r="F11" i="20"/>
  <c r="I16" i="20"/>
  <c r="M8" i="20"/>
  <c r="K20" i="20"/>
  <c r="I15" i="20"/>
  <c r="F13" i="20"/>
  <c r="H9" i="20"/>
  <c r="H11" i="20"/>
  <c r="E14" i="20"/>
  <c r="J11" i="20"/>
  <c r="L17" i="20"/>
  <c r="M13" i="20"/>
  <c r="M15" i="20"/>
  <c r="J20" i="20"/>
  <c r="J10" i="20"/>
  <c r="I20" i="20"/>
  <c r="F14" i="20"/>
  <c r="K16" i="20"/>
  <c r="E13" i="20"/>
  <c r="I19" i="20"/>
  <c r="K10" i="20"/>
  <c r="K8" i="20"/>
  <c r="E9" i="20"/>
  <c r="J16" i="20"/>
  <c r="E19" i="20"/>
  <c r="J8" i="20"/>
  <c r="L9" i="20"/>
  <c r="E11" i="20"/>
  <c r="L12" i="20"/>
  <c r="F18" i="20"/>
  <c r="H10" i="20"/>
  <c r="I18" i="20"/>
  <c r="I12" i="20"/>
  <c r="L14" i="20"/>
  <c r="F9" i="20"/>
  <c r="F16" i="20"/>
  <c r="K14" i="20"/>
  <c r="F8" i="20"/>
  <c r="K19" i="20"/>
  <c r="J18" i="20"/>
  <c r="K17" i="20"/>
  <c r="I9" i="20"/>
  <c r="AX22" i="2"/>
  <c r="H13" i="7"/>
  <c r="H5" i="11"/>
  <c r="AL32" i="2"/>
  <c r="AK33" i="2"/>
  <c r="AK43" i="2" s="1"/>
  <c r="D65" i="20" l="1"/>
  <c r="D67" i="20" s="1"/>
  <c r="D33" i="20"/>
  <c r="D35" i="20" s="1"/>
  <c r="AM32" i="2"/>
  <c r="AL33" i="2"/>
  <c r="J13" i="7" s="1"/>
  <c r="AY22" i="2"/>
  <c r="I5" i="11"/>
  <c r="I13" i="7"/>
  <c r="H4" i="11"/>
  <c r="H9" i="11" s="1"/>
  <c r="P40" i="1"/>
  <c r="AJ40" i="2"/>
  <c r="H9" i="7" s="1"/>
  <c r="H12" i="7" s="1"/>
  <c r="H14" i="7" s="1"/>
  <c r="H16" i="7" s="1"/>
  <c r="H17" i="7" s="1"/>
  <c r="AX23" i="2"/>
  <c r="E20" i="12" l="1"/>
  <c r="E21" i="12" s="1"/>
  <c r="AJ42" i="2"/>
  <c r="I15" i="7"/>
  <c r="AZ22" i="2"/>
  <c r="J5" i="11"/>
  <c r="AL43" i="2"/>
  <c r="Q40" i="1"/>
  <c r="AK40" i="2"/>
  <c r="I4" i="11"/>
  <c r="I9" i="11" s="1"/>
  <c r="AY23" i="2"/>
  <c r="AN32" i="2"/>
  <c r="AN33" i="2" s="1"/>
  <c r="AM33" i="2"/>
  <c r="D44" i="20" l="1"/>
  <c r="D47" i="20" s="1"/>
  <c r="E24" i="12"/>
  <c r="L5" i="11"/>
  <c r="BB22" i="2"/>
  <c r="AN43" i="2"/>
  <c r="AK42" i="2"/>
  <c r="J15" i="7"/>
  <c r="F20" i="12"/>
  <c r="L13" i="7"/>
  <c r="K5" i="11"/>
  <c r="BA22" i="2"/>
  <c r="AM43" i="2"/>
  <c r="I9" i="7"/>
  <c r="I12" i="7" s="1"/>
  <c r="I14" i="7" s="1"/>
  <c r="I16" i="7" s="1"/>
  <c r="I17" i="7" s="1"/>
  <c r="AL40" i="2"/>
  <c r="J9" i="7" s="1"/>
  <c r="J12" i="7" s="1"/>
  <c r="J14" i="7" s="1"/>
  <c r="J16" i="7" s="1"/>
  <c r="R40" i="1"/>
  <c r="J4" i="11"/>
  <c r="J9" i="11" s="1"/>
  <c r="AZ23" i="2"/>
  <c r="K13" i="7"/>
  <c r="E36" i="12"/>
  <c r="K15" i="7" l="1"/>
  <c r="AL42" i="2"/>
  <c r="G20" i="12"/>
  <c r="AN40" i="2"/>
  <c r="AN42" i="2" s="1"/>
  <c r="T40" i="1"/>
  <c r="L4" i="11"/>
  <c r="BB23" i="2"/>
  <c r="E38" i="12"/>
  <c r="E39" i="12" s="1"/>
  <c r="E40" i="12"/>
  <c r="K4" i="11"/>
  <c r="K9" i="11" s="1"/>
  <c r="AM40" i="2"/>
  <c r="K9" i="7" s="1"/>
  <c r="K12" i="7" s="1"/>
  <c r="K14" i="7" s="1"/>
  <c r="K16" i="7" s="1"/>
  <c r="S40" i="1"/>
  <c r="BA23" i="2"/>
  <c r="J17" i="7"/>
  <c r="F36" i="12"/>
  <c r="F21" i="12"/>
  <c r="L9" i="11" l="1"/>
  <c r="I20" i="12" s="1"/>
  <c r="I36" i="12" s="1"/>
  <c r="F24" i="12"/>
  <c r="E44" i="20"/>
  <c r="E47" i="20" s="1"/>
  <c r="H20" i="12"/>
  <c r="H36" i="12" s="1"/>
  <c r="K17" i="7"/>
  <c r="L9" i="7"/>
  <c r="L12" i="7" s="1"/>
  <c r="L14" i="7" s="1"/>
  <c r="L16" i="7" s="1"/>
  <c r="G21" i="12"/>
  <c r="G36" i="12"/>
  <c r="G40" i="12" s="1"/>
  <c r="F38" i="12"/>
  <c r="F39" i="12" s="1"/>
  <c r="F40" i="12"/>
  <c r="L15" i="7"/>
  <c r="AM42" i="2"/>
  <c r="E43" i="12"/>
  <c r="G7" i="20" l="1"/>
  <c r="H22" i="12"/>
  <c r="G24" i="12"/>
  <c r="F44" i="20"/>
  <c r="F47" i="20" s="1"/>
  <c r="L17" i="7"/>
  <c r="I21" i="12"/>
  <c r="H44" i="20" s="1"/>
  <c r="H21" i="12"/>
  <c r="G44" i="20" s="1"/>
  <c r="G47" i="20" s="1"/>
  <c r="F43" i="12"/>
  <c r="G38" i="12"/>
  <c r="G39" i="12" s="1"/>
  <c r="G43" i="12" s="1"/>
  <c r="D52" i="20" l="1"/>
  <c r="G45" i="20" s="1"/>
  <c r="G46" i="20" s="1"/>
  <c r="D48" i="20" s="1"/>
  <c r="G13" i="20"/>
  <c r="G10" i="20"/>
  <c r="G11" i="20"/>
  <c r="G12" i="20"/>
  <c r="G9" i="20"/>
  <c r="G20" i="20"/>
  <c r="G19" i="20"/>
  <c r="G15" i="20"/>
  <c r="G18" i="20"/>
  <c r="G16" i="20"/>
  <c r="G8" i="20"/>
  <c r="G14" i="20"/>
  <c r="G17" i="20"/>
  <c r="H23" i="12"/>
  <c r="H24" i="12"/>
  <c r="I38" i="12"/>
  <c r="I39" i="12" s="1"/>
  <c r="H41" i="12" s="1"/>
  <c r="I40" i="12"/>
  <c r="H40" i="12"/>
  <c r="H38" i="12"/>
  <c r="H39" i="12" s="1"/>
  <c r="D49" i="20" l="1"/>
  <c r="D51" i="20" s="1"/>
  <c r="D25" i="12"/>
  <c r="H43" i="12"/>
  <c r="H42" i="12"/>
  <c r="D27" i="12" l="1"/>
  <c r="D28" i="12" s="1"/>
  <c r="D44" i="12"/>
  <c r="D46" i="12" s="1"/>
  <c r="M29" i="12" l="1"/>
  <c r="M30" i="12"/>
  <c r="Q30" i="12" s="1"/>
  <c r="D47" i="12"/>
  <c r="Q29" i="12" l="1"/>
  <c r="M37" i="12"/>
  <c r="O35" i="12"/>
  <c r="M34" i="12"/>
</calcChain>
</file>

<file path=xl/sharedStrings.xml><?xml version="1.0" encoding="utf-8"?>
<sst xmlns="http://schemas.openxmlformats.org/spreadsheetml/2006/main" count="920" uniqueCount="355">
  <si>
    <t>Revenues</t>
  </si>
  <si>
    <t>Cost of materials</t>
  </si>
  <si>
    <t>Gross Profit</t>
  </si>
  <si>
    <t xml:space="preserve">Personnel expenses </t>
  </si>
  <si>
    <t>Other operating expenses</t>
  </si>
  <si>
    <t>Operating expenses</t>
  </si>
  <si>
    <t>EBITDA</t>
  </si>
  <si>
    <t>Depreciation</t>
  </si>
  <si>
    <t>EBIT</t>
  </si>
  <si>
    <t>Corporation tax</t>
  </si>
  <si>
    <t>Tax-shield from NFE</t>
  </si>
  <si>
    <t>Operating tax expenses</t>
  </si>
  <si>
    <t>NOPAT</t>
  </si>
  <si>
    <t>Other financial income</t>
  </si>
  <si>
    <t>Net other financial expenses</t>
  </si>
  <si>
    <t xml:space="preserve">Net income </t>
  </si>
  <si>
    <t>Reformulated income statement (NOK1000)</t>
  </si>
  <si>
    <t>Net revenue (operating)</t>
  </si>
  <si>
    <t>Operatonal EBIT</t>
  </si>
  <si>
    <t xml:space="preserve">Operating profit </t>
  </si>
  <si>
    <t xml:space="preserve">Net financial items </t>
  </si>
  <si>
    <t>Profit before tax</t>
  </si>
  <si>
    <t>Consolidated profit</t>
  </si>
  <si>
    <t>Other operating income</t>
  </si>
  <si>
    <t>Income statement (NOK 1 000)</t>
  </si>
  <si>
    <t>Gross profit</t>
  </si>
  <si>
    <t>Net income</t>
  </si>
  <si>
    <t>Income statement reformulated - Forecast</t>
  </si>
  <si>
    <t>∆</t>
  </si>
  <si>
    <t>Profit margin</t>
  </si>
  <si>
    <t xml:space="preserve">NFE </t>
  </si>
  <si>
    <t>Key numbers</t>
  </si>
  <si>
    <t>Revenue growth</t>
  </si>
  <si>
    <t>Cost of materials as % of revenue</t>
  </si>
  <si>
    <t>Personnel expenses as a % of revenue</t>
  </si>
  <si>
    <t>Other operating expenses as % of revenue</t>
  </si>
  <si>
    <t>Depreciation as a % of PPE</t>
  </si>
  <si>
    <t xml:space="preserve">Corporate tax rate </t>
  </si>
  <si>
    <t>NFE as % of NIBD</t>
  </si>
  <si>
    <t>Reformulated balance sheet - CE-Format</t>
  </si>
  <si>
    <t>Balance sheet - NOA-format  w/forecasting</t>
  </si>
  <si>
    <t>Assets (NOK1000)</t>
  </si>
  <si>
    <t>Equity and liabilities (NOK1000)</t>
  </si>
  <si>
    <t xml:space="preserve">Non-current assets </t>
  </si>
  <si>
    <t xml:space="preserve">Equity </t>
  </si>
  <si>
    <t>Share capital</t>
  </si>
  <si>
    <t>NONCA</t>
  </si>
  <si>
    <t>Total intangible assets (O)</t>
  </si>
  <si>
    <t>NOWC</t>
  </si>
  <si>
    <t>Retained earnings</t>
  </si>
  <si>
    <t>Total PP&amp;E (O)</t>
  </si>
  <si>
    <t>NOA</t>
  </si>
  <si>
    <t>Investments in associates (O)</t>
  </si>
  <si>
    <t>Other long-term receivables (O)</t>
  </si>
  <si>
    <t>NIBD</t>
  </si>
  <si>
    <t>Fixtures, office equipment etc. (O)</t>
  </si>
  <si>
    <t>Total equity (E+N)</t>
  </si>
  <si>
    <t xml:space="preserve">Total equity </t>
  </si>
  <si>
    <t>NONCA (NNCOA)</t>
  </si>
  <si>
    <t>Inventories (O)</t>
  </si>
  <si>
    <t xml:space="preserve">Non-current liabilities </t>
  </si>
  <si>
    <t>IBD</t>
  </si>
  <si>
    <t>Total inventory (O)</t>
  </si>
  <si>
    <t xml:space="preserve">Total non-current assets </t>
  </si>
  <si>
    <t>Total non-current liabilities</t>
  </si>
  <si>
    <t>Total receivables (O)</t>
  </si>
  <si>
    <t xml:space="preserve">Current assets </t>
  </si>
  <si>
    <t>Current liabilities</t>
  </si>
  <si>
    <t>Tax payable (O)</t>
  </si>
  <si>
    <t>Other current liabilities O)</t>
  </si>
  <si>
    <t>Equity</t>
  </si>
  <si>
    <t>Total E+NIBD</t>
  </si>
  <si>
    <t>Total current liabilities</t>
  </si>
  <si>
    <t>Cash and cash equivalents (F)</t>
  </si>
  <si>
    <t>Total liabilities</t>
  </si>
  <si>
    <t xml:space="preserve">Total current assets </t>
  </si>
  <si>
    <t>Total assets</t>
  </si>
  <si>
    <t xml:space="preserve">Total equity and liabilities </t>
  </si>
  <si>
    <t>FA</t>
  </si>
  <si>
    <t>TOTAL CE (NOA+FA)</t>
  </si>
  <si>
    <t>Reformulated balance sheet TA-Format</t>
  </si>
  <si>
    <t>Reformulated balance sheet NOA-Format - Horisontal</t>
  </si>
  <si>
    <t>ONCL</t>
  </si>
  <si>
    <t>RATIOS</t>
  </si>
  <si>
    <t>ONCA</t>
  </si>
  <si>
    <t>Account receivable turnover rate</t>
  </si>
  <si>
    <t>Inventory turnover rate</t>
  </si>
  <si>
    <t>OCL</t>
  </si>
  <si>
    <t>PPE/Net revenue</t>
  </si>
  <si>
    <t>Deferred tax liabilities/PP&amp;E</t>
  </si>
  <si>
    <t>Account payable turnover rate</t>
  </si>
  <si>
    <t>Tax payable/Corporation tax</t>
  </si>
  <si>
    <t>Dividends</t>
  </si>
  <si>
    <t>Dividend ratio</t>
  </si>
  <si>
    <t xml:space="preserve">Capital expenditures (CAPEX) </t>
  </si>
  <si>
    <t>CAPEX/Sales</t>
  </si>
  <si>
    <t>OCA</t>
  </si>
  <si>
    <t>Installments interest-bearing debt</t>
  </si>
  <si>
    <t>TOTAL ASSETS (ONCA+FA+OCA)</t>
  </si>
  <si>
    <t>TOTAL E+N+ONCL+OCL+IBD</t>
  </si>
  <si>
    <t xml:space="preserve">NOA </t>
  </si>
  <si>
    <t>Change in NOWC</t>
  </si>
  <si>
    <t>Other non current assets</t>
  </si>
  <si>
    <t>Other current assets</t>
  </si>
  <si>
    <t>Trademark and software (O)</t>
  </si>
  <si>
    <t>Store lease rights (0)</t>
  </si>
  <si>
    <t>Trade receivables (o)</t>
  </si>
  <si>
    <t>Other receivables (O)</t>
  </si>
  <si>
    <t>Goodwill</t>
  </si>
  <si>
    <t>Deferred tax assets</t>
  </si>
  <si>
    <t>Right of use asset</t>
  </si>
  <si>
    <t>Derivative financial instruments (F)</t>
  </si>
  <si>
    <t>Total current financial assets (F)</t>
  </si>
  <si>
    <t>KID ASA balance sheet</t>
  </si>
  <si>
    <t>Share premium</t>
  </si>
  <si>
    <t>Other paid-in equity</t>
  </si>
  <si>
    <t>Total paid-in equity</t>
  </si>
  <si>
    <t>Other reserves</t>
  </si>
  <si>
    <t>Other current liabilities (O) (short term)</t>
  </si>
  <si>
    <t>Total provisions</t>
  </si>
  <si>
    <t>Long term lease liabilities (O)</t>
  </si>
  <si>
    <t>Liabilites to financial institutions (long term) (F)</t>
  </si>
  <si>
    <t>Short term lease liabilities (O)</t>
  </si>
  <si>
    <t>Short term liabilities to financial institutions (F)</t>
  </si>
  <si>
    <t>Trade creditors (F)</t>
  </si>
  <si>
    <t>Public duties payable (O)</t>
  </si>
  <si>
    <t>Derivatives (F)</t>
  </si>
  <si>
    <t>Deferred tax liabilities (O)</t>
  </si>
  <si>
    <t>Right of use asset (O)</t>
  </si>
  <si>
    <t>IFRS 16</t>
  </si>
  <si>
    <t>TOTAL E+IBD</t>
  </si>
  <si>
    <t>Total equity</t>
  </si>
  <si>
    <t>TOTAL E+NIBD</t>
  </si>
  <si>
    <t>+ Depriciation expense</t>
  </si>
  <si>
    <t>-/+ Incr./Decr. in NOWC</t>
  </si>
  <si>
    <t>-/+ Incr./Decr. in NONCA incl. depr.</t>
  </si>
  <si>
    <t>FCFF</t>
  </si>
  <si>
    <t>+/- Incr./Decr. in NIBD excl. cash</t>
  </si>
  <si>
    <t>+/- Tax-shield from NFE</t>
  </si>
  <si>
    <t>FCFE</t>
  </si>
  <si>
    <t>- Dividends</t>
  </si>
  <si>
    <t>Cash surplus</t>
  </si>
  <si>
    <t>Cash at the beginning of period</t>
  </si>
  <si>
    <t>+ Cash surplus</t>
  </si>
  <si>
    <t>Cash at the end of period</t>
  </si>
  <si>
    <t>Net financial items</t>
  </si>
  <si>
    <t>Ratios</t>
  </si>
  <si>
    <t>Selected ratios</t>
  </si>
  <si>
    <t>Payout ratio (PO)</t>
  </si>
  <si>
    <t>EPS</t>
  </si>
  <si>
    <t>ROE</t>
  </si>
  <si>
    <t>ROIC</t>
  </si>
  <si>
    <t>Growth in dividends</t>
  </si>
  <si>
    <t>Risk-free rate</t>
  </si>
  <si>
    <t>Risk premium (Market)</t>
  </si>
  <si>
    <t>β-levered</t>
  </si>
  <si>
    <t>Cost of capital</t>
  </si>
  <si>
    <t>MVE</t>
  </si>
  <si>
    <t>Rd</t>
  </si>
  <si>
    <t>Re</t>
  </si>
  <si>
    <t>Tax</t>
  </si>
  <si>
    <t>WACC</t>
  </si>
  <si>
    <t>CAPM</t>
  </si>
  <si>
    <t xml:space="preserve">Risk-free rate </t>
  </si>
  <si>
    <t>Market premium</t>
  </si>
  <si>
    <t>Explicit forecasting period</t>
  </si>
  <si>
    <t>Discount factors</t>
  </si>
  <si>
    <t>EVA</t>
  </si>
  <si>
    <t>NOA at the beginning of period</t>
  </si>
  <si>
    <t>WACC x NOA = Cost of capital</t>
  </si>
  <si>
    <t>Discount factor</t>
  </si>
  <si>
    <t>Average</t>
  </si>
  <si>
    <t>Share price</t>
  </si>
  <si>
    <t>Date</t>
  </si>
  <si>
    <t xml:space="preserve"> Adj Close KID </t>
  </si>
  <si>
    <t>OSEBX Close</t>
  </si>
  <si>
    <t>Average last 3 y</t>
  </si>
  <si>
    <t>Cov (Rs, Rm)</t>
  </si>
  <si>
    <t>Var (Rm)</t>
  </si>
  <si>
    <t>Beta</t>
  </si>
  <si>
    <t>Rs</t>
  </si>
  <si>
    <t>Rm</t>
  </si>
  <si>
    <t>FRA</t>
  </si>
  <si>
    <t>TIL</t>
  </si>
  <si>
    <t>ÅR</t>
  </si>
  <si>
    <t>Adjusted other financial exp.</t>
  </si>
  <si>
    <t>Adjs. Net Fin. Items</t>
  </si>
  <si>
    <t>Adj. Corp. Tax</t>
  </si>
  <si>
    <t>Adjust. Retained Earnings</t>
  </si>
  <si>
    <t>Adj. Total Equity</t>
  </si>
  <si>
    <t>Adjs Total Current Assets</t>
  </si>
  <si>
    <t>Adj. Total Equity and Liabilities</t>
  </si>
  <si>
    <t>Adj. Profit before tax</t>
  </si>
  <si>
    <t xml:space="preserve"> Adj. Income statement (NOK 1 000)</t>
  </si>
  <si>
    <t>Adj. Consol. Profitt</t>
  </si>
  <si>
    <t>Adj Cash (F)</t>
  </si>
  <si>
    <t>Adj cash</t>
  </si>
  <si>
    <t>Adj. total assets</t>
  </si>
  <si>
    <t>Long term lease liabilities (F)</t>
  </si>
  <si>
    <t>Short term lease liabilities (F)</t>
  </si>
  <si>
    <t>Kid ASA Cash flow</t>
  </si>
  <si>
    <t>Operational profit</t>
  </si>
  <si>
    <t>Trade receivable turnover rate</t>
  </si>
  <si>
    <t>Long term lease liabilities/PP&amp;E</t>
  </si>
  <si>
    <t>Short term lease liabilities/PP&amp;E</t>
  </si>
  <si>
    <t>Ant. Aksjer</t>
  </si>
  <si>
    <t>Kredittanalyse</t>
  </si>
  <si>
    <t>Finansielle rater</t>
  </si>
  <si>
    <t>Forholdstall</t>
  </si>
  <si>
    <t>Rating</t>
  </si>
  <si>
    <t>EBIT interest cover</t>
  </si>
  <si>
    <t>AA</t>
  </si>
  <si>
    <t>EBITDA interest cover</t>
  </si>
  <si>
    <t>Free operating cash flow/ Total debt</t>
  </si>
  <si>
    <t>A</t>
  </si>
  <si>
    <t>Total debt/Capital</t>
  </si>
  <si>
    <t>BBB</t>
  </si>
  <si>
    <t>Long term debt/Capital</t>
  </si>
  <si>
    <t>Totalvurdering</t>
  </si>
  <si>
    <t>BB</t>
  </si>
  <si>
    <t>B</t>
  </si>
  <si>
    <t>Aksjepris FCFF</t>
  </si>
  <si>
    <t>Aksjepris EVA</t>
  </si>
  <si>
    <t>Nøkkeltall</t>
  </si>
  <si>
    <t>ROA</t>
  </si>
  <si>
    <t>Current Ratio</t>
  </si>
  <si>
    <t>Financial Leverage</t>
  </si>
  <si>
    <t>Snitt</t>
  </si>
  <si>
    <t>Revenue</t>
  </si>
  <si>
    <t>Historiske tall</t>
  </si>
  <si>
    <t>Prognoser</t>
  </si>
  <si>
    <t>I 1 000 NOK</t>
  </si>
  <si>
    <t>Total Equity</t>
  </si>
  <si>
    <t xml:space="preserve"> </t>
  </si>
  <si>
    <t>NONCA as % of revenue</t>
  </si>
  <si>
    <t>Growth Rate</t>
  </si>
  <si>
    <t xml:space="preserve">Forventet </t>
  </si>
  <si>
    <t>Under forventet</t>
  </si>
  <si>
    <t>Over forventet</t>
  </si>
  <si>
    <t>Lav WACC</t>
  </si>
  <si>
    <t>Normal WACC</t>
  </si>
  <si>
    <t>Høy WACC</t>
  </si>
  <si>
    <t>FCFF 2025</t>
  </si>
  <si>
    <t>Forcast</t>
  </si>
  <si>
    <t>Antall utestående aksjer</t>
  </si>
  <si>
    <t>Neddiskontert cash flow</t>
  </si>
  <si>
    <t>Estimert pris per aksje</t>
  </si>
  <si>
    <t>Diskonteringsfaktor</t>
  </si>
  <si>
    <t>Vekst</t>
  </si>
  <si>
    <t xml:space="preserve">Netto nåverdi </t>
  </si>
  <si>
    <t>Netto nåverdi egenkapital</t>
  </si>
  <si>
    <t>Forventet vekst                     Normal WACC</t>
  </si>
  <si>
    <t>Over forventet vekst               Lav WACC</t>
  </si>
  <si>
    <t>Under forventet vekst            Høy WACC</t>
  </si>
  <si>
    <t>Terminalverdi</t>
  </si>
  <si>
    <t>Neddiskontert terminalverdi</t>
  </si>
  <si>
    <t>Industry average</t>
  </si>
  <si>
    <t>Trailin P/E</t>
  </si>
  <si>
    <t>P/E (M/B)</t>
  </si>
  <si>
    <t>EV/EBITA</t>
  </si>
  <si>
    <t>XXL</t>
  </si>
  <si>
    <t>Europris</t>
  </si>
  <si>
    <t>Clas Ohlson</t>
  </si>
  <si>
    <t>Multipel</t>
  </si>
  <si>
    <t>Kid</t>
  </si>
  <si>
    <t>Sensitivitetsanalyse - WACC &amp; Growth Rate</t>
  </si>
  <si>
    <t>N/A</t>
  </si>
  <si>
    <t xml:space="preserve">Share price </t>
  </si>
  <si>
    <t>Multippel</t>
  </si>
  <si>
    <t>Oppside/ Nedside</t>
  </si>
  <si>
    <t>EV as of 01.01.2021</t>
  </si>
  <si>
    <t>PV of terminal as of 01.01.2021</t>
  </si>
  <si>
    <t>PV as of 01.01.2021 of Terminal period</t>
  </si>
  <si>
    <t>PV of explicit as of 01.01.2021</t>
  </si>
  <si>
    <t>MVE as of  01.01.2021</t>
  </si>
  <si>
    <t>PV of Terminal EVA as of 01.01.2025</t>
  </si>
  <si>
    <t>PV of Terminal EVA as of 01.01.2021</t>
  </si>
  <si>
    <t>PV of EVA explicit as of 01.01.2021</t>
  </si>
  <si>
    <t>MVE as of 01.01.2021</t>
  </si>
  <si>
    <t>Adj Close 31.12.2020</t>
  </si>
  <si>
    <t>Kurs 01.01.2021</t>
  </si>
  <si>
    <t xml:space="preserve">Vekst </t>
  </si>
  <si>
    <t>Monte Carlo Share Price</t>
  </si>
  <si>
    <t>Inputs</t>
  </si>
  <si>
    <t>Mean</t>
  </si>
  <si>
    <t>Std. Dev.</t>
  </si>
  <si>
    <t>Random Number</t>
  </si>
  <si>
    <t>Output</t>
  </si>
  <si>
    <t>Terminal Growth</t>
  </si>
  <si>
    <t>Counter</t>
  </si>
  <si>
    <t>Iterations</t>
  </si>
  <si>
    <t>Probability above:</t>
  </si>
  <si>
    <t>Iteration</t>
  </si>
  <si>
    <t>Share Price</t>
  </si>
  <si>
    <t>Total Enterprise Value</t>
  </si>
  <si>
    <t>Terminal Value</t>
  </si>
  <si>
    <t>Debt</t>
  </si>
  <si>
    <t>Forecast Horizon</t>
  </si>
  <si>
    <t># Years</t>
  </si>
  <si>
    <t>Sales</t>
  </si>
  <si>
    <t>COGS</t>
  </si>
  <si>
    <t>EBITA</t>
  </si>
  <si>
    <t>EBITA Tax</t>
  </si>
  <si>
    <t>Net def./Pay. Tax assets</t>
  </si>
  <si>
    <t>NOPLAT</t>
  </si>
  <si>
    <t>FCF</t>
  </si>
  <si>
    <t>Discounted FCFs</t>
  </si>
  <si>
    <t>Discounted TV</t>
  </si>
  <si>
    <t>NPV</t>
  </si>
  <si>
    <t>Upside</t>
  </si>
  <si>
    <t>Downside</t>
  </si>
  <si>
    <t>15% upside on 95,4</t>
  </si>
  <si>
    <t>10% downside on 95,4</t>
  </si>
  <si>
    <t>N Shares</t>
  </si>
  <si>
    <t>Kolonne1</t>
  </si>
  <si>
    <t>Gjennomsnitt</t>
  </si>
  <si>
    <t>Standardfeil</t>
  </si>
  <si>
    <t>Median</t>
  </si>
  <si>
    <t>Modus</t>
  </si>
  <si>
    <t>Standardavvik</t>
  </si>
  <si>
    <t>Utvalgsvarians</t>
  </si>
  <si>
    <t>Kurstosis</t>
  </si>
  <si>
    <t>Skjevhet</t>
  </si>
  <si>
    <t>Område</t>
  </si>
  <si>
    <t>Minimum</t>
  </si>
  <si>
    <t>Maksimum</t>
  </si>
  <si>
    <t>Sum</t>
  </si>
  <si>
    <t>Antall</t>
  </si>
  <si>
    <t>Intervaller</t>
  </si>
  <si>
    <t>Range</t>
  </si>
  <si>
    <t>Intervall</t>
  </si>
  <si>
    <t>Mer</t>
  </si>
  <si>
    <t>Frekvens</t>
  </si>
  <si>
    <t>e</t>
  </si>
  <si>
    <t>Intervals</t>
  </si>
  <si>
    <t>Prosent</t>
  </si>
  <si>
    <t>innenfor 99,8-199,6</t>
  </si>
  <si>
    <t>Innenfor 119,7-146,3</t>
  </si>
  <si>
    <t>Innenfor 133-139,7</t>
  </si>
  <si>
    <t>Rater ifb. justering IFRS 16</t>
  </si>
  <si>
    <t>1 000 NOK</t>
  </si>
  <si>
    <t>Assets</t>
  </si>
  <si>
    <t>Equity and liabilities (1 000 NOK)</t>
  </si>
  <si>
    <t>-</t>
  </si>
  <si>
    <t>Forecast: Adj. Balancesheet</t>
  </si>
  <si>
    <t>Princess Gruppen</t>
  </si>
  <si>
    <t>Kid ASA</t>
  </si>
  <si>
    <t>Kid ASA før IFRS16</t>
  </si>
  <si>
    <t>Kid ASA WACC</t>
  </si>
  <si>
    <t>Skala</t>
  </si>
  <si>
    <t>AAA</t>
  </si>
  <si>
    <t>= BB</t>
  </si>
  <si>
    <t>= BBB</t>
  </si>
  <si>
    <t>= A</t>
  </si>
  <si>
    <t>Multiples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</si>
</sst>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&quot;NOK&quot;\ * #,##0.00_-;\-&quot;NOK&quot;\ * #,##0.00_-;_-&quot;NOK&quot;\ * &quot;-&quot;??_-;_-@_-"/>
    <numFmt numFmtId="165" formatCode="_-&quot;kr&quot;\ * #,##0_-;\-&quot;kr&quot;\ * #,##0_-;_-&quot;kr&quot;\ * &quot;-&quot;??_-;_-@_-"/>
    <numFmt numFmtId="166" formatCode="_-&quot;kr&quot;\ * #,##0.0_-;\-&quot;kr&quot;\ * #,##0.0_-;_-&quot;kr&quot;\ * &quot;-&quot;?_-;_-@_-"/>
    <numFmt numFmtId="167" formatCode="0.0\ %"/>
    <numFmt numFmtId="168" formatCode="0.0"/>
    <numFmt numFmtId="169" formatCode="_-* #,##0_-;\-* #,##0_-;_-* &quot;-&quot;??_-;_-@_-"/>
    <numFmt numFmtId="170" formatCode="_-* #,##0.0_-;\-* #,##0.0_-;_-* &quot;-&quot;??_-;_-@_-"/>
    <numFmt numFmtId="171" formatCode="_-* #,##0.0_-;\-* #,##0.0_-;_-* &quot;-&quot;?_-;_-@_-"/>
    <numFmt numFmtId="172" formatCode="_-* #,##0_-;\-* #,##0_-;_-* &quot;-&quot;?_-;_-@_-"/>
    <numFmt numFmtId="173" formatCode="_-* #,##0.00_-;\-* #,##0.00_-;_-* &quot;-&quot;_-;_-@_-"/>
    <numFmt numFmtId="174" formatCode="_-* #,##0.00_-;\-* #,##0.00_-;_-* &quot;-&quot;?_-;_-@_-"/>
    <numFmt numFmtId="175" formatCode="_-&quot;NOK&quot;\ * #,##0_-;\-&quot;NOK&quot;\ * #,##0_-;_-&quot;NOK&quot;\ * &quot;-&quot;??_-;_-@_-"/>
    <numFmt numFmtId="176" formatCode="_-&quot;kr&quot;\ * #,##0_-;\-&quot;kr&quot;\ * #,##0_-;_-&quot;kr&quot;\ * &quot;-&quot;?_-;_-@_-"/>
  </numFmts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12"/>
      <color theme="1"/>
      <name val="Calibri (Brødtekst)"/>
    </font>
    <font>
      <sz val="12"/>
      <color theme="1"/>
      <name val="Calibri (Brødtekst)"/>
    </font>
    <font>
      <b/>
      <i/>
      <sz val="12"/>
      <color theme="1"/>
      <name val="Calibri (Brødtekst)"/>
    </font>
    <font>
      <sz val="12"/>
      <color rgb="FFFF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82823"/>
      <name val="Calibri"/>
      <family val="2"/>
      <scheme val="minor"/>
    </font>
    <font>
      <sz val="11"/>
      <color theme="1"/>
      <name val="Calibri (Brødtekst)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164" fontId="2" fillId="0" borderId="0" applyFont="0" applyFill="0" applyBorder="0" applyAlignment="0" applyProtection="0"/>
  </cellStyleXfs>
  <cellXfs count="713">
    <xf numFmtId="0" fontId="0" fillId="0" borderId="0" xfId="0"/>
    <xf numFmtId="0" fontId="0" fillId="0" borderId="2" xfId="0" applyBorder="1"/>
    <xf numFmtId="165" fontId="0" fillId="0" borderId="0" xfId="0" applyNumberFormat="1"/>
    <xf numFmtId="165" fontId="0" fillId="0" borderId="9" xfId="0" applyNumberFormat="1" applyBorder="1"/>
    <xf numFmtId="165" fontId="7" fillId="0" borderId="0" xfId="0" applyNumberFormat="1" applyFont="1"/>
    <xf numFmtId="165" fontId="4" fillId="0" borderId="0" xfId="0" applyNumberFormat="1" applyFont="1"/>
    <xf numFmtId="0" fontId="0" fillId="0" borderId="0" xfId="0" applyFill="1" applyBorder="1"/>
    <xf numFmtId="0" fontId="0" fillId="0" borderId="9" xfId="0" applyBorder="1"/>
    <xf numFmtId="0" fontId="6" fillId="2" borderId="1" xfId="0" applyFont="1" applyFill="1" applyBorder="1"/>
    <xf numFmtId="165" fontId="4" fillId="0" borderId="0" xfId="0" applyNumberFormat="1" applyFont="1" applyAlignment="1">
      <alignment wrapText="1"/>
    </xf>
    <xf numFmtId="165" fontId="0" fillId="0" borderId="9" xfId="0" applyNumberFormat="1" applyFont="1" applyBorder="1" applyAlignment="1">
      <alignment wrapText="1"/>
    </xf>
    <xf numFmtId="0" fontId="0" fillId="3" borderId="0" xfId="0" applyFill="1"/>
    <xf numFmtId="165" fontId="0" fillId="0" borderId="2" xfId="0" applyNumberFormat="1" applyBorder="1"/>
    <xf numFmtId="0" fontId="9" fillId="3" borderId="0" xfId="0" applyFont="1" applyFill="1"/>
    <xf numFmtId="0" fontId="2" fillId="3" borderId="0" xfId="0" applyFont="1" applyFill="1"/>
    <xf numFmtId="0" fontId="2" fillId="0" borderId="0" xfId="0" applyFont="1"/>
    <xf numFmtId="0" fontId="4" fillId="0" borderId="0" xfId="0" applyFont="1"/>
    <xf numFmtId="167" fontId="0" fillId="0" borderId="0" xfId="0" applyNumberFormat="1"/>
    <xf numFmtId="0" fontId="0" fillId="0" borderId="0" xfId="0" applyFont="1"/>
    <xf numFmtId="165" fontId="0" fillId="0" borderId="0" xfId="0" applyNumberFormat="1" applyFont="1" applyBorder="1"/>
    <xf numFmtId="165" fontId="0" fillId="0" borderId="0" xfId="0" applyNumberFormat="1" applyBorder="1"/>
    <xf numFmtId="165" fontId="7" fillId="0" borderId="0" xfId="0" applyNumberFormat="1" applyFont="1" applyBorder="1"/>
    <xf numFmtId="0" fontId="6" fillId="0" borderId="0" xfId="0" applyFont="1" applyFill="1" applyBorder="1"/>
    <xf numFmtId="0" fontId="4" fillId="0" borderId="0" xfId="0" applyFont="1" applyFill="1" applyBorder="1"/>
    <xf numFmtId="165" fontId="0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/>
    <xf numFmtId="165" fontId="6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0" fontId="4" fillId="2" borderId="3" xfId="0" applyFont="1" applyFill="1" applyBorder="1"/>
    <xf numFmtId="0" fontId="15" fillId="0" borderId="0" xfId="0" applyFont="1"/>
    <xf numFmtId="0" fontId="4" fillId="0" borderId="0" xfId="0" applyFont="1" applyBorder="1"/>
    <xf numFmtId="0" fontId="0" fillId="0" borderId="0" xfId="0" applyBorder="1"/>
    <xf numFmtId="0" fontId="12" fillId="0" borderId="0" xfId="0" applyFont="1" applyBorder="1"/>
    <xf numFmtId="165" fontId="0" fillId="0" borderId="2" xfId="0" applyNumberFormat="1" applyFill="1" applyBorder="1"/>
    <xf numFmtId="0" fontId="0" fillId="0" borderId="7" xfId="0" applyBorder="1"/>
    <xf numFmtId="0" fontId="0" fillId="0" borderId="8" xfId="0" applyBorder="1"/>
    <xf numFmtId="165" fontId="0" fillId="0" borderId="0" xfId="0" applyNumberFormat="1" applyFill="1" applyBorder="1"/>
    <xf numFmtId="165" fontId="7" fillId="0" borderId="0" xfId="0" applyNumberFormat="1" applyFont="1" applyFill="1" applyBorder="1"/>
    <xf numFmtId="165" fontId="16" fillId="0" borderId="0" xfId="0" applyNumberFormat="1" applyFont="1" applyFill="1" applyBorder="1"/>
    <xf numFmtId="165" fontId="0" fillId="0" borderId="9" xfId="0" applyNumberFormat="1" applyFill="1" applyBorder="1"/>
    <xf numFmtId="0" fontId="16" fillId="0" borderId="0" xfId="0" applyFont="1" applyFill="1" applyBorder="1"/>
    <xf numFmtId="2" fontId="0" fillId="0" borderId="0" xfId="0" applyNumberFormat="1"/>
    <xf numFmtId="10" fontId="2" fillId="0" borderId="0" xfId="2" applyNumberFormat="1" applyFont="1" applyBorder="1"/>
    <xf numFmtId="9" fontId="2" fillId="0" borderId="0" xfId="2" applyFont="1"/>
    <xf numFmtId="43" fontId="0" fillId="0" borderId="0" xfId="0" applyNumberFormat="1"/>
    <xf numFmtId="9" fontId="0" fillId="0" borderId="0" xfId="2" applyFont="1"/>
    <xf numFmtId="10" fontId="0" fillId="0" borderId="0" xfId="2" applyNumberFormat="1" applyFont="1"/>
    <xf numFmtId="10" fontId="0" fillId="0" borderId="9" xfId="2" applyNumberFormat="1" applyFont="1" applyBorder="1"/>
    <xf numFmtId="10" fontId="4" fillId="0" borderId="9" xfId="2" applyNumberFormat="1" applyFont="1" applyBorder="1"/>
    <xf numFmtId="10" fontId="4" fillId="0" borderId="8" xfId="2" applyNumberFormat="1" applyFont="1" applyBorder="1"/>
    <xf numFmtId="14" fontId="0" fillId="0" borderId="16" xfId="0" applyNumberFormat="1" applyBorder="1"/>
    <xf numFmtId="14" fontId="0" fillId="0" borderId="18" xfId="0" applyNumberFormat="1" applyBorder="1"/>
    <xf numFmtId="10" fontId="2" fillId="0" borderId="0" xfId="2" applyNumberFormat="1" applyFont="1"/>
    <xf numFmtId="10" fontId="0" fillId="0" borderId="0" xfId="0" applyNumberFormat="1"/>
    <xf numFmtId="0" fontId="0" fillId="0" borderId="0" xfId="0" applyFill="1"/>
    <xf numFmtId="0" fontId="9" fillId="0" borderId="0" xfId="0" applyFont="1" applyFill="1"/>
    <xf numFmtId="0" fontId="4" fillId="0" borderId="0" xfId="0" applyFont="1" applyFill="1"/>
    <xf numFmtId="165" fontId="0" fillId="0" borderId="0" xfId="0" applyNumberFormat="1" applyFill="1"/>
    <xf numFmtId="9" fontId="0" fillId="0" borderId="0" xfId="2" applyFont="1" applyFill="1" applyBorder="1" applyAlignment="1">
      <alignment wrapText="1"/>
    </xf>
    <xf numFmtId="0" fontId="0" fillId="0" borderId="2" xfId="0" applyFont="1" applyFill="1" applyBorder="1"/>
    <xf numFmtId="165" fontId="5" fillId="0" borderId="0" xfId="0" applyNumberFormat="1" applyFont="1" applyAlignment="1">
      <alignment wrapText="1"/>
    </xf>
    <xf numFmtId="0" fontId="5" fillId="0" borderId="0" xfId="0" applyFont="1"/>
    <xf numFmtId="165" fontId="6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6" fillId="0" borderId="0" xfId="0" applyFont="1"/>
    <xf numFmtId="0" fontId="1" fillId="0" borderId="0" xfId="0" applyFont="1"/>
    <xf numFmtId="165" fontId="16" fillId="0" borderId="0" xfId="0" applyNumberFormat="1" applyFont="1"/>
    <xf numFmtId="0" fontId="16" fillId="0" borderId="0" xfId="0" applyFont="1"/>
    <xf numFmtId="0" fontId="0" fillId="0" borderId="2" xfId="0" applyFill="1" applyBorder="1"/>
    <xf numFmtId="165" fontId="6" fillId="0" borderId="0" xfId="0" applyNumberFormat="1" applyFont="1" applyBorder="1" applyAlignment="1">
      <alignment horizontal="left" wrapText="1"/>
    </xf>
    <xf numFmtId="165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0" fillId="0" borderId="0" xfId="0" applyFont="1" applyBorder="1"/>
    <xf numFmtId="0" fontId="0" fillId="0" borderId="5" xfId="0" applyBorder="1"/>
    <xf numFmtId="0" fontId="4" fillId="2" borderId="1" xfId="0" applyFont="1" applyFill="1" applyBorder="1"/>
    <xf numFmtId="9" fontId="16" fillId="0" borderId="0" xfId="2" applyFont="1" applyFill="1" applyBorder="1"/>
    <xf numFmtId="165" fontId="0" fillId="0" borderId="0" xfId="0" applyNumberFormat="1" applyFont="1" applyFill="1" applyBorder="1"/>
    <xf numFmtId="0" fontId="0" fillId="3" borderId="0" xfId="0" applyFill="1"/>
    <xf numFmtId="0" fontId="4" fillId="2" borderId="20" xfId="0" applyFont="1" applyFill="1" applyBorder="1"/>
    <xf numFmtId="0" fontId="0" fillId="2" borderId="20" xfId="0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0" fillId="3" borderId="21" xfId="0" applyFill="1" applyBorder="1"/>
    <xf numFmtId="2" fontId="0" fillId="3" borderId="22" xfId="0" applyNumberFormat="1" applyFill="1" applyBorder="1"/>
    <xf numFmtId="2" fontId="0" fillId="3" borderId="21" xfId="0" applyNumberFormat="1" applyFill="1" applyBorder="1"/>
    <xf numFmtId="0" fontId="0" fillId="3" borderId="23" xfId="0" applyFill="1" applyBorder="1"/>
    <xf numFmtId="0" fontId="0" fillId="3" borderId="21" xfId="0" applyFill="1" applyBorder="1" applyAlignment="1">
      <alignment wrapText="1"/>
    </xf>
    <xf numFmtId="2" fontId="0" fillId="3" borderId="21" xfId="2" applyNumberFormat="1" applyFont="1" applyFill="1" applyBorder="1"/>
    <xf numFmtId="2" fontId="0" fillId="3" borderId="0" xfId="0" applyNumberFormat="1" applyFill="1"/>
    <xf numFmtId="0" fontId="4" fillId="6" borderId="19" xfId="0" applyFont="1" applyFill="1" applyBorder="1"/>
    <xf numFmtId="0" fontId="10" fillId="0" borderId="0" xfId="0" applyFont="1" applyFill="1"/>
    <xf numFmtId="2" fontId="0" fillId="0" borderId="0" xfId="2" applyNumberFormat="1" applyFont="1"/>
    <xf numFmtId="0" fontId="4" fillId="2" borderId="2" xfId="0" applyFont="1" applyFill="1" applyBorder="1"/>
    <xf numFmtId="167" fontId="0" fillId="2" borderId="0" xfId="0" applyNumberFormat="1" applyFill="1" applyBorder="1"/>
    <xf numFmtId="167" fontId="0" fillId="2" borderId="9" xfId="0" applyNumberFormat="1" applyFill="1" applyBorder="1"/>
    <xf numFmtId="2" fontId="0" fillId="2" borderId="7" xfId="0" applyNumberFormat="1" applyFill="1" applyBorder="1"/>
    <xf numFmtId="2" fontId="0" fillId="2" borderId="8" xfId="0" applyNumberFormat="1" applyFill="1" applyBorder="1"/>
    <xf numFmtId="0" fontId="4" fillId="7" borderId="2" xfId="0" applyFont="1" applyFill="1" applyBorder="1"/>
    <xf numFmtId="0" fontId="0" fillId="7" borderId="0" xfId="0" applyFill="1" applyBorder="1"/>
    <xf numFmtId="0" fontId="0" fillId="7" borderId="9" xfId="0" applyFill="1" applyBorder="1"/>
    <xf numFmtId="0" fontId="4" fillId="6" borderId="4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10" fontId="0" fillId="2" borderId="0" xfId="0" applyNumberFormat="1" applyFill="1" applyBorder="1"/>
    <xf numFmtId="10" fontId="0" fillId="2" borderId="9" xfId="0" applyNumberFormat="1" applyFill="1" applyBorder="1"/>
    <xf numFmtId="2" fontId="0" fillId="2" borderId="0" xfId="0" applyNumberFormat="1" applyFill="1" applyBorder="1"/>
    <xf numFmtId="2" fontId="0" fillId="2" borderId="9" xfId="0" applyNumberFormat="1" applyFill="1" applyBorder="1"/>
    <xf numFmtId="0" fontId="2" fillId="2" borderId="2" xfId="0" applyFont="1" applyFill="1" applyBorder="1"/>
    <xf numFmtId="10" fontId="2" fillId="2" borderId="9" xfId="0" applyNumberFormat="1" applyFont="1" applyFill="1" applyBorder="1"/>
    <xf numFmtId="10" fontId="2" fillId="2" borderId="9" xfId="2" applyNumberFormat="1" applyFont="1" applyFill="1" applyBorder="1"/>
    <xf numFmtId="2" fontId="2" fillId="2" borderId="9" xfId="0" applyNumberFormat="1" applyFont="1" applyFill="1" applyBorder="1"/>
    <xf numFmtId="0" fontId="4" fillId="6" borderId="3" xfId="0" applyFont="1" applyFill="1" applyBorder="1"/>
    <xf numFmtId="0" fontId="4" fillId="6" borderId="6" xfId="0" applyFont="1" applyFill="1" applyBorder="1"/>
    <xf numFmtId="0" fontId="4" fillId="7" borderId="1" xfId="0" applyFont="1" applyFill="1" applyBorder="1"/>
    <xf numFmtId="10" fontId="4" fillId="7" borderId="8" xfId="2" applyNumberFormat="1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165" fontId="10" fillId="0" borderId="0" xfId="0" applyNumberFormat="1" applyFont="1" applyFill="1" applyBorder="1"/>
    <xf numFmtId="0" fontId="10" fillId="0" borderId="0" xfId="0" applyFont="1" applyFill="1" applyBorder="1"/>
    <xf numFmtId="9" fontId="10" fillId="0" borderId="0" xfId="2" applyFont="1" applyFill="1" applyBorder="1"/>
    <xf numFmtId="0" fontId="4" fillId="0" borderId="0" xfId="0" applyFont="1" applyFill="1" applyBorder="1" applyAlignment="1"/>
    <xf numFmtId="0" fontId="7" fillId="2" borderId="2" xfId="0" applyFont="1" applyFill="1" applyBorder="1"/>
    <xf numFmtId="165" fontId="0" fillId="2" borderId="5" xfId="0" applyNumberFormat="1" applyFill="1" applyBorder="1"/>
    <xf numFmtId="165" fontId="0" fillId="2" borderId="6" xfId="0" applyNumberFormat="1" applyFill="1" applyBorder="1"/>
    <xf numFmtId="165" fontId="0" fillId="2" borderId="3" xfId="0" applyNumberFormat="1" applyFill="1" applyBorder="1"/>
    <xf numFmtId="0" fontId="0" fillId="2" borderId="2" xfId="0" applyFill="1" applyBorder="1"/>
    <xf numFmtId="0" fontId="0" fillId="2" borderId="0" xfId="0" applyFill="1" applyBorder="1"/>
    <xf numFmtId="165" fontId="0" fillId="2" borderId="0" xfId="0" applyNumberFormat="1" applyFill="1" applyBorder="1"/>
    <xf numFmtId="165" fontId="0" fillId="2" borderId="9" xfId="0" applyNumberFormat="1" applyFill="1" applyBorder="1"/>
    <xf numFmtId="165" fontId="0" fillId="2" borderId="2" xfId="0" applyNumberFormat="1" applyFill="1" applyBorder="1"/>
    <xf numFmtId="0" fontId="7" fillId="6" borderId="3" xfId="0" applyFont="1" applyFill="1" applyBorder="1" applyAlignment="1"/>
    <xf numFmtId="0" fontId="7" fillId="6" borderId="2" xfId="0" applyFont="1" applyFill="1" applyBorder="1"/>
    <xf numFmtId="0" fontId="7" fillId="6" borderId="0" xfId="0" applyFont="1" applyFill="1" applyBorder="1"/>
    <xf numFmtId="0" fontId="7" fillId="6" borderId="9" xfId="0" applyFont="1" applyFill="1" applyBorder="1"/>
    <xf numFmtId="165" fontId="1" fillId="2" borderId="3" xfId="0" applyNumberFormat="1" applyFont="1" applyFill="1" applyBorder="1"/>
    <xf numFmtId="165" fontId="1" fillId="2" borderId="0" xfId="0" applyNumberFormat="1" applyFont="1" applyFill="1" applyBorder="1"/>
    <xf numFmtId="165" fontId="1" fillId="2" borderId="5" xfId="0" applyNumberFormat="1" applyFont="1" applyFill="1" applyBorder="1"/>
    <xf numFmtId="165" fontId="1" fillId="2" borderId="6" xfId="0" applyNumberFormat="1" applyFont="1" applyFill="1" applyBorder="1"/>
    <xf numFmtId="165" fontId="1" fillId="2" borderId="2" xfId="0" applyNumberFormat="1" applyFont="1" applyFill="1" applyBorder="1"/>
    <xf numFmtId="165" fontId="1" fillId="2" borderId="9" xfId="0" applyNumberFormat="1" applyFont="1" applyFill="1" applyBorder="1"/>
    <xf numFmtId="0" fontId="7" fillId="6" borderId="1" xfId="0" applyFont="1" applyFill="1" applyBorder="1"/>
    <xf numFmtId="0" fontId="7" fillId="6" borderId="7" xfId="0" applyFont="1" applyFill="1" applyBorder="1"/>
    <xf numFmtId="0" fontId="7" fillId="6" borderId="8" xfId="0" applyFont="1" applyFill="1" applyBorder="1"/>
    <xf numFmtId="0" fontId="7" fillId="2" borderId="17" xfId="0" applyFont="1" applyFill="1" applyBorder="1"/>
    <xf numFmtId="0" fontId="7" fillId="2" borderId="16" xfId="0" applyFont="1" applyFill="1" applyBorder="1"/>
    <xf numFmtId="165" fontId="0" fillId="2" borderId="7" xfId="0" applyNumberFormat="1" applyFill="1" applyBorder="1"/>
    <xf numFmtId="0" fontId="0" fillId="7" borderId="2" xfId="0" applyFill="1" applyBorder="1"/>
    <xf numFmtId="0" fontId="10" fillId="7" borderId="2" xfId="0" applyFont="1" applyFill="1" applyBorder="1"/>
    <xf numFmtId="9" fontId="10" fillId="7" borderId="0" xfId="2" applyFont="1" applyFill="1" applyBorder="1"/>
    <xf numFmtId="9" fontId="10" fillId="7" borderId="9" xfId="2" applyFont="1" applyFill="1" applyBorder="1"/>
    <xf numFmtId="0" fontId="0" fillId="7" borderId="1" xfId="0" applyFill="1" applyBorder="1"/>
    <xf numFmtId="0" fontId="10" fillId="7" borderId="1" xfId="0" applyFont="1" applyFill="1" applyBorder="1"/>
    <xf numFmtId="9" fontId="10" fillId="7" borderId="7" xfId="2" applyFont="1" applyFill="1" applyBorder="1"/>
    <xf numFmtId="9" fontId="10" fillId="7" borderId="8" xfId="2" applyFont="1" applyFill="1" applyBorder="1"/>
    <xf numFmtId="0" fontId="7" fillId="7" borderId="16" xfId="0" applyFont="1" applyFill="1" applyBorder="1"/>
    <xf numFmtId="165" fontId="0" fillId="7" borderId="0" xfId="0" applyNumberFormat="1" applyFill="1" applyBorder="1"/>
    <xf numFmtId="165" fontId="0" fillId="7" borderId="2" xfId="0" applyNumberFormat="1" applyFill="1" applyBorder="1"/>
    <xf numFmtId="0" fontId="7" fillId="7" borderId="18" xfId="0" applyFont="1" applyFill="1" applyBorder="1"/>
    <xf numFmtId="165" fontId="0" fillId="7" borderId="7" xfId="0" applyNumberFormat="1" applyFill="1" applyBorder="1"/>
    <xf numFmtId="165" fontId="0" fillId="7" borderId="1" xfId="0" applyNumberFormat="1" applyFill="1" applyBorder="1"/>
    <xf numFmtId="0" fontId="0" fillId="7" borderId="7" xfId="0" applyFill="1" applyBorder="1"/>
    <xf numFmtId="165" fontId="0" fillId="7" borderId="9" xfId="0" applyNumberFormat="1" applyFill="1" applyBorder="1"/>
    <xf numFmtId="165" fontId="0" fillId="7" borderId="8" xfId="0" applyNumberFormat="1" applyFill="1" applyBorder="1"/>
    <xf numFmtId="0" fontId="0" fillId="2" borderId="16" xfId="0" applyFill="1" applyBorder="1"/>
    <xf numFmtId="0" fontId="0" fillId="2" borderId="16" xfId="0" quotePrefix="1" applyFill="1" applyBorder="1"/>
    <xf numFmtId="0" fontId="0" fillId="6" borderId="1" xfId="0" applyFill="1" applyBorder="1"/>
    <xf numFmtId="0" fontId="7" fillId="7" borderId="12" xfId="0" applyFont="1" applyFill="1" applyBorder="1"/>
    <xf numFmtId="165" fontId="7" fillId="7" borderId="10" xfId="0" applyNumberFormat="1" applyFont="1" applyFill="1" applyBorder="1"/>
    <xf numFmtId="165" fontId="21" fillId="7" borderId="10" xfId="0" applyNumberFormat="1" applyFont="1" applyFill="1" applyBorder="1"/>
    <xf numFmtId="165" fontId="7" fillId="7" borderId="11" xfId="0" applyNumberFormat="1" applyFont="1" applyFill="1" applyBorder="1"/>
    <xf numFmtId="0" fontId="4" fillId="6" borderId="1" xfId="0" applyFont="1" applyFill="1" applyBorder="1"/>
    <xf numFmtId="165" fontId="7" fillId="7" borderId="7" xfId="0" applyNumberFormat="1" applyFont="1" applyFill="1" applyBorder="1"/>
    <xf numFmtId="0" fontId="2" fillId="0" borderId="0" xfId="0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0" fontId="4" fillId="2" borderId="16" xfId="0" applyFont="1" applyFill="1" applyBorder="1"/>
    <xf numFmtId="0" fontId="2" fillId="2" borderId="16" xfId="0" applyFont="1" applyFill="1" applyBorder="1"/>
    <xf numFmtId="172" fontId="2" fillId="2" borderId="16" xfId="0" applyNumberFormat="1" applyFont="1" applyFill="1" applyBorder="1"/>
    <xf numFmtId="172" fontId="2" fillId="2" borderId="9" xfId="0" applyNumberFormat="1" applyFont="1" applyFill="1" applyBorder="1"/>
    <xf numFmtId="172" fontId="4" fillId="2" borderId="16" xfId="0" applyNumberFormat="1" applyFont="1" applyFill="1" applyBorder="1"/>
    <xf numFmtId="0" fontId="2" fillId="7" borderId="0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41" fontId="2" fillId="2" borderId="0" xfId="0" applyNumberFormat="1" applyFont="1" applyFill="1" applyBorder="1"/>
    <xf numFmtId="41" fontId="2" fillId="2" borderId="9" xfId="0" applyNumberFormat="1" applyFont="1" applyFill="1" applyBorder="1"/>
    <xf numFmtId="2" fontId="2" fillId="2" borderId="0" xfId="0" applyNumberFormat="1" applyFont="1" applyFill="1" applyBorder="1"/>
    <xf numFmtId="172" fontId="2" fillId="2" borderId="0" xfId="0" applyNumberFormat="1" applyFont="1" applyFill="1" applyBorder="1"/>
    <xf numFmtId="169" fontId="2" fillId="2" borderId="9" xfId="0" applyNumberFormat="1" applyFont="1" applyFill="1" applyBorder="1"/>
    <xf numFmtId="173" fontId="2" fillId="2" borderId="9" xfId="0" applyNumberFormat="1" applyFont="1" applyFill="1" applyBorder="1"/>
    <xf numFmtId="0" fontId="2" fillId="2" borderId="17" xfId="0" applyFont="1" applyFill="1" applyBorder="1"/>
    <xf numFmtId="172" fontId="4" fillId="7" borderId="18" xfId="0" applyNumberFormat="1" applyFont="1" applyFill="1" applyBorder="1"/>
    <xf numFmtId="172" fontId="2" fillId="7" borderId="7" xfId="0" applyNumberFormat="1" applyFont="1" applyFill="1" applyBorder="1"/>
    <xf numFmtId="172" fontId="2" fillId="7" borderId="8" xfId="0" applyNumberFormat="1" applyFont="1" applyFill="1" applyBorder="1"/>
    <xf numFmtId="0" fontId="4" fillId="7" borderId="18" xfId="0" applyFont="1" applyFill="1" applyBorder="1"/>
    <xf numFmtId="0" fontId="4" fillId="7" borderId="3" xfId="0" applyFont="1" applyFill="1" applyBorder="1"/>
    <xf numFmtId="169" fontId="2" fillId="2" borderId="0" xfId="0" applyNumberFormat="1" applyFont="1" applyFill="1" applyBorder="1"/>
    <xf numFmtId="173" fontId="2" fillId="2" borderId="0" xfId="0" applyNumberFormat="1" applyFont="1" applyFill="1" applyBorder="1"/>
    <xf numFmtId="1" fontId="5" fillId="6" borderId="7" xfId="0" applyNumberFormat="1" applyFont="1" applyFill="1" applyBorder="1"/>
    <xf numFmtId="1" fontId="5" fillId="6" borderId="8" xfId="0" applyNumberFormat="1" applyFont="1" applyFill="1" applyBorder="1"/>
    <xf numFmtId="0" fontId="6" fillId="2" borderId="2" xfId="0" applyFont="1" applyFill="1" applyBorder="1"/>
    <xf numFmtId="165" fontId="0" fillId="2" borderId="0" xfId="0" applyNumberFormat="1" applyFill="1" applyAlignment="1">
      <alignment wrapText="1"/>
    </xf>
    <xf numFmtId="165" fontId="0" fillId="2" borderId="6" xfId="0" applyNumberFormat="1" applyFill="1" applyBorder="1" applyAlignment="1">
      <alignment wrapText="1"/>
    </xf>
    <xf numFmtId="165" fontId="0" fillId="2" borderId="9" xfId="0" applyNumberFormat="1" applyFill="1" applyBorder="1" applyAlignment="1">
      <alignment wrapText="1"/>
    </xf>
    <xf numFmtId="0" fontId="5" fillId="2" borderId="2" xfId="0" applyFont="1" applyFill="1" applyBorder="1"/>
    <xf numFmtId="165" fontId="0" fillId="2" borderId="7" xfId="0" applyNumberFormat="1" applyFill="1" applyBorder="1" applyAlignment="1">
      <alignment wrapText="1"/>
    </xf>
    <xf numFmtId="165" fontId="6" fillId="2" borderId="7" xfId="0" applyNumberFormat="1" applyFont="1" applyFill="1" applyBorder="1" applyAlignment="1">
      <alignment horizontal="left" wrapText="1"/>
    </xf>
    <xf numFmtId="165" fontId="0" fillId="2" borderId="8" xfId="0" applyNumberFormat="1" applyFill="1" applyBorder="1" applyAlignment="1">
      <alignment wrapText="1"/>
    </xf>
    <xf numFmtId="165" fontId="6" fillId="2" borderId="0" xfId="0" applyNumberFormat="1" applyFont="1" applyFill="1" applyAlignment="1">
      <alignment horizontal="left" wrapText="1"/>
    </xf>
    <xf numFmtId="165" fontId="5" fillId="2" borderId="0" xfId="0" applyNumberFormat="1" applyFont="1" applyFill="1" applyAlignment="1">
      <alignment horizontal="left" wrapText="1"/>
    </xf>
    <xf numFmtId="165" fontId="5" fillId="2" borderId="9" xfId="0" applyNumberFormat="1" applyFont="1" applyFill="1" applyBorder="1" applyAlignment="1">
      <alignment horizontal="left" wrapText="1"/>
    </xf>
    <xf numFmtId="0" fontId="5" fillId="7" borderId="2" xfId="0" applyFont="1" applyFill="1" applyBorder="1"/>
    <xf numFmtId="165" fontId="4" fillId="7" borderId="0" xfId="0" applyNumberFormat="1" applyFont="1" applyFill="1" applyAlignment="1">
      <alignment wrapText="1"/>
    </xf>
    <xf numFmtId="165" fontId="4" fillId="7" borderId="9" xfId="0" applyNumberFormat="1" applyFont="1" applyFill="1" applyBorder="1" applyAlignment="1">
      <alignment wrapText="1"/>
    </xf>
    <xf numFmtId="165" fontId="5" fillId="7" borderId="0" xfId="0" applyNumberFormat="1" applyFont="1" applyFill="1" applyAlignment="1">
      <alignment horizontal="left" wrapText="1"/>
    </xf>
    <xf numFmtId="165" fontId="5" fillId="7" borderId="9" xfId="0" applyNumberFormat="1" applyFont="1" applyFill="1" applyBorder="1" applyAlignment="1">
      <alignment horizontal="left" wrapText="1"/>
    </xf>
    <xf numFmtId="0" fontId="4" fillId="7" borderId="4" xfId="0" applyFont="1" applyFill="1" applyBorder="1"/>
    <xf numFmtId="165" fontId="4" fillId="7" borderId="10" xfId="0" applyNumberFormat="1" applyFont="1" applyFill="1" applyBorder="1" applyAlignment="1">
      <alignment wrapText="1"/>
    </xf>
    <xf numFmtId="165" fontId="4" fillId="7" borderId="11" xfId="0" applyNumberFormat="1" applyFont="1" applyFill="1" applyBorder="1" applyAlignment="1">
      <alignment wrapText="1"/>
    </xf>
    <xf numFmtId="0" fontId="5" fillId="6" borderId="1" xfId="0" applyFont="1" applyFill="1" applyBorder="1"/>
    <xf numFmtId="165" fontId="5" fillId="6" borderId="10" xfId="0" applyNumberFormat="1" applyFont="1" applyFill="1" applyBorder="1" applyAlignment="1">
      <alignment horizontal="left" wrapText="1"/>
    </xf>
    <xf numFmtId="165" fontId="5" fillId="6" borderId="11" xfId="0" applyNumberFormat="1" applyFont="1" applyFill="1" applyBorder="1" applyAlignment="1">
      <alignment horizontal="left" wrapText="1"/>
    </xf>
    <xf numFmtId="0" fontId="5" fillId="7" borderId="1" xfId="0" applyFont="1" applyFill="1" applyBorder="1"/>
    <xf numFmtId="165" fontId="4" fillId="7" borderId="7" xfId="0" applyNumberFormat="1" applyFont="1" applyFill="1" applyBorder="1"/>
    <xf numFmtId="165" fontId="4" fillId="7" borderId="9" xfId="0" applyNumberFormat="1" applyFont="1" applyFill="1" applyBorder="1"/>
    <xf numFmtId="165" fontId="4" fillId="7" borderId="5" xfId="0" applyNumberFormat="1" applyFont="1" applyFill="1" applyBorder="1"/>
    <xf numFmtId="165" fontId="4" fillId="7" borderId="6" xfId="0" applyNumberFormat="1" applyFont="1" applyFill="1" applyBorder="1"/>
    <xf numFmtId="165" fontId="0" fillId="2" borderId="8" xfId="0" applyNumberFormat="1" applyFill="1" applyBorder="1"/>
    <xf numFmtId="165" fontId="4" fillId="2" borderId="5" xfId="0" applyNumberFormat="1" applyFont="1" applyFill="1" applyBorder="1"/>
    <xf numFmtId="165" fontId="4" fillId="2" borderId="6" xfId="0" applyNumberFormat="1" applyFont="1" applyFill="1" applyBorder="1"/>
    <xf numFmtId="165" fontId="4" fillId="6" borderId="10" xfId="0" applyNumberFormat="1" applyFont="1" applyFill="1" applyBorder="1"/>
    <xf numFmtId="165" fontId="4" fillId="6" borderId="11" xfId="0" applyNumberFormat="1" applyFont="1" applyFill="1" applyBorder="1"/>
    <xf numFmtId="165" fontId="4" fillId="6" borderId="7" xfId="0" applyNumberFormat="1" applyFont="1" applyFill="1" applyBorder="1"/>
    <xf numFmtId="165" fontId="4" fillId="7" borderId="0" xfId="0" applyNumberFormat="1" applyFont="1" applyFill="1" applyBorder="1"/>
    <xf numFmtId="0" fontId="5" fillId="0" borderId="0" xfId="0" applyFont="1" applyFill="1" applyBorder="1" applyAlignment="1"/>
    <xf numFmtId="0" fontId="13" fillId="0" borderId="0" xfId="0" applyFont="1" applyFill="1" applyBorder="1"/>
    <xf numFmtId="165" fontId="4" fillId="0" borderId="0" xfId="0" applyNumberFormat="1" applyFont="1" applyFill="1" applyBorder="1"/>
    <xf numFmtId="166" fontId="0" fillId="0" borderId="0" xfId="0" applyNumberFormat="1" applyFill="1" applyBorder="1"/>
    <xf numFmtId="165" fontId="14" fillId="0" borderId="0" xfId="0" applyNumberFormat="1" applyFont="1" applyFill="1" applyBorder="1"/>
    <xf numFmtId="165" fontId="4" fillId="7" borderId="8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9" fontId="0" fillId="0" borderId="0" xfId="2" applyFont="1" applyFill="1" applyBorder="1"/>
    <xf numFmtId="167" fontId="0" fillId="2" borderId="0" xfId="0" applyNumberFormat="1" applyFill="1"/>
    <xf numFmtId="167" fontId="0" fillId="2" borderId="0" xfId="2" applyNumberFormat="1" applyFont="1" applyFill="1" applyBorder="1"/>
    <xf numFmtId="167" fontId="0" fillId="2" borderId="2" xfId="0" applyNumberFormat="1" applyFill="1" applyBorder="1"/>
    <xf numFmtId="167" fontId="0" fillId="2" borderId="7" xfId="0" applyNumberFormat="1" applyFill="1" applyBorder="1"/>
    <xf numFmtId="167" fontId="0" fillId="7" borderId="9" xfId="0" applyNumberFormat="1" applyFill="1" applyBorder="1"/>
    <xf numFmtId="167" fontId="0" fillId="7" borderId="0" xfId="0" applyNumberFormat="1" applyFill="1" applyBorder="1"/>
    <xf numFmtId="167" fontId="0" fillId="2" borderId="5" xfId="2" applyNumberFormat="1" applyFont="1" applyFill="1" applyBorder="1"/>
    <xf numFmtId="167" fontId="0" fillId="2" borderId="6" xfId="2" applyNumberFormat="1" applyFont="1" applyFill="1" applyBorder="1"/>
    <xf numFmtId="167" fontId="0" fillId="2" borderId="1" xfId="0" applyNumberFormat="1" applyFill="1" applyBorder="1"/>
    <xf numFmtId="167" fontId="0" fillId="2" borderId="8" xfId="0" applyNumberFormat="1" applyFill="1" applyBorder="1"/>
    <xf numFmtId="0" fontId="15" fillId="0" borderId="0" xfId="0" applyFont="1" applyBorder="1"/>
    <xf numFmtId="165" fontId="3" fillId="0" borderId="0" xfId="0" applyNumberFormat="1" applyFont="1" applyBorder="1"/>
    <xf numFmtId="9" fontId="3" fillId="0" borderId="0" xfId="2" applyFont="1" applyBorder="1"/>
    <xf numFmtId="0" fontId="4" fillId="3" borderId="3" xfId="0" applyFont="1" applyFill="1" applyBorder="1"/>
    <xf numFmtId="9" fontId="0" fillId="3" borderId="5" xfId="2" applyFont="1" applyFill="1" applyBorder="1"/>
    <xf numFmtId="9" fontId="0" fillId="3" borderId="6" xfId="2" applyFont="1" applyFill="1" applyBorder="1"/>
    <xf numFmtId="0" fontId="4" fillId="3" borderId="1" xfId="0" applyFon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7" fontId="0" fillId="0" borderId="0" xfId="0" applyNumberFormat="1" applyFill="1" applyBorder="1"/>
    <xf numFmtId="167" fontId="2" fillId="0" borderId="0" xfId="0" applyNumberFormat="1" applyFont="1" applyFill="1" applyBorder="1"/>
    <xf numFmtId="165" fontId="0" fillId="0" borderId="0" xfId="0" applyNumberFormat="1" applyFill="1" applyBorder="1" applyAlignment="1">
      <alignment wrapText="1"/>
    </xf>
    <xf numFmtId="165" fontId="0" fillId="2" borderId="0" xfId="0" applyNumberFormat="1" applyFont="1" applyFill="1" applyAlignment="1">
      <alignment wrapText="1"/>
    </xf>
    <xf numFmtId="165" fontId="0" fillId="2" borderId="6" xfId="0" applyNumberFormat="1" applyFont="1" applyFill="1" applyBorder="1" applyAlignment="1">
      <alignment wrapText="1"/>
    </xf>
    <xf numFmtId="165" fontId="0" fillId="2" borderId="9" xfId="0" applyNumberFormat="1" applyFont="1" applyFill="1" applyBorder="1" applyAlignment="1">
      <alignment wrapText="1"/>
    </xf>
    <xf numFmtId="165" fontId="0" fillId="2" borderId="7" xfId="0" applyNumberFormat="1" applyFont="1" applyFill="1" applyBorder="1" applyAlignment="1">
      <alignment wrapText="1"/>
    </xf>
    <xf numFmtId="165" fontId="0" fillId="2" borderId="8" xfId="0" applyNumberFormat="1" applyFont="1" applyFill="1" applyBorder="1" applyAlignment="1">
      <alignment wrapText="1"/>
    </xf>
    <xf numFmtId="0" fontId="4" fillId="6" borderId="0" xfId="0" applyFont="1" applyFill="1" applyBorder="1"/>
    <xf numFmtId="0" fontId="5" fillId="2" borderId="1" xfId="0" applyFont="1" applyFill="1" applyBorder="1"/>
    <xf numFmtId="165" fontId="0" fillId="2" borderId="5" xfId="0" applyNumberFormat="1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left" wrapText="1"/>
    </xf>
    <xf numFmtId="165" fontId="6" fillId="2" borderId="9" xfId="0" applyNumberFormat="1" applyFont="1" applyFill="1" applyBorder="1" applyAlignment="1">
      <alignment horizontal="left" wrapText="1"/>
    </xf>
    <xf numFmtId="165" fontId="5" fillId="6" borderId="7" xfId="0" applyNumberFormat="1" applyFont="1" applyFill="1" applyBorder="1" applyAlignment="1">
      <alignment horizontal="left" wrapText="1"/>
    </xf>
    <xf numFmtId="165" fontId="5" fillId="6" borderId="8" xfId="0" applyNumberFormat="1" applyFont="1" applyFill="1" applyBorder="1" applyAlignment="1">
      <alignment horizontal="left" wrapText="1"/>
    </xf>
    <xf numFmtId="167" fontId="0" fillId="2" borderId="9" xfId="0" applyNumberFormat="1" applyFont="1" applyFill="1" applyBorder="1"/>
    <xf numFmtId="167" fontId="0" fillId="2" borderId="0" xfId="0" applyNumberFormat="1" applyFont="1" applyFill="1" applyBorder="1"/>
    <xf numFmtId="167" fontId="0" fillId="2" borderId="7" xfId="0" applyNumberFormat="1" applyFont="1" applyFill="1" applyBorder="1"/>
    <xf numFmtId="167" fontId="0" fillId="2" borderId="8" xfId="0" applyNumberFormat="1" applyFont="1" applyFill="1" applyBorder="1"/>
    <xf numFmtId="0" fontId="0" fillId="6" borderId="2" xfId="0" applyFont="1" applyFill="1" applyBorder="1"/>
    <xf numFmtId="0" fontId="4" fillId="6" borderId="9" xfId="0" applyFont="1" applyFill="1" applyBorder="1"/>
    <xf numFmtId="167" fontId="0" fillId="2" borderId="5" xfId="0" applyNumberFormat="1" applyFont="1" applyFill="1" applyBorder="1"/>
    <xf numFmtId="0" fontId="4" fillId="6" borderId="2" xfId="0" applyFont="1" applyFill="1" applyBorder="1"/>
    <xf numFmtId="9" fontId="2" fillId="2" borderId="1" xfId="2" applyFont="1" applyFill="1" applyBorder="1"/>
    <xf numFmtId="9" fontId="2" fillId="2" borderId="7" xfId="2" applyFont="1" applyFill="1" applyBorder="1"/>
    <xf numFmtId="9" fontId="2" fillId="2" borderId="8" xfId="2" applyFont="1" applyFill="1" applyBorder="1"/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0" fillId="2" borderId="0" xfId="0" applyFill="1"/>
    <xf numFmtId="169" fontId="0" fillId="0" borderId="0" xfId="0" applyNumberFormat="1"/>
    <xf numFmtId="9" fontId="0" fillId="7" borderId="0" xfId="2" applyFont="1" applyFill="1" applyBorder="1"/>
    <xf numFmtId="9" fontId="0" fillId="7" borderId="9" xfId="2" applyFont="1" applyFill="1" applyBorder="1"/>
    <xf numFmtId="10" fontId="0" fillId="2" borderId="0" xfId="2" applyNumberFormat="1" applyFont="1" applyFill="1" applyBorder="1"/>
    <xf numFmtId="169" fontId="0" fillId="2" borderId="0" xfId="0" applyNumberFormat="1" applyFill="1" applyBorder="1"/>
    <xf numFmtId="169" fontId="0" fillId="2" borderId="9" xfId="0" applyNumberFormat="1" applyFill="1" applyBorder="1"/>
    <xf numFmtId="10" fontId="0" fillId="7" borderId="0" xfId="2" applyNumberFormat="1" applyFont="1" applyFill="1" applyBorder="1"/>
    <xf numFmtId="169" fontId="0" fillId="7" borderId="0" xfId="0" applyNumberFormat="1" applyFill="1" applyBorder="1"/>
    <xf numFmtId="169" fontId="0" fillId="7" borderId="9" xfId="0" applyNumberFormat="1" applyFill="1" applyBorder="1"/>
    <xf numFmtId="10" fontId="0" fillId="2" borderId="7" xfId="2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0" fontId="0" fillId="7" borderId="4" xfId="0" applyFill="1" applyBorder="1"/>
    <xf numFmtId="0" fontId="0" fillId="7" borderId="11" xfId="0" applyFill="1" applyBorder="1"/>
    <xf numFmtId="169" fontId="0" fillId="7" borderId="12" xfId="1" applyNumberFormat="1" applyFont="1" applyFill="1" applyBorder="1"/>
    <xf numFmtId="169" fontId="0" fillId="7" borderId="20" xfId="0" applyNumberFormat="1" applyFill="1" applyBorder="1"/>
    <xf numFmtId="0" fontId="0" fillId="6" borderId="25" xfId="0" applyFill="1" applyBorder="1" applyAlignment="1">
      <alignment horizontal="right"/>
    </xf>
    <xf numFmtId="0" fontId="0" fillId="2" borderId="19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6" borderId="13" xfId="0" applyFill="1" applyBorder="1"/>
    <xf numFmtId="43" fontId="0" fillId="6" borderId="20" xfId="0" applyNumberFormat="1" applyFill="1" applyBorder="1"/>
    <xf numFmtId="0" fontId="0" fillId="2" borderId="26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30" xfId="0" applyFill="1" applyBorder="1"/>
    <xf numFmtId="167" fontId="0" fillId="2" borderId="28" xfId="0" applyNumberFormat="1" applyFill="1" applyBorder="1"/>
    <xf numFmtId="169" fontId="0" fillId="2" borderId="19" xfId="1" applyNumberFormat="1" applyFont="1" applyFill="1" applyBorder="1"/>
    <xf numFmtId="169" fontId="0" fillId="2" borderId="24" xfId="1" applyNumberFormat="1" applyFont="1" applyFill="1" applyBorder="1"/>
    <xf numFmtId="169" fontId="0" fillId="2" borderId="25" xfId="1" applyNumberFormat="1" applyFont="1" applyFill="1" applyBorder="1"/>
    <xf numFmtId="43" fontId="0" fillId="2" borderId="26" xfId="1" applyNumberFormat="1" applyFont="1" applyFill="1" applyBorder="1"/>
    <xf numFmtId="43" fontId="0" fillId="2" borderId="0" xfId="1" applyNumberFormat="1" applyFont="1" applyFill="1" applyBorder="1"/>
    <xf numFmtId="43" fontId="0" fillId="2" borderId="23" xfId="1" applyNumberFormat="1" applyFont="1" applyFill="1" applyBorder="1"/>
    <xf numFmtId="169" fontId="0" fillId="2" borderId="26" xfId="1" applyNumberFormat="1" applyFont="1" applyFill="1" applyBorder="1"/>
    <xf numFmtId="169" fontId="0" fillId="2" borderId="0" xfId="1" applyNumberFormat="1" applyFont="1" applyFill="1" applyBorder="1"/>
    <xf numFmtId="169" fontId="0" fillId="2" borderId="23" xfId="1" applyNumberFormat="1" applyFont="1" applyFill="1" applyBorder="1"/>
    <xf numFmtId="10" fontId="0" fillId="2" borderId="30" xfId="0" applyNumberFormat="1" applyFill="1" applyBorder="1"/>
    <xf numFmtId="0" fontId="0" fillId="2" borderId="21" xfId="0" applyFill="1" applyBorder="1"/>
    <xf numFmtId="0" fontId="0" fillId="6" borderId="20" xfId="0" applyFill="1" applyBorder="1"/>
    <xf numFmtId="10" fontId="0" fillId="2" borderId="28" xfId="0" applyNumberFormat="1" applyFill="1" applyBorder="1"/>
    <xf numFmtId="0" fontId="4" fillId="6" borderId="32" xfId="4" applyFont="1" applyFill="1" applyBorder="1"/>
    <xf numFmtId="1" fontId="4" fillId="6" borderId="32" xfId="4" applyNumberFormat="1" applyFont="1" applyFill="1" applyBorder="1"/>
    <xf numFmtId="169" fontId="4" fillId="6" borderId="32" xfId="4" applyNumberFormat="1" applyFont="1" applyFill="1" applyBorder="1"/>
    <xf numFmtId="169" fontId="4" fillId="6" borderId="33" xfId="4" applyNumberFormat="1" applyFont="1" applyFill="1" applyBorder="1"/>
    <xf numFmtId="2" fontId="0" fillId="2" borderId="0" xfId="0" applyNumberFormat="1" applyFill="1"/>
    <xf numFmtId="0" fontId="2" fillId="2" borderId="26" xfId="4" applyFill="1" applyBorder="1"/>
    <xf numFmtId="169" fontId="2" fillId="2" borderId="23" xfId="4" applyNumberFormat="1" applyFill="1" applyBorder="1"/>
    <xf numFmtId="0" fontId="0" fillId="2" borderId="34" xfId="0" applyFill="1" applyBorder="1"/>
    <xf numFmtId="169" fontId="0" fillId="2" borderId="35" xfId="1" applyNumberFormat="1" applyFont="1" applyFill="1" applyBorder="1"/>
    <xf numFmtId="0" fontId="2" fillId="7" borderId="36" xfId="4" applyFill="1" applyBorder="1"/>
    <xf numFmtId="0" fontId="2" fillId="7" borderId="10" xfId="4" applyFill="1" applyBorder="1"/>
    <xf numFmtId="169" fontId="2" fillId="7" borderId="37" xfId="4" applyNumberFormat="1" applyFill="1" applyBorder="1"/>
    <xf numFmtId="0" fontId="4" fillId="6" borderId="27" xfId="4" applyFont="1" applyFill="1" applyBorder="1"/>
    <xf numFmtId="0" fontId="4" fillId="6" borderId="28" xfId="0" applyFont="1" applyFill="1" applyBorder="1"/>
    <xf numFmtId="2" fontId="4" fillId="6" borderId="29" xfId="0" applyNumberFormat="1" applyFont="1" applyFill="1" applyBorder="1"/>
    <xf numFmtId="171" fontId="0" fillId="0" borderId="0" xfId="0" applyNumberFormat="1"/>
    <xf numFmtId="0" fontId="4" fillId="0" borderId="0" xfId="4" applyFont="1" applyFill="1" applyBorder="1"/>
    <xf numFmtId="0" fontId="26" fillId="0" borderId="0" xfId="0" applyFont="1" applyFill="1" applyBorder="1"/>
    <xf numFmtId="169" fontId="2" fillId="0" borderId="0" xfId="1" applyNumberFormat="1" applyFont="1" applyFill="1" applyBorder="1"/>
    <xf numFmtId="0" fontId="2" fillId="0" borderId="0" xfId="4" applyFont="1" applyFill="1" applyBorder="1" applyAlignment="1">
      <alignment horizontal="left" wrapText="1" readingOrder="1"/>
    </xf>
    <xf numFmtId="0" fontId="2" fillId="0" borderId="0" xfId="4" applyFont="1" applyFill="1" applyBorder="1"/>
    <xf numFmtId="10" fontId="2" fillId="0" borderId="0" xfId="4" applyNumberFormat="1" applyFont="1" applyFill="1" applyBorder="1"/>
    <xf numFmtId="169" fontId="2" fillId="0" borderId="0" xfId="4" applyNumberFormat="1" applyFont="1" applyFill="1" applyBorder="1"/>
    <xf numFmtId="169" fontId="2" fillId="0" borderId="0" xfId="0" applyNumberFormat="1" applyFont="1" applyFill="1" applyBorder="1"/>
    <xf numFmtId="43" fontId="2" fillId="0" borderId="0" xfId="0" applyNumberFormat="1" applyFont="1" applyFill="1" applyBorder="1"/>
    <xf numFmtId="43" fontId="2" fillId="0" borderId="0" xfId="4" applyNumberFormat="1" applyFont="1" applyFill="1" applyBorder="1"/>
    <xf numFmtId="43" fontId="4" fillId="0" borderId="0" xfId="4" applyNumberFormat="1" applyFont="1" applyFill="1" applyBorder="1"/>
    <xf numFmtId="10" fontId="0" fillId="0" borderId="0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Font="1" applyFill="1" applyBorder="1"/>
    <xf numFmtId="165" fontId="0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170" fontId="0" fillId="0" borderId="0" xfId="1" applyNumberFormat="1" applyFont="1" applyFill="1" applyBorder="1"/>
    <xf numFmtId="169" fontId="4" fillId="0" borderId="0" xfId="0" applyNumberFormat="1" applyFont="1" applyFill="1" applyBorder="1"/>
    <xf numFmtId="10" fontId="0" fillId="2" borderId="22" xfId="0" applyNumberFormat="1" applyFill="1" applyBorder="1"/>
    <xf numFmtId="2" fontId="2" fillId="2" borderId="0" xfId="4" applyNumberFormat="1" applyFill="1" applyBorder="1"/>
    <xf numFmtId="0" fontId="4" fillId="0" borderId="0" xfId="0" applyFont="1" applyFill="1" applyBorder="1" applyAlignment="1">
      <alignment horizontal="right"/>
    </xf>
    <xf numFmtId="172" fontId="2" fillId="0" borderId="0" xfId="0" applyNumberFormat="1" applyFont="1" applyFill="1" applyBorder="1"/>
    <xf numFmtId="2" fontId="9" fillId="0" borderId="0" xfId="0" applyNumberFormat="1" applyFont="1" applyFill="1" applyBorder="1"/>
    <xf numFmtId="167" fontId="2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/>
    <xf numFmtId="2" fontId="13" fillId="0" borderId="0" xfId="0" applyNumberFormat="1" applyFont="1" applyFill="1" applyBorder="1"/>
    <xf numFmtId="167" fontId="4" fillId="0" borderId="0" xfId="2" applyNumberFormat="1" applyFont="1" applyFill="1" applyBorder="1"/>
    <xf numFmtId="171" fontId="4" fillId="0" borderId="0" xfId="0" applyNumberFormat="1" applyFont="1" applyFill="1" applyBorder="1"/>
    <xf numFmtId="2" fontId="4" fillId="0" borderId="0" xfId="0" applyNumberFormat="1" applyFont="1" applyFill="1" applyBorder="1"/>
    <xf numFmtId="10" fontId="2" fillId="2" borderId="0" xfId="0" applyNumberFormat="1" applyFont="1" applyFill="1" applyBorder="1"/>
    <xf numFmtId="169" fontId="0" fillId="2" borderId="7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0" fontId="4" fillId="6" borderId="12" xfId="0" applyFont="1" applyFill="1" applyBorder="1"/>
    <xf numFmtId="174" fontId="4" fillId="6" borderId="12" xfId="0" applyNumberFormat="1" applyFont="1" applyFill="1" applyBorder="1"/>
    <xf numFmtId="170" fontId="0" fillId="0" borderId="0" xfId="0" applyNumberFormat="1"/>
    <xf numFmtId="170" fontId="25" fillId="6" borderId="11" xfId="1" applyNumberFormat="1" applyFont="1" applyFill="1" applyBorder="1"/>
    <xf numFmtId="170" fontId="0" fillId="7" borderId="8" xfId="1" applyNumberFormat="1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71" fontId="4" fillId="7" borderId="18" xfId="0" applyNumberFormat="1" applyFont="1" applyFill="1" applyBorder="1"/>
    <xf numFmtId="43" fontId="25" fillId="6" borderId="11" xfId="1" applyNumberFormat="1" applyFont="1" applyFill="1" applyBorder="1"/>
    <xf numFmtId="0" fontId="0" fillId="0" borderId="0" xfId="0" applyAlignment="1">
      <alignment horizontal="right"/>
    </xf>
    <xf numFmtId="43" fontId="0" fillId="7" borderId="8" xfId="1" applyNumberFormat="1" applyFont="1" applyFill="1" applyBorder="1"/>
    <xf numFmtId="43" fontId="0" fillId="2" borderId="8" xfId="1" applyNumberFormat="1" applyFont="1" applyFill="1" applyBorder="1"/>
    <xf numFmtId="43" fontId="25" fillId="2" borderId="11" xfId="1" applyNumberFormat="1" applyFont="1" applyFill="1" applyBorder="1"/>
    <xf numFmtId="0" fontId="2" fillId="0" borderId="0" xfId="4" applyFill="1" applyBorder="1"/>
    <xf numFmtId="169" fontId="2" fillId="0" borderId="0" xfId="4" applyNumberFormat="1" applyFill="1" applyBorder="1"/>
    <xf numFmtId="10" fontId="0" fillId="0" borderId="0" xfId="0" applyNumberFormat="1" applyFill="1" applyBorder="1"/>
    <xf numFmtId="169" fontId="0" fillId="0" borderId="0" xfId="0" applyNumberFormat="1" applyFill="1" applyBorder="1"/>
    <xf numFmtId="0" fontId="0" fillId="0" borderId="0" xfId="0" applyFill="1" applyBorder="1" applyAlignment="1"/>
    <xf numFmtId="0" fontId="0" fillId="0" borderId="28" xfId="0" applyFill="1" applyBorder="1" applyAlignment="1"/>
    <xf numFmtId="0" fontId="9" fillId="0" borderId="3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Continuous"/>
    </xf>
    <xf numFmtId="170" fontId="0" fillId="0" borderId="0" xfId="0" applyNumberFormat="1" applyFill="1" applyBorder="1" applyAlignment="1"/>
    <xf numFmtId="0" fontId="0" fillId="0" borderId="0" xfId="0" applyFont="1" applyFill="1"/>
    <xf numFmtId="0" fontId="0" fillId="0" borderId="3" xfId="0" applyFont="1" applyFill="1" applyBorder="1"/>
    <xf numFmtId="0" fontId="0" fillId="0" borderId="6" xfId="0" applyFont="1" applyFill="1" applyBorder="1"/>
    <xf numFmtId="41" fontId="0" fillId="0" borderId="0" xfId="0" applyNumberFormat="1" applyFont="1" applyFill="1"/>
    <xf numFmtId="0" fontId="0" fillId="0" borderId="9" xfId="0" applyFont="1" applyFill="1" applyBorder="1"/>
    <xf numFmtId="10" fontId="0" fillId="0" borderId="0" xfId="0" applyNumberFormat="1" applyFont="1" applyFill="1"/>
    <xf numFmtId="10" fontId="0" fillId="0" borderId="9" xfId="0" applyNumberFormat="1" applyFont="1" applyFill="1" applyBorder="1"/>
    <xf numFmtId="172" fontId="0" fillId="0" borderId="0" xfId="0" applyNumberFormat="1" applyFont="1" applyFill="1"/>
    <xf numFmtId="2" fontId="0" fillId="0" borderId="0" xfId="0" applyNumberFormat="1" applyFont="1" applyFill="1"/>
    <xf numFmtId="0" fontId="0" fillId="0" borderId="1" xfId="0" applyFont="1" applyFill="1" applyBorder="1"/>
    <xf numFmtId="9" fontId="0" fillId="0" borderId="8" xfId="0" applyNumberFormat="1" applyFont="1" applyFill="1" applyBorder="1"/>
    <xf numFmtId="174" fontId="0" fillId="0" borderId="0" xfId="0" applyNumberFormat="1" applyFont="1" applyFill="1"/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2" xfId="0" applyFont="1" applyFill="1" applyBorder="1"/>
    <xf numFmtId="0" fontId="4" fillId="0" borderId="12" xfId="0" applyFont="1" applyFill="1" applyBorder="1"/>
    <xf numFmtId="10" fontId="0" fillId="0" borderId="12" xfId="0" applyNumberFormat="1" applyFont="1" applyFill="1" applyBorder="1"/>
    <xf numFmtId="2" fontId="0" fillId="0" borderId="12" xfId="0" applyNumberFormat="1" applyFont="1" applyFill="1" applyBorder="1"/>
    <xf numFmtId="10" fontId="0" fillId="0" borderId="12" xfId="2" applyNumberFormat="1" applyFont="1" applyFill="1" applyBorder="1"/>
    <xf numFmtId="169" fontId="27" fillId="0" borderId="0" xfId="1" applyNumberFormat="1" applyFont="1" applyFill="1" applyBorder="1" applyAlignment="1">
      <alignment horizontal="right" vertical="center"/>
    </xf>
    <xf numFmtId="169" fontId="0" fillId="0" borderId="0" xfId="1" applyNumberFormat="1" applyFont="1" applyFill="1" applyBorder="1" applyAlignment="1">
      <alignment horizontal="right" vertical="center"/>
    </xf>
    <xf numFmtId="9" fontId="0" fillId="0" borderId="12" xfId="0" applyNumberFormat="1" applyFont="1" applyFill="1" applyBorder="1"/>
    <xf numFmtId="0" fontId="28" fillId="0" borderId="0" xfId="0" applyFont="1" applyFill="1" applyBorder="1"/>
    <xf numFmtId="169" fontId="28" fillId="0" borderId="0" xfId="1" applyNumberFormat="1" applyFont="1" applyFill="1" applyBorder="1" applyAlignment="1">
      <alignment horizontal="right" vertical="center"/>
    </xf>
    <xf numFmtId="169" fontId="4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0" fontId="4" fillId="0" borderId="12" xfId="2" applyNumberFormat="1" applyFont="1" applyFill="1" applyBorder="1"/>
    <xf numFmtId="9" fontId="0" fillId="0" borderId="0" xfId="0" applyNumberFormat="1" applyFont="1" applyFill="1"/>
    <xf numFmtId="0" fontId="0" fillId="0" borderId="12" xfId="0" applyFill="1" applyBorder="1"/>
    <xf numFmtId="0" fontId="0" fillId="0" borderId="17" xfId="0" applyFill="1" applyBorder="1"/>
    <xf numFmtId="0" fontId="0" fillId="0" borderId="5" xfId="0" applyFill="1" applyBorder="1"/>
    <xf numFmtId="169" fontId="0" fillId="0" borderId="17" xfId="0" applyNumberFormat="1" applyFill="1" applyBorder="1"/>
    <xf numFmtId="169" fontId="0" fillId="0" borderId="6" xfId="0" applyNumberFormat="1" applyFill="1" applyBorder="1"/>
    <xf numFmtId="0" fontId="0" fillId="0" borderId="16" xfId="0" applyFill="1" applyBorder="1"/>
    <xf numFmtId="43" fontId="0" fillId="0" borderId="0" xfId="1" applyFont="1" applyFill="1" applyBorder="1"/>
    <xf numFmtId="43" fontId="0" fillId="0" borderId="16" xfId="1" applyFont="1" applyFill="1" applyBorder="1"/>
    <xf numFmtId="0" fontId="0" fillId="0" borderId="9" xfId="0" applyFill="1" applyBorder="1"/>
    <xf numFmtId="43" fontId="0" fillId="0" borderId="16" xfId="0" applyNumberFormat="1" applyFill="1" applyBorder="1"/>
    <xf numFmtId="43" fontId="0" fillId="0" borderId="9" xfId="1" applyFont="1" applyFill="1" applyBorder="1"/>
    <xf numFmtId="43" fontId="0" fillId="0" borderId="2" xfId="1" applyFont="1" applyFill="1" applyBorder="1"/>
    <xf numFmtId="0" fontId="0" fillId="0" borderId="18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2" fontId="0" fillId="0" borderId="18" xfId="0" applyNumberFormat="1" applyFill="1" applyBorder="1"/>
    <xf numFmtId="0" fontId="4" fillId="0" borderId="18" xfId="0" applyFont="1" applyFill="1" applyBorder="1"/>
    <xf numFmtId="43" fontId="4" fillId="0" borderId="12" xfId="0" applyNumberFormat="1" applyFont="1" applyFill="1" applyBorder="1"/>
    <xf numFmtId="170" fontId="0" fillId="0" borderId="0" xfId="1" applyNumberFormat="1" applyFont="1" applyFill="1"/>
    <xf numFmtId="0" fontId="4" fillId="0" borderId="17" xfId="0" applyFont="1" applyFill="1" applyBorder="1"/>
    <xf numFmtId="0" fontId="4" fillId="0" borderId="20" xfId="0" applyFont="1" applyFill="1" applyBorder="1"/>
    <xf numFmtId="0" fontId="4" fillId="0" borderId="6" xfId="0" applyNumberFormat="1" applyFont="1" applyFill="1" applyBorder="1"/>
    <xf numFmtId="170" fontId="25" fillId="0" borderId="11" xfId="1" applyNumberFormat="1" applyFont="1" applyFill="1" applyBorder="1"/>
    <xf numFmtId="0" fontId="9" fillId="0" borderId="0" xfId="0" applyFont="1" applyFill="1" applyBorder="1" applyAlignment="1">
      <alignment horizontal="center"/>
    </xf>
    <xf numFmtId="170" fontId="0" fillId="0" borderId="0" xfId="0" applyNumberFormat="1" applyFont="1" applyFill="1"/>
    <xf numFmtId="44" fontId="0" fillId="2" borderId="0" xfId="0" applyNumberFormat="1" applyFill="1" applyAlignment="1">
      <alignment wrapText="1"/>
    </xf>
    <xf numFmtId="44" fontId="6" fillId="2" borderId="0" xfId="0" applyNumberFormat="1" applyFont="1" applyFill="1" applyAlignment="1">
      <alignment horizontal="left" wrapText="1"/>
    </xf>
    <xf numFmtId="44" fontId="0" fillId="2" borderId="9" xfId="0" applyNumberFormat="1" applyFill="1" applyBorder="1" applyAlignment="1">
      <alignment wrapText="1"/>
    </xf>
    <xf numFmtId="0" fontId="4" fillId="6" borderId="3" xfId="0" applyFont="1" applyFill="1" applyBorder="1" applyAlignment="1"/>
    <xf numFmtId="0" fontId="4" fillId="6" borderId="5" xfId="0" applyFont="1" applyFill="1" applyBorder="1" applyAlignment="1"/>
    <xf numFmtId="167" fontId="0" fillId="0" borderId="0" xfId="2" applyNumberFormat="1" applyFont="1" applyFill="1" applyBorder="1"/>
    <xf numFmtId="167" fontId="0" fillId="2" borderId="9" xfId="2" applyNumberFormat="1" applyFont="1" applyFill="1" applyBorder="1"/>
    <xf numFmtId="0" fontId="4" fillId="0" borderId="0" xfId="0" applyFont="1" applyAlignment="1">
      <alignment horizontal="right"/>
    </xf>
    <xf numFmtId="0" fontId="4" fillId="0" borderId="2" xfId="0" applyFont="1" applyFill="1" applyBorder="1"/>
    <xf numFmtId="0" fontId="15" fillId="0" borderId="0" xfId="0" applyFont="1" applyFill="1" applyBorder="1"/>
    <xf numFmtId="0" fontId="13" fillId="6" borderId="0" xfId="0" applyFont="1" applyFill="1" applyBorder="1"/>
    <xf numFmtId="0" fontId="13" fillId="6" borderId="9" xfId="0" applyFont="1" applyFill="1" applyBorder="1"/>
    <xf numFmtId="165" fontId="0" fillId="2" borderId="0" xfId="0" applyNumberFormat="1" applyFont="1" applyFill="1" applyBorder="1"/>
    <xf numFmtId="176" fontId="0" fillId="2" borderId="0" xfId="0" applyNumberFormat="1" applyFont="1" applyFill="1" applyBorder="1"/>
    <xf numFmtId="176" fontId="0" fillId="2" borderId="9" xfId="0" applyNumberFormat="1" applyFont="1" applyFill="1" applyBorder="1"/>
    <xf numFmtId="165" fontId="0" fillId="2" borderId="7" xfId="0" applyNumberFormat="1" applyFont="1" applyFill="1" applyBorder="1"/>
    <xf numFmtId="165" fontId="0" fillId="2" borderId="9" xfId="0" applyNumberFormat="1" applyFont="1" applyFill="1" applyBorder="1"/>
    <xf numFmtId="0" fontId="0" fillId="2" borderId="2" xfId="0" applyFont="1" applyFill="1" applyBorder="1"/>
    <xf numFmtId="165" fontId="4" fillId="7" borderId="10" xfId="0" applyNumberFormat="1" applyFont="1" applyFill="1" applyBorder="1"/>
    <xf numFmtId="165" fontId="4" fillId="7" borderId="11" xfId="0" applyNumberFormat="1" applyFont="1" applyFill="1" applyBorder="1"/>
    <xf numFmtId="10" fontId="4" fillId="7" borderId="3" xfId="2" applyNumberFormat="1" applyFont="1" applyFill="1" applyBorder="1" applyAlignment="1">
      <alignment horizontal="center" wrapText="1"/>
    </xf>
    <xf numFmtId="10" fontId="4" fillId="7" borderId="6" xfId="2" applyNumberFormat="1" applyFont="1" applyFill="1" applyBorder="1" applyAlignment="1">
      <alignment horizontal="center" wrapText="1"/>
    </xf>
    <xf numFmtId="9" fontId="0" fillId="2" borderId="5" xfId="2" applyFont="1" applyFill="1" applyBorder="1"/>
    <xf numFmtId="9" fontId="0" fillId="2" borderId="6" xfId="2" applyFont="1" applyFill="1" applyBorder="1"/>
    <xf numFmtId="165" fontId="0" fillId="2" borderId="8" xfId="0" applyNumberFormat="1" applyFont="1" applyFill="1" applyBorder="1"/>
    <xf numFmtId="0" fontId="7" fillId="6" borderId="4" xfId="0" applyFont="1" applyFill="1" applyBorder="1"/>
    <xf numFmtId="0" fontId="7" fillId="6" borderId="10" xfId="0" applyFont="1" applyFill="1" applyBorder="1"/>
    <xf numFmtId="0" fontId="7" fillId="6" borderId="11" xfId="0" applyFont="1" applyFill="1" applyBorder="1"/>
    <xf numFmtId="165" fontId="0" fillId="2" borderId="0" xfId="0" applyNumberFormat="1" applyFill="1"/>
    <xf numFmtId="0" fontId="7" fillId="2" borderId="1" xfId="0" applyFont="1" applyFill="1" applyBorder="1"/>
    <xf numFmtId="0" fontId="7" fillId="7" borderId="2" xfId="0" applyFont="1" applyFill="1" applyBorder="1"/>
    <xf numFmtId="165" fontId="0" fillId="7" borderId="0" xfId="0" applyNumberFormat="1" applyFill="1"/>
    <xf numFmtId="0" fontId="8" fillId="6" borderId="7" xfId="0" applyFont="1" applyFill="1" applyBorder="1"/>
    <xf numFmtId="165" fontId="10" fillId="2" borderId="0" xfId="0" applyNumberFormat="1" applyFont="1" applyFill="1"/>
    <xf numFmtId="0" fontId="11" fillId="2" borderId="2" xfId="0" applyFont="1" applyFill="1" applyBorder="1"/>
    <xf numFmtId="0" fontId="10" fillId="2" borderId="0" xfId="0" applyFont="1" applyFill="1"/>
    <xf numFmtId="9" fontId="10" fillId="2" borderId="0" xfId="2" applyFont="1" applyFill="1" applyBorder="1"/>
    <xf numFmtId="9" fontId="10" fillId="2" borderId="9" xfId="2" applyFont="1" applyFill="1" applyBorder="1"/>
    <xf numFmtId="9" fontId="0" fillId="2" borderId="0" xfId="2" applyFont="1" applyFill="1" applyBorder="1"/>
    <xf numFmtId="9" fontId="0" fillId="2" borderId="9" xfId="2" applyFont="1" applyFill="1" applyBorder="1"/>
    <xf numFmtId="0" fontId="0" fillId="2" borderId="1" xfId="0" applyFill="1" applyBorder="1"/>
    <xf numFmtId="0" fontId="10" fillId="2" borderId="7" xfId="0" applyFont="1" applyFill="1" applyBorder="1"/>
    <xf numFmtId="9" fontId="10" fillId="2" borderId="7" xfId="2" applyFont="1" applyFill="1" applyBorder="1"/>
    <xf numFmtId="9" fontId="10" fillId="2" borderId="8" xfId="2" applyFont="1" applyFill="1" applyBorder="1"/>
    <xf numFmtId="165" fontId="10" fillId="7" borderId="0" xfId="0" applyNumberFormat="1" applyFont="1" applyFill="1"/>
    <xf numFmtId="0" fontId="10" fillId="7" borderId="0" xfId="0" applyFont="1" applyFill="1"/>
    <xf numFmtId="0" fontId="2" fillId="0" borderId="0" xfId="0" applyFont="1" applyFill="1"/>
    <xf numFmtId="0" fontId="4" fillId="6" borderId="0" xfId="0" applyFont="1" applyFill="1"/>
    <xf numFmtId="0" fontId="0" fillId="6" borderId="0" xfId="0" applyFill="1" applyBorder="1"/>
    <xf numFmtId="0" fontId="0" fillId="6" borderId="10" xfId="0" applyFill="1" applyBorder="1"/>
    <xf numFmtId="1" fontId="0" fillId="6" borderId="10" xfId="0" applyNumberFormat="1" applyFill="1" applyBorder="1"/>
    <xf numFmtId="0" fontId="0" fillId="6" borderId="7" xfId="0" applyFill="1" applyBorder="1"/>
    <xf numFmtId="0" fontId="0" fillId="6" borderId="8" xfId="0" applyFill="1" applyBorder="1"/>
    <xf numFmtId="165" fontId="0" fillId="2" borderId="9" xfId="1" applyNumberFormat="1" applyFont="1" applyFill="1" applyBorder="1"/>
    <xf numFmtId="165" fontId="7" fillId="2" borderId="0" xfId="0" applyNumberFormat="1" applyFont="1" applyFill="1"/>
    <xf numFmtId="165" fontId="7" fillId="2" borderId="9" xfId="0" applyNumberFormat="1" applyFont="1" applyFill="1" applyBorder="1"/>
    <xf numFmtId="165" fontId="7" fillId="2" borderId="10" xfId="0" applyNumberFormat="1" applyFont="1" applyFill="1" applyBorder="1"/>
    <xf numFmtId="165" fontId="7" fillId="2" borderId="11" xfId="0" applyNumberFormat="1" applyFont="1" applyFill="1" applyBorder="1"/>
    <xf numFmtId="0" fontId="1" fillId="2" borderId="2" xfId="0" applyFont="1" applyFill="1" applyBorder="1"/>
    <xf numFmtId="165" fontId="1" fillId="2" borderId="0" xfId="0" applyNumberFormat="1" applyFont="1" applyFill="1"/>
    <xf numFmtId="0" fontId="0" fillId="2" borderId="9" xfId="0" applyFill="1" applyBorder="1"/>
    <xf numFmtId="44" fontId="0" fillId="2" borderId="0" xfId="0" applyNumberFormat="1" applyFill="1"/>
    <xf numFmtId="44" fontId="0" fillId="2" borderId="9" xfId="0" applyNumberFormat="1" applyFill="1" applyBorder="1"/>
    <xf numFmtId="0" fontId="0" fillId="2" borderId="3" xfId="0" applyFill="1" applyBorder="1"/>
    <xf numFmtId="44" fontId="0" fillId="2" borderId="6" xfId="0" applyNumberFormat="1" applyFill="1" applyBorder="1"/>
    <xf numFmtId="165" fontId="0" fillId="2" borderId="1" xfId="0" applyNumberFormat="1" applyFill="1" applyBorder="1"/>
    <xf numFmtId="44" fontId="0" fillId="2" borderId="8" xfId="0" applyNumberFormat="1" applyFill="1" applyBorder="1"/>
    <xf numFmtId="165" fontId="7" fillId="7" borderId="0" xfId="0" applyNumberFormat="1" applyFont="1" applyFill="1"/>
    <xf numFmtId="165" fontId="7" fillId="7" borderId="9" xfId="0" applyNumberFormat="1" applyFont="1" applyFill="1" applyBorder="1"/>
    <xf numFmtId="0" fontId="7" fillId="7" borderId="4" xfId="0" applyFont="1" applyFill="1" applyBorder="1"/>
    <xf numFmtId="165" fontId="0" fillId="7" borderId="10" xfId="0" applyNumberFormat="1" applyFill="1" applyBorder="1"/>
    <xf numFmtId="165" fontId="4" fillId="7" borderId="2" xfId="0" applyNumberFormat="1" applyFont="1" applyFill="1" applyBorder="1"/>
    <xf numFmtId="165" fontId="4" fillId="7" borderId="0" xfId="0" applyNumberFormat="1" applyFont="1" applyFill="1"/>
    <xf numFmtId="165" fontId="7" fillId="7" borderId="4" xfId="0" applyNumberFormat="1" applyFont="1" applyFill="1" applyBorder="1"/>
    <xf numFmtId="165" fontId="7" fillId="7" borderId="2" xfId="0" applyNumberFormat="1" applyFont="1" applyFill="1" applyBorder="1"/>
    <xf numFmtId="0" fontId="4" fillId="2" borderId="0" xfId="0" applyFont="1" applyFill="1" applyBorder="1"/>
    <xf numFmtId="0" fontId="0" fillId="6" borderId="11" xfId="0" applyFill="1" applyBorder="1"/>
    <xf numFmtId="165" fontId="7" fillId="2" borderId="0" xfId="0" applyNumberFormat="1" applyFont="1" applyFill="1" applyBorder="1"/>
    <xf numFmtId="165" fontId="7" fillId="7" borderId="0" xfId="0" applyNumberFormat="1" applyFont="1" applyFill="1" applyBorder="1"/>
    <xf numFmtId="0" fontId="12" fillId="2" borderId="2" xfId="0" applyFont="1" applyFill="1" applyBorder="1"/>
    <xf numFmtId="165" fontId="12" fillId="2" borderId="0" xfId="0" applyNumberFormat="1" applyFont="1" applyFill="1"/>
    <xf numFmtId="165" fontId="12" fillId="2" borderId="9" xfId="0" applyNumberFormat="1" applyFont="1" applyFill="1" applyBorder="1"/>
    <xf numFmtId="165" fontId="0" fillId="2" borderId="0" xfId="0" applyNumberFormat="1" applyFont="1" applyFill="1"/>
    <xf numFmtId="165" fontId="7" fillId="7" borderId="5" xfId="0" applyNumberFormat="1" applyFont="1" applyFill="1" applyBorder="1"/>
    <xf numFmtId="165" fontId="7" fillId="7" borderId="6" xfId="0" applyNumberFormat="1" applyFont="1" applyFill="1" applyBorder="1"/>
    <xf numFmtId="10" fontId="0" fillId="2" borderId="5" xfId="2" applyNumberFormat="1" applyFont="1" applyFill="1" applyBorder="1"/>
    <xf numFmtId="10" fontId="0" fillId="2" borderId="6" xfId="2" applyNumberFormat="1" applyFont="1" applyFill="1" applyBorder="1"/>
    <xf numFmtId="0" fontId="0" fillId="2" borderId="7" xfId="0" applyFill="1" applyBorder="1"/>
    <xf numFmtId="165" fontId="4" fillId="7" borderId="4" xfId="0" applyNumberFormat="1" applyFont="1" applyFill="1" applyBorder="1"/>
    <xf numFmtId="165" fontId="12" fillId="2" borderId="2" xfId="0" applyNumberFormat="1" applyFont="1" applyFill="1" applyBorder="1"/>
    <xf numFmtId="175" fontId="0" fillId="2" borderId="0" xfId="5" applyNumberFormat="1" applyFont="1" applyFill="1"/>
    <xf numFmtId="43" fontId="4" fillId="7" borderId="3" xfId="0" applyNumberFormat="1" applyFont="1" applyFill="1" applyBorder="1"/>
    <xf numFmtId="43" fontId="0" fillId="7" borderId="5" xfId="0" applyNumberFormat="1" applyFill="1" applyBorder="1"/>
    <xf numFmtId="43" fontId="0" fillId="7" borderId="6" xfId="0" applyNumberFormat="1" applyFill="1" applyBorder="1"/>
    <xf numFmtId="43" fontId="4" fillId="7" borderId="1" xfId="0" applyNumberFormat="1" applyFont="1" applyFill="1" applyBorder="1"/>
    <xf numFmtId="43" fontId="0" fillId="7" borderId="7" xfId="0" applyNumberFormat="1" applyFill="1" applyBorder="1"/>
    <xf numFmtId="43" fontId="0" fillId="7" borderId="8" xfId="0" applyNumberFormat="1" applyFill="1" applyBorder="1"/>
    <xf numFmtId="165" fontId="12" fillId="2" borderId="0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165" fontId="12" fillId="2" borderId="3" xfId="0" applyNumberFormat="1" applyFont="1" applyFill="1" applyBorder="1"/>
    <xf numFmtId="165" fontId="0" fillId="2" borderId="2" xfId="0" applyNumberFormat="1" applyFill="1" applyBorder="1" applyAlignment="1">
      <alignment horizontal="right"/>
    </xf>
    <xf numFmtId="165" fontId="7" fillId="7" borderId="4" xfId="0" applyNumberFormat="1" applyFont="1" applyFill="1" applyBorder="1" applyAlignment="1">
      <alignment horizontal="left"/>
    </xf>
    <xf numFmtId="165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7" borderId="3" xfId="0" applyFont="1" applyFill="1" applyBorder="1"/>
    <xf numFmtId="165" fontId="0" fillId="2" borderId="0" xfId="0" applyNumberFormat="1" applyFill="1" applyBorder="1" applyAlignment="1">
      <alignment horizontal="left"/>
    </xf>
    <xf numFmtId="165" fontId="0" fillId="2" borderId="9" xfId="0" applyNumberForma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left"/>
    </xf>
    <xf numFmtId="0" fontId="4" fillId="6" borderId="6" xfId="0" applyFont="1" applyFill="1" applyBorder="1" applyAlignment="1"/>
    <xf numFmtId="0" fontId="4" fillId="6" borderId="4" xfId="0" applyFont="1" applyFill="1" applyBorder="1" applyAlignment="1"/>
    <xf numFmtId="0" fontId="4" fillId="6" borderId="10" xfId="0" applyFont="1" applyFill="1" applyBorder="1" applyAlignment="1"/>
    <xf numFmtId="0" fontId="4" fillId="6" borderId="11" xfId="0" applyFont="1" applyFill="1" applyBorder="1" applyAlignment="1"/>
    <xf numFmtId="0" fontId="13" fillId="6" borderId="7" xfId="0" applyFont="1" applyFill="1" applyBorder="1"/>
    <xf numFmtId="165" fontId="7" fillId="7" borderId="1" xfId="0" applyNumberFormat="1" applyFont="1" applyFill="1" applyBorder="1" applyAlignment="1">
      <alignment horizontal="left"/>
    </xf>
    <xf numFmtId="165" fontId="7" fillId="7" borderId="8" xfId="0" applyNumberFormat="1" applyFont="1" applyFill="1" applyBorder="1"/>
    <xf numFmtId="165" fontId="0" fillId="2" borderId="5" xfId="0" applyNumberFormat="1" applyFont="1" applyFill="1" applyBorder="1"/>
    <xf numFmtId="165" fontId="0" fillId="2" borderId="6" xfId="0" applyNumberFormat="1" applyFont="1" applyFill="1" applyBorder="1"/>
    <xf numFmtId="0" fontId="18" fillId="6" borderId="4" xfId="0" applyFont="1" applyFill="1" applyBorder="1"/>
    <xf numFmtId="0" fontId="17" fillId="6" borderId="10" xfId="0" applyFont="1" applyFill="1" applyBorder="1"/>
    <xf numFmtId="168" fontId="0" fillId="2" borderId="3" xfId="0" applyNumberFormat="1" applyFill="1" applyBorder="1"/>
    <xf numFmtId="168" fontId="0" fillId="2" borderId="5" xfId="0" applyNumberFormat="1" applyFill="1" applyBorder="1"/>
    <xf numFmtId="168" fontId="0" fillId="2" borderId="2" xfId="0" applyNumberFormat="1" applyFill="1" applyBorder="1"/>
    <xf numFmtId="168" fontId="0" fillId="2" borderId="0" xfId="0" applyNumberFormat="1" applyFill="1" applyBorder="1"/>
    <xf numFmtId="168" fontId="0" fillId="2" borderId="9" xfId="0" applyNumberFormat="1" applyFill="1" applyBorder="1"/>
    <xf numFmtId="9" fontId="0" fillId="2" borderId="2" xfId="2" applyFont="1" applyFill="1" applyBorder="1"/>
    <xf numFmtId="0" fontId="17" fillId="6" borderId="5" xfId="0" applyFont="1" applyFill="1" applyBorder="1"/>
    <xf numFmtId="0" fontId="17" fillId="6" borderId="6" xfId="0" applyFont="1" applyFill="1" applyBorder="1"/>
    <xf numFmtId="0" fontId="19" fillId="6" borderId="5" xfId="0" applyFont="1" applyFill="1" applyBorder="1"/>
    <xf numFmtId="0" fontId="19" fillId="6" borderId="6" xfId="0" applyFont="1" applyFill="1" applyBorder="1"/>
    <xf numFmtId="0" fontId="18" fillId="6" borderId="3" xfId="0" applyFont="1" applyFill="1" applyBorder="1"/>
    <xf numFmtId="168" fontId="0" fillId="2" borderId="6" xfId="0" applyNumberFormat="1" applyFill="1" applyBorder="1"/>
    <xf numFmtId="0" fontId="0" fillId="2" borderId="2" xfId="0" quotePrefix="1" applyFont="1" applyFill="1" applyBorder="1"/>
    <xf numFmtId="0" fontId="0" fillId="2" borderId="2" xfId="0" quotePrefix="1" applyFill="1" applyBorder="1"/>
    <xf numFmtId="44" fontId="0" fillId="0" borderId="0" xfId="0" applyNumberFormat="1" applyFill="1" applyBorder="1"/>
    <xf numFmtId="169" fontId="0" fillId="0" borderId="0" xfId="1" applyNumberFormat="1" applyFont="1" applyFill="1" applyBorder="1"/>
    <xf numFmtId="0" fontId="7" fillId="0" borderId="0" xfId="3" applyNumberFormat="1" applyFont="1" applyFill="1" applyBorder="1"/>
    <xf numFmtId="0" fontId="23" fillId="0" borderId="0" xfId="0" applyFont="1" applyFill="1" applyBorder="1" applyAlignment="1"/>
    <xf numFmtId="2" fontId="0" fillId="0" borderId="0" xfId="0" applyNumberFormat="1" applyFill="1" applyBorder="1"/>
    <xf numFmtId="10" fontId="2" fillId="0" borderId="0" xfId="2" applyNumberFormat="1" applyFont="1" applyFill="1" applyBorder="1"/>
    <xf numFmtId="2" fontId="2" fillId="0" borderId="0" xfId="0" applyNumberFormat="1" applyFont="1" applyFill="1" applyBorder="1"/>
    <xf numFmtId="168" fontId="0" fillId="0" borderId="0" xfId="0" applyNumberFormat="1" applyFill="1" applyBorder="1"/>
    <xf numFmtId="44" fontId="7" fillId="0" borderId="0" xfId="0" applyNumberFormat="1" applyFont="1" applyFill="1" applyBorder="1"/>
    <xf numFmtId="0" fontId="7" fillId="6" borderId="3" xfId="3" applyFont="1" applyFill="1" applyBorder="1"/>
    <xf numFmtId="0" fontId="7" fillId="6" borderId="5" xfId="3" applyNumberFormat="1" applyFont="1" applyFill="1" applyBorder="1"/>
    <xf numFmtId="0" fontId="7" fillId="6" borderId="6" xfId="3" applyNumberFormat="1" applyFont="1" applyFill="1" applyBorder="1"/>
    <xf numFmtId="167" fontId="0" fillId="2" borderId="5" xfId="0" applyNumberFormat="1" applyFill="1" applyBorder="1"/>
    <xf numFmtId="167" fontId="0" fillId="2" borderId="6" xfId="0" applyNumberFormat="1" applyFill="1" applyBorder="1"/>
    <xf numFmtId="0" fontId="7" fillId="6" borderId="10" xfId="3" applyNumberFormat="1" applyFont="1" applyFill="1" applyBorder="1"/>
    <xf numFmtId="0" fontId="7" fillId="6" borderId="11" xfId="3" applyNumberFormat="1" applyFont="1" applyFill="1" applyBorder="1"/>
    <xf numFmtId="10" fontId="2" fillId="2" borderId="0" xfId="2" applyNumberFormat="1" applyFont="1" applyFill="1" applyBorder="1"/>
    <xf numFmtId="2" fontId="2" fillId="2" borderId="7" xfId="0" applyNumberFormat="1" applyFont="1" applyFill="1" applyBorder="1"/>
    <xf numFmtId="2" fontId="2" fillId="2" borderId="8" xfId="0" applyNumberFormat="1" applyFont="1" applyFill="1" applyBorder="1"/>
    <xf numFmtId="0" fontId="24" fillId="6" borderId="4" xfId="0" applyFont="1" applyFill="1" applyBorder="1"/>
    <xf numFmtId="10" fontId="24" fillId="6" borderId="10" xfId="2" applyNumberFormat="1" applyFont="1" applyFill="1" applyBorder="1"/>
    <xf numFmtId="10" fontId="24" fillId="6" borderId="11" xfId="2" applyNumberFormat="1" applyFont="1" applyFill="1" applyBorder="1"/>
    <xf numFmtId="165" fontId="14" fillId="2" borderId="0" xfId="0" applyNumberFormat="1" applyFont="1" applyFill="1" applyBorder="1"/>
    <xf numFmtId="165" fontId="14" fillId="2" borderId="9" xfId="0" applyNumberFormat="1" applyFont="1" applyFill="1" applyBorder="1"/>
    <xf numFmtId="10" fontId="14" fillId="2" borderId="0" xfId="0" applyNumberFormat="1" applyFont="1" applyFill="1" applyBorder="1"/>
    <xf numFmtId="10" fontId="14" fillId="2" borderId="9" xfId="0" applyNumberFormat="1" applyFont="1" applyFill="1" applyBorder="1"/>
    <xf numFmtId="167" fontId="14" fillId="2" borderId="0" xfId="2" applyNumberFormat="1" applyFont="1" applyFill="1" applyBorder="1"/>
    <xf numFmtId="167" fontId="14" fillId="2" borderId="9" xfId="2" applyNumberFormat="1" applyFont="1" applyFill="1" applyBorder="1"/>
    <xf numFmtId="0" fontId="24" fillId="2" borderId="2" xfId="0" applyFont="1" applyFill="1" applyBorder="1"/>
    <xf numFmtId="0" fontId="24" fillId="6" borderId="1" xfId="0" applyFont="1" applyFill="1" applyBorder="1"/>
    <xf numFmtId="0" fontId="7" fillId="6" borderId="7" xfId="3" applyNumberFormat="1" applyFont="1" applyFill="1" applyBorder="1"/>
    <xf numFmtId="0" fontId="8" fillId="6" borderId="7" xfId="3" applyNumberFormat="1" applyFont="1" applyFill="1" applyBorder="1"/>
    <xf numFmtId="0" fontId="8" fillId="6" borderId="8" xfId="3" applyNumberFormat="1" applyFont="1" applyFill="1" applyBorder="1"/>
    <xf numFmtId="0" fontId="24" fillId="6" borderId="4" xfId="0" applyFont="1" applyFill="1" applyBorder="1" applyAlignment="1"/>
    <xf numFmtId="0" fontId="24" fillId="6" borderId="11" xfId="0" applyFont="1" applyFill="1" applyBorder="1" applyAlignment="1"/>
    <xf numFmtId="165" fontId="20" fillId="2" borderId="0" xfId="0" applyNumberFormat="1" applyFont="1" applyFill="1" applyBorder="1"/>
    <xf numFmtId="165" fontId="20" fillId="2" borderId="9" xfId="0" applyNumberFormat="1" applyFont="1" applyFill="1" applyBorder="1"/>
    <xf numFmtId="0" fontId="7" fillId="7" borderId="1" xfId="0" applyFont="1" applyFill="1" applyBorder="1"/>
    <xf numFmtId="0" fontId="0" fillId="2" borderId="3" xfId="0" applyFont="1" applyFill="1" applyBorder="1"/>
    <xf numFmtId="165" fontId="0" fillId="2" borderId="2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13" fillId="6" borderId="8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13" fillId="6" borderId="10" xfId="0" applyFont="1" applyFill="1" applyBorder="1"/>
    <xf numFmtId="0" fontId="13" fillId="6" borderId="11" xfId="0" applyFont="1" applyFill="1" applyBorder="1"/>
    <xf numFmtId="0" fontId="22" fillId="2" borderId="10" xfId="0" applyFont="1" applyFill="1" applyBorder="1"/>
    <xf numFmtId="0" fontId="22" fillId="2" borderId="11" xfId="0" applyFont="1" applyFill="1" applyBorder="1"/>
    <xf numFmtId="0" fontId="17" fillId="6" borderId="3" xfId="0" applyFont="1" applyFill="1" applyBorder="1"/>
    <xf numFmtId="168" fontId="0" fillId="2" borderId="0" xfId="0" applyNumberFormat="1" applyFill="1"/>
    <xf numFmtId="9" fontId="0" fillId="2" borderId="0" xfId="2" applyFont="1" applyFill="1"/>
    <xf numFmtId="0" fontId="0" fillId="2" borderId="0" xfId="2" applyNumberFormat="1" applyFont="1" applyFill="1"/>
    <xf numFmtId="0" fontId="0" fillId="2" borderId="0" xfId="0" applyNumberFormat="1" applyFill="1"/>
    <xf numFmtId="0" fontId="0" fillId="6" borderId="3" xfId="0" applyFill="1" applyBorder="1"/>
    <xf numFmtId="0" fontId="7" fillId="6" borderId="5" xfId="0" applyNumberFormat="1" applyFont="1" applyFill="1" applyBorder="1" applyAlignment="1">
      <alignment horizontal="center"/>
    </xf>
    <xf numFmtId="0" fontId="7" fillId="6" borderId="5" xfId="2" applyNumberFormat="1" applyFont="1" applyFill="1" applyBorder="1" applyAlignment="1">
      <alignment horizontal="center"/>
    </xf>
    <xf numFmtId="0" fontId="7" fillId="6" borderId="6" xfId="0" applyNumberFormat="1" applyFont="1" applyFill="1" applyBorder="1" applyAlignment="1">
      <alignment horizontal="center"/>
    </xf>
    <xf numFmtId="10" fontId="4" fillId="6" borderId="11" xfId="2" applyNumberFormat="1" applyFont="1" applyFill="1" applyBorder="1"/>
    <xf numFmtId="0" fontId="0" fillId="0" borderId="0" xfId="0" quotePrefix="1" applyAlignment="1">
      <alignment horizontal="left"/>
    </xf>
    <xf numFmtId="0" fontId="4" fillId="2" borderId="4" xfId="0" applyFont="1" applyFill="1" applyBorder="1"/>
    <xf numFmtId="0" fontId="0" fillId="2" borderId="10" xfId="0" applyFill="1" applyBorder="1"/>
    <xf numFmtId="2" fontId="0" fillId="2" borderId="10" xfId="0" applyNumberFormat="1" applyFill="1" applyBorder="1"/>
    <xf numFmtId="0" fontId="0" fillId="2" borderId="10" xfId="0" quotePrefix="1" applyFill="1" applyBorder="1"/>
    <xf numFmtId="0" fontId="0" fillId="2" borderId="11" xfId="0" quotePrefix="1" applyFill="1" applyBorder="1"/>
    <xf numFmtId="0" fontId="4" fillId="6" borderId="31" xfId="4" quotePrefix="1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10" fontId="6" fillId="7" borderId="1" xfId="2" applyNumberFormat="1" applyFont="1" applyFill="1" applyBorder="1" applyAlignment="1">
      <alignment horizontal="center" wrapText="1"/>
    </xf>
    <xf numFmtId="10" fontId="6" fillId="7" borderId="8" xfId="2" applyNumberFormat="1" applyFont="1" applyFill="1" applyBorder="1" applyAlignment="1">
      <alignment horizontal="center" wrapText="1"/>
    </xf>
    <xf numFmtId="165" fontId="4" fillId="6" borderId="4" xfId="0" applyNumberFormat="1" applyFont="1" applyFill="1" applyBorder="1" applyAlignment="1">
      <alignment horizontal="center" wrapText="1"/>
    </xf>
    <xf numFmtId="165" fontId="4" fillId="6" borderId="11" xfId="0" applyNumberFormat="1" applyFont="1" applyFill="1" applyBorder="1" applyAlignment="1">
      <alignment horizontal="center" wrapText="1"/>
    </xf>
    <xf numFmtId="0" fontId="17" fillId="6" borderId="10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4" fillId="6" borderId="4" xfId="0" quotePrefix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6" borderId="22" xfId="0" applyFill="1" applyBorder="1" applyAlignment="1">
      <alignment horizontal="center" vertical="center" wrapText="1" shrinkToFit="1"/>
    </xf>
    <xf numFmtId="0" fontId="0" fillId="6" borderId="21" xfId="0" applyFill="1" applyBorder="1" applyAlignment="1">
      <alignment horizontal="center" vertical="center" wrapText="1" shrinkToFit="1"/>
    </xf>
    <xf numFmtId="0" fontId="0" fillId="6" borderId="30" xfId="0" applyFill="1" applyBorder="1" applyAlignment="1">
      <alignment horizontal="center" vertical="center" wrapText="1" shrinkToFit="1"/>
    </xf>
    <xf numFmtId="0" fontId="0" fillId="6" borderId="24" xfId="0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</cellXfs>
  <cellStyles count="6">
    <cellStyle name="20% - Accent1" xfId="4" builtinId="30"/>
    <cellStyle name="40% - Accent5" xfId="3" builtinId="47"/>
    <cellStyle name="Comma" xfId="1" builtinId="3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DA8"/>
      <color rgb="FFFFD4D3"/>
      <color rgb="FFFDB9BB"/>
      <color rgb="FFF46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Ratios!$I$4</c:f>
              <c:strCache>
                <c:ptCount val="1"/>
                <c:pt idx="0">
                  <c:v>Kid ASA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Ratios!$J$3:$N$3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Ratios!$J$4:$N$4</c:f>
              <c:numCache>
                <c:formatCode>0.00%</c:formatCode>
                <c:ptCount val="5"/>
                <c:pt idx="0">
                  <c:v>3.3652988314586157E-2</c:v>
                </c:pt>
                <c:pt idx="1">
                  <c:v>3.7540249742786878E-2</c:v>
                </c:pt>
                <c:pt idx="2">
                  <c:v>4.6114692123705996E-2</c:v>
                </c:pt>
                <c:pt idx="3">
                  <c:v>6.0010856444159585E-2</c:v>
                </c:pt>
                <c:pt idx="4">
                  <c:v>0.1027716248645357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CF-4804-829F-243093539FFF}"/>
            </c:ext>
          </c:extLst>
        </c:ser>
        <c:ser>
          <c:idx val="1"/>
          <c:order val="1"/>
          <c:tx>
            <c:strRef>
              <c:f>Ratios!$I$5</c:f>
              <c:strCache>
                <c:ptCount val="1"/>
                <c:pt idx="0">
                  <c:v>Princess Gruppen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Ratios!$J$3:$N$3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Ratios!$J$5:$N$5</c:f>
              <c:numCache>
                <c:formatCode>0.00%</c:formatCode>
                <c:ptCount val="5"/>
                <c:pt idx="0">
                  <c:v>3.5524517989980263E-2</c:v>
                </c:pt>
                <c:pt idx="1">
                  <c:v>2.9130810721785316E-2</c:v>
                </c:pt>
                <c:pt idx="2">
                  <c:v>5.9539342408082493E-2</c:v>
                </c:pt>
                <c:pt idx="3">
                  <c:v>2.2182969879933845E-2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CF-4804-829F-24309353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470584"/>
        <c:axId val="640469928"/>
      </c:scatterChart>
      <c:valAx>
        <c:axId val="640470584"/>
        <c:scaling>
          <c:orientation val="minMax"/>
          <c:max val="2020"/>
          <c:min val="20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0469928"/>
        <c:crosses val="autoZero"/>
        <c:crossBetween val="midCat"/>
        <c:majorUnit val="1"/>
      </c:valAx>
      <c:valAx>
        <c:axId val="64046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0470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ROE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Ratios!$I$8</c:f>
              <c:strCache>
                <c:ptCount val="1"/>
                <c:pt idx="0">
                  <c:v>Kid ASA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Ratios!$J$7:$N$7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Ratios!$J$8:$N$8</c:f>
              <c:numCache>
                <c:formatCode>0.00%</c:formatCode>
                <c:ptCount val="5"/>
                <c:pt idx="0">
                  <c:v>0.13920480834350424</c:v>
                </c:pt>
                <c:pt idx="1">
                  <c:v>0.14276541784667593</c:v>
                </c:pt>
                <c:pt idx="2">
                  <c:v>0.15782533357745365</c:v>
                </c:pt>
                <c:pt idx="3">
                  <c:v>0.20856779181349394</c:v>
                </c:pt>
                <c:pt idx="4">
                  <c:v>0.31932868535481568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FE-4383-A7A7-50540AB171F4}"/>
            </c:ext>
          </c:extLst>
        </c:ser>
        <c:ser>
          <c:idx val="1"/>
          <c:order val="1"/>
          <c:tx>
            <c:strRef>
              <c:f>Ratios!$I$9</c:f>
              <c:strCache>
                <c:ptCount val="1"/>
                <c:pt idx="0">
                  <c:v>Princess Gruppen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Ratios!$J$7:$N$7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Ratios!$J$9:$N$9</c:f>
              <c:numCache>
                <c:formatCode>0.00%</c:formatCode>
                <c:ptCount val="5"/>
                <c:pt idx="0">
                  <c:v>8.2417242605563032E-2</c:v>
                </c:pt>
                <c:pt idx="1">
                  <c:v>4.9717220683287162E-2</c:v>
                </c:pt>
                <c:pt idx="2">
                  <c:v>8.3405391289208722E-2</c:v>
                </c:pt>
                <c:pt idx="3">
                  <c:v>4.1060435120374453E-2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FE-4383-A7A7-50540AB17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471896"/>
        <c:axId val="640472880"/>
      </c:scatterChart>
      <c:valAx>
        <c:axId val="640471896"/>
        <c:scaling>
          <c:orientation val="minMax"/>
          <c:max val="2020"/>
          <c:min val="20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0472880"/>
        <c:crosses val="autoZero"/>
        <c:crossBetween val="midCat"/>
        <c:majorUnit val="1"/>
      </c:valAx>
      <c:valAx>
        <c:axId val="64047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0471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ROIC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Ratios!$I$12</c:f>
              <c:strCache>
                <c:ptCount val="1"/>
                <c:pt idx="0">
                  <c:v>Kid ASA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Ratios!$J$11:$N$11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Ratios!$J$12:$N$12</c:f>
              <c:numCache>
                <c:formatCode>0.00%</c:formatCode>
                <c:ptCount val="5"/>
                <c:pt idx="0">
                  <c:v>6.5161208417003055E-2</c:v>
                </c:pt>
                <c:pt idx="1">
                  <c:v>6.5205458710088024E-2</c:v>
                </c:pt>
                <c:pt idx="2">
                  <c:v>7.9305257690929026E-2</c:v>
                </c:pt>
                <c:pt idx="3">
                  <c:v>9.8221690482361484E-2</c:v>
                </c:pt>
                <c:pt idx="4">
                  <c:v>0.15794265453264011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A9-445F-88A2-E21E7A769197}"/>
            </c:ext>
          </c:extLst>
        </c:ser>
        <c:ser>
          <c:idx val="1"/>
          <c:order val="1"/>
          <c:tx>
            <c:strRef>
              <c:f>Ratios!$I$13</c:f>
              <c:strCache>
                <c:ptCount val="1"/>
                <c:pt idx="0">
                  <c:v>Princess Gruppen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Ratios!$J$11:$N$11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Ratios!$J$13:$N$13</c:f>
              <c:numCache>
                <c:formatCode>0.00%</c:formatCode>
                <c:ptCount val="5"/>
                <c:pt idx="0">
                  <c:v>0.1256230483709421</c:v>
                </c:pt>
                <c:pt idx="1">
                  <c:v>7.3703172083384824E-2</c:v>
                </c:pt>
                <c:pt idx="2">
                  <c:v>0.12590175423227701</c:v>
                </c:pt>
                <c:pt idx="3">
                  <c:v>4.4399979737601944E-2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A9-445F-88A2-E21E7A769197}"/>
            </c:ext>
          </c:extLst>
        </c:ser>
        <c:ser>
          <c:idx val="2"/>
          <c:order val="2"/>
          <c:tx>
            <c:strRef>
              <c:f>Ratios!$I$14</c:f>
              <c:strCache>
                <c:ptCount val="1"/>
                <c:pt idx="0">
                  <c:v>Kid ASA WACC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Ratios!$J$11:$N$11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Ratios!$J$14:$N$14</c:f>
              <c:numCache>
                <c:formatCode>0.00%</c:formatCode>
                <c:ptCount val="5"/>
                <c:pt idx="0">
                  <c:v>4.3696640831466613E-2</c:v>
                </c:pt>
                <c:pt idx="1">
                  <c:v>4.3203904043198668E-2</c:v>
                </c:pt>
                <c:pt idx="2">
                  <c:v>4.5187858105752932E-2</c:v>
                </c:pt>
                <c:pt idx="3">
                  <c:v>4.3819703647836439E-2</c:v>
                </c:pt>
                <c:pt idx="4">
                  <c:v>4.4846238729767444E-2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C1-544A-9074-B6556174B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738152"/>
        <c:axId val="730738808"/>
      </c:scatterChart>
      <c:valAx>
        <c:axId val="730738152"/>
        <c:scaling>
          <c:orientation val="minMax"/>
          <c:max val="2020"/>
          <c:min val="20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0738808"/>
        <c:crosses val="autoZero"/>
        <c:crossBetween val="midCat"/>
        <c:majorUnit val="1"/>
      </c:valAx>
      <c:valAx>
        <c:axId val="73073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0738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Current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Ratios!$I$19</c:f>
              <c:strCache>
                <c:ptCount val="1"/>
                <c:pt idx="0">
                  <c:v>Kid ASA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Ratios!$J$18:$N$18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Ratios!$J$19:$N$19</c:f>
              <c:numCache>
                <c:formatCode>0.00</c:formatCode>
                <c:ptCount val="5"/>
                <c:pt idx="0">
                  <c:v>1.136305186527476</c:v>
                </c:pt>
                <c:pt idx="1">
                  <c:v>0.90473718339631071</c:v>
                </c:pt>
                <c:pt idx="2">
                  <c:v>1.0287255097091641</c:v>
                </c:pt>
                <c:pt idx="3">
                  <c:v>0.95135382405448543</c:v>
                </c:pt>
                <c:pt idx="4">
                  <c:v>0.90870604376160324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71-4913-B00A-61B02184795D}"/>
            </c:ext>
          </c:extLst>
        </c:ser>
        <c:ser>
          <c:idx val="1"/>
          <c:order val="1"/>
          <c:tx>
            <c:strRef>
              <c:f>Ratios!$I$20</c:f>
              <c:strCache>
                <c:ptCount val="1"/>
                <c:pt idx="0">
                  <c:v>Princess Gruppen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Ratios!$J$18:$N$18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Ratios!$J$20:$N$20</c:f>
              <c:numCache>
                <c:formatCode>0.00</c:formatCode>
                <c:ptCount val="5"/>
                <c:pt idx="0">
                  <c:v>1.76</c:v>
                </c:pt>
                <c:pt idx="1">
                  <c:v>2.71</c:v>
                </c:pt>
                <c:pt idx="2">
                  <c:v>2.76</c:v>
                </c:pt>
                <c:pt idx="3">
                  <c:v>2.5499999999999998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71-4913-B00A-61B021847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817248"/>
        <c:axId val="645819544"/>
      </c:scatterChart>
      <c:valAx>
        <c:axId val="645817248"/>
        <c:scaling>
          <c:orientation val="minMax"/>
          <c:max val="2020"/>
          <c:min val="20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5819544"/>
        <c:crosses val="autoZero"/>
        <c:crossBetween val="midCat"/>
        <c:majorUnit val="1"/>
      </c:valAx>
      <c:valAx>
        <c:axId val="64581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5817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Financial</a:t>
            </a:r>
            <a:r>
              <a:rPr lang="nb-NO" baseline="0"/>
              <a:t> Leverage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Ratios!$I$23</c:f>
              <c:strCache>
                <c:ptCount val="1"/>
                <c:pt idx="0">
                  <c:v>Kid ASA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Ratios!$J$22:$N$22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Ratios!$J$23:$N$23</c:f>
              <c:numCache>
                <c:formatCode>0.00</c:formatCode>
                <c:ptCount val="5"/>
                <c:pt idx="0">
                  <c:v>1.9614466523090588</c:v>
                </c:pt>
                <c:pt idx="1">
                  <c:v>1.8365686323975499</c:v>
                </c:pt>
                <c:pt idx="2">
                  <c:v>1.7025836521591446</c:v>
                </c:pt>
                <c:pt idx="3">
                  <c:v>2.0128164665642463</c:v>
                </c:pt>
                <c:pt idx="4">
                  <c:v>1.9249798033261833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30-41B2-8517-410FCC8AABE9}"/>
            </c:ext>
          </c:extLst>
        </c:ser>
        <c:ser>
          <c:idx val="1"/>
          <c:order val="1"/>
          <c:tx>
            <c:strRef>
              <c:f>Ratios!$I$24</c:f>
              <c:strCache>
                <c:ptCount val="1"/>
                <c:pt idx="0">
                  <c:v>Princess Gruppen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Ratios!$J$22:$N$22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Ratios!$J$24:$N$24</c:f>
              <c:numCache>
                <c:formatCode>0.00</c:formatCode>
                <c:ptCount val="5"/>
                <c:pt idx="0">
                  <c:v>0.7822796357283115</c:v>
                </c:pt>
                <c:pt idx="1">
                  <c:v>0.40160433979686055</c:v>
                </c:pt>
                <c:pt idx="2">
                  <c:v>0.40328178046020369</c:v>
                </c:pt>
                <c:pt idx="3">
                  <c:v>0.52718038405833878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30-41B2-8517-410FCC8AABE9}"/>
            </c:ext>
          </c:extLst>
        </c:ser>
        <c:ser>
          <c:idx val="2"/>
          <c:order val="2"/>
          <c:tx>
            <c:strRef>
              <c:f>Ratios!$I$25</c:f>
              <c:strCache>
                <c:ptCount val="1"/>
                <c:pt idx="0">
                  <c:v>Kid ASA før IFRS16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Ratios!$J$22:$N$22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xVal>
          <c:yVal>
            <c:numRef>
              <c:f>Ratios!$J$25:$N$25</c:f>
              <c:numCache>
                <c:formatCode>0.00</c:formatCode>
                <c:ptCount val="5"/>
                <c:pt idx="0">
                  <c:v>1.0980831933209085</c:v>
                </c:pt>
                <c:pt idx="1">
                  <c:v>0.99400303971660731</c:v>
                </c:pt>
                <c:pt idx="2">
                  <c:v>0.91896758648448185</c:v>
                </c:pt>
                <c:pt idx="3">
                  <c:v>2.0128164665642463</c:v>
                </c:pt>
                <c:pt idx="4">
                  <c:v>1.9249798033261833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DA-4448-B3D2-C95FD3E79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813312"/>
        <c:axId val="645821184"/>
      </c:scatterChart>
      <c:valAx>
        <c:axId val="645813312"/>
        <c:scaling>
          <c:orientation val="minMax"/>
          <c:max val="2020"/>
          <c:min val="20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5821184"/>
        <c:crosses val="autoZero"/>
        <c:crossBetween val="midCat"/>
        <c:majorUnit val="1"/>
      </c:valAx>
      <c:valAx>
        <c:axId val="64582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5813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b-NO"/>
              <a:t>Monte</a:t>
            </a:r>
            <a:r>
              <a:rPr lang="nb-NO" baseline="0"/>
              <a:t> Carlo-Simulering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Frekvens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'Monte Carlo Histo'!$A$2:$A$67</c:f>
              <c:strCache>
                <c:ptCount val="66"/>
                <c:pt idx="0">
                  <c:v> 6,7 </c:v>
                </c:pt>
                <c:pt idx="1">
                  <c:v> 13,3 </c:v>
                </c:pt>
                <c:pt idx="2">
                  <c:v> 20,0 </c:v>
                </c:pt>
                <c:pt idx="3">
                  <c:v> 26,6 </c:v>
                </c:pt>
                <c:pt idx="4">
                  <c:v> 33,3 </c:v>
                </c:pt>
                <c:pt idx="5">
                  <c:v> 39,9 </c:v>
                </c:pt>
                <c:pt idx="6">
                  <c:v> 46,6 </c:v>
                </c:pt>
                <c:pt idx="7">
                  <c:v> 53,2 </c:v>
                </c:pt>
                <c:pt idx="8">
                  <c:v> 59,9 </c:v>
                </c:pt>
                <c:pt idx="9">
                  <c:v> 66,5 </c:v>
                </c:pt>
                <c:pt idx="10">
                  <c:v> 73,2 </c:v>
                </c:pt>
                <c:pt idx="11">
                  <c:v> 79,8 </c:v>
                </c:pt>
                <c:pt idx="12">
                  <c:v> 86,5 </c:v>
                </c:pt>
                <c:pt idx="13">
                  <c:v> 93,1 </c:v>
                </c:pt>
                <c:pt idx="14">
                  <c:v> 99,8 </c:v>
                </c:pt>
                <c:pt idx="15">
                  <c:v> 106,4 </c:v>
                </c:pt>
                <c:pt idx="16">
                  <c:v> 113,1 </c:v>
                </c:pt>
                <c:pt idx="17">
                  <c:v> 119,7 </c:v>
                </c:pt>
                <c:pt idx="18">
                  <c:v> 126,4 </c:v>
                </c:pt>
                <c:pt idx="19">
                  <c:v> 133,0 </c:v>
                </c:pt>
                <c:pt idx="20">
                  <c:v> 139,7 </c:v>
                </c:pt>
                <c:pt idx="21">
                  <c:v> 146,3 </c:v>
                </c:pt>
                <c:pt idx="22">
                  <c:v> 153,0 </c:v>
                </c:pt>
                <c:pt idx="23">
                  <c:v> 159,7 </c:v>
                </c:pt>
                <c:pt idx="24">
                  <c:v> 166,3 </c:v>
                </c:pt>
                <c:pt idx="25">
                  <c:v> 173,0 </c:v>
                </c:pt>
                <c:pt idx="26">
                  <c:v> 179,6 </c:v>
                </c:pt>
                <c:pt idx="27">
                  <c:v> 186,3 </c:v>
                </c:pt>
                <c:pt idx="28">
                  <c:v> 192,9 </c:v>
                </c:pt>
                <c:pt idx="29">
                  <c:v> 199,6 </c:v>
                </c:pt>
                <c:pt idx="30">
                  <c:v> 206,2 </c:v>
                </c:pt>
                <c:pt idx="31">
                  <c:v> 212,9 </c:v>
                </c:pt>
                <c:pt idx="32">
                  <c:v> 219,5 </c:v>
                </c:pt>
                <c:pt idx="33">
                  <c:v> 226,2 </c:v>
                </c:pt>
                <c:pt idx="34">
                  <c:v> 232,8 </c:v>
                </c:pt>
                <c:pt idx="35">
                  <c:v> 239,5 </c:v>
                </c:pt>
                <c:pt idx="36">
                  <c:v> 246,1 </c:v>
                </c:pt>
                <c:pt idx="37">
                  <c:v> 252,8 </c:v>
                </c:pt>
                <c:pt idx="38">
                  <c:v> 259,4 </c:v>
                </c:pt>
                <c:pt idx="39">
                  <c:v> 266,1 </c:v>
                </c:pt>
                <c:pt idx="40">
                  <c:v> 272,7 </c:v>
                </c:pt>
                <c:pt idx="41">
                  <c:v> 279,4 </c:v>
                </c:pt>
                <c:pt idx="42">
                  <c:v> 286,0 </c:v>
                </c:pt>
                <c:pt idx="43">
                  <c:v> 292,7 </c:v>
                </c:pt>
                <c:pt idx="44">
                  <c:v> 299,3 </c:v>
                </c:pt>
                <c:pt idx="45">
                  <c:v> 306,0 </c:v>
                </c:pt>
                <c:pt idx="46">
                  <c:v> 312,7 </c:v>
                </c:pt>
                <c:pt idx="47">
                  <c:v> 319,3 </c:v>
                </c:pt>
                <c:pt idx="48">
                  <c:v> 326,0 </c:v>
                </c:pt>
                <c:pt idx="49">
                  <c:v> 332,6 </c:v>
                </c:pt>
                <c:pt idx="50">
                  <c:v> 339,3 </c:v>
                </c:pt>
                <c:pt idx="51">
                  <c:v> 345,9 </c:v>
                </c:pt>
                <c:pt idx="52">
                  <c:v> 352,6 </c:v>
                </c:pt>
                <c:pt idx="53">
                  <c:v> 359,2 </c:v>
                </c:pt>
                <c:pt idx="54">
                  <c:v> 365,9 </c:v>
                </c:pt>
                <c:pt idx="55">
                  <c:v> 372,5 </c:v>
                </c:pt>
                <c:pt idx="56">
                  <c:v> 379,2 </c:v>
                </c:pt>
                <c:pt idx="57">
                  <c:v> 385,8 </c:v>
                </c:pt>
                <c:pt idx="58">
                  <c:v> 392,5 </c:v>
                </c:pt>
                <c:pt idx="59">
                  <c:v> 399,1 </c:v>
                </c:pt>
                <c:pt idx="60">
                  <c:v> 405,8 </c:v>
                </c:pt>
                <c:pt idx="61">
                  <c:v> 412,4 </c:v>
                </c:pt>
                <c:pt idx="62">
                  <c:v> 419,1 </c:v>
                </c:pt>
                <c:pt idx="63">
                  <c:v> 425,7 </c:v>
                </c:pt>
                <c:pt idx="64">
                  <c:v> 432,4 </c:v>
                </c:pt>
                <c:pt idx="65">
                  <c:v>Mer</c:v>
                </c:pt>
              </c:strCache>
            </c:strRef>
          </c:cat>
          <c:val>
            <c:numRef>
              <c:f>'Monte Carlo Histo'!$B$2:$B$67</c:f>
              <c:numCache>
                <c:formatCode>General</c:formatCode>
                <c:ptCount val="66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9</c:v>
                </c:pt>
                <c:pt idx="10">
                  <c:v>41</c:v>
                </c:pt>
                <c:pt idx="11">
                  <c:v>112</c:v>
                </c:pt>
                <c:pt idx="12">
                  <c:v>231</c:v>
                </c:pt>
                <c:pt idx="13">
                  <c:v>355</c:v>
                </c:pt>
                <c:pt idx="14">
                  <c:v>442</c:v>
                </c:pt>
                <c:pt idx="15">
                  <c:v>558</c:v>
                </c:pt>
                <c:pt idx="16">
                  <c:v>623</c:v>
                </c:pt>
                <c:pt idx="17">
                  <c:v>659</c:v>
                </c:pt>
                <c:pt idx="18">
                  <c:v>637</c:v>
                </c:pt>
                <c:pt idx="19">
                  <c:v>623</c:v>
                </c:pt>
                <c:pt idx="20">
                  <c:v>561</c:v>
                </c:pt>
                <c:pt idx="21">
                  <c:v>576</c:v>
                </c:pt>
                <c:pt idx="22">
                  <c:v>488</c:v>
                </c:pt>
                <c:pt idx="23">
                  <c:v>427</c:v>
                </c:pt>
                <c:pt idx="24">
                  <c:v>382</c:v>
                </c:pt>
                <c:pt idx="25">
                  <c:v>371</c:v>
                </c:pt>
                <c:pt idx="26">
                  <c:v>327</c:v>
                </c:pt>
                <c:pt idx="27">
                  <c:v>261</c:v>
                </c:pt>
                <c:pt idx="28">
                  <c:v>252</c:v>
                </c:pt>
                <c:pt idx="29">
                  <c:v>202</c:v>
                </c:pt>
                <c:pt idx="30">
                  <c:v>162</c:v>
                </c:pt>
                <c:pt idx="31">
                  <c:v>171</c:v>
                </c:pt>
                <c:pt idx="32">
                  <c:v>166</c:v>
                </c:pt>
                <c:pt idx="33">
                  <c:v>151</c:v>
                </c:pt>
                <c:pt idx="34">
                  <c:v>93</c:v>
                </c:pt>
                <c:pt idx="35">
                  <c:v>120</c:v>
                </c:pt>
                <c:pt idx="36">
                  <c:v>75</c:v>
                </c:pt>
                <c:pt idx="37">
                  <c:v>78</c:v>
                </c:pt>
                <c:pt idx="38">
                  <c:v>69</c:v>
                </c:pt>
                <c:pt idx="39">
                  <c:v>70</c:v>
                </c:pt>
                <c:pt idx="40">
                  <c:v>69</c:v>
                </c:pt>
                <c:pt idx="41">
                  <c:v>58</c:v>
                </c:pt>
                <c:pt idx="42">
                  <c:v>45</c:v>
                </c:pt>
                <c:pt idx="43">
                  <c:v>35</c:v>
                </c:pt>
                <c:pt idx="44">
                  <c:v>45</c:v>
                </c:pt>
                <c:pt idx="45">
                  <c:v>25</c:v>
                </c:pt>
                <c:pt idx="46">
                  <c:v>30</c:v>
                </c:pt>
                <c:pt idx="47">
                  <c:v>31</c:v>
                </c:pt>
                <c:pt idx="48">
                  <c:v>17</c:v>
                </c:pt>
                <c:pt idx="49">
                  <c:v>30</c:v>
                </c:pt>
                <c:pt idx="50">
                  <c:v>25</c:v>
                </c:pt>
                <c:pt idx="51">
                  <c:v>15</c:v>
                </c:pt>
                <c:pt idx="52">
                  <c:v>15</c:v>
                </c:pt>
                <c:pt idx="53">
                  <c:v>19</c:v>
                </c:pt>
                <c:pt idx="54">
                  <c:v>7</c:v>
                </c:pt>
                <c:pt idx="55">
                  <c:v>12</c:v>
                </c:pt>
                <c:pt idx="56">
                  <c:v>19</c:v>
                </c:pt>
                <c:pt idx="57">
                  <c:v>11</c:v>
                </c:pt>
                <c:pt idx="58">
                  <c:v>11</c:v>
                </c:pt>
                <c:pt idx="59">
                  <c:v>4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7</c:v>
                </c:pt>
                <c:pt idx="64">
                  <c:v>5</c:v>
                </c:pt>
                <c:pt idx="65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E-B545-8BEC-EA1A5991F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374272848"/>
        <c:axId val="355119152"/>
      </c:barChart>
      <c:catAx>
        <c:axId val="37427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Intervall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55119152"/>
        <c:crosses val="autoZero"/>
        <c:auto val="1"/>
        <c:lblAlgn val="ctr"/>
        <c:lblOffset val="100"/>
        <c:noMultiLvlLbl val="0"/>
      </c:catAx>
      <c:valAx>
        <c:axId val="35511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427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437172</xdr:colOff>
      <xdr:row>3</xdr:row>
      <xdr:rowOff>53079</xdr:rowOff>
    </xdr:from>
    <xdr:to>
      <xdr:col>22</xdr:col>
      <xdr:colOff>466479</xdr:colOff>
      <xdr:row>17</xdr:row>
      <xdr:rowOff>158586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372045</xdr:colOff>
      <xdr:row>18</xdr:row>
      <xdr:rowOff>118208</xdr:rowOff>
    </xdr:from>
    <xdr:to>
      <xdr:col>22</xdr:col>
      <xdr:colOff>401352</xdr:colOff>
      <xdr:row>33</xdr:row>
      <xdr:rowOff>20190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119673</xdr:colOff>
      <xdr:row>3</xdr:row>
      <xdr:rowOff>150773</xdr:rowOff>
    </xdr:from>
    <xdr:to>
      <xdr:col>29</xdr:col>
      <xdr:colOff>148981</xdr:colOff>
      <xdr:row>18</xdr:row>
      <xdr:rowOff>60896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241788</xdr:colOff>
      <xdr:row>18</xdr:row>
      <xdr:rowOff>167054</xdr:rowOff>
    </xdr:from>
    <xdr:to>
      <xdr:col>29</xdr:col>
      <xdr:colOff>271096</xdr:colOff>
      <xdr:row>33</xdr:row>
      <xdr:rowOff>69036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396468</xdr:colOff>
      <xdr:row>34</xdr:row>
      <xdr:rowOff>28656</xdr:rowOff>
    </xdr:from>
    <xdr:to>
      <xdr:col>22</xdr:col>
      <xdr:colOff>425775</xdr:colOff>
      <xdr:row>48</xdr:row>
      <xdr:rowOff>150446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739530</xdr:colOff>
      <xdr:row>11</xdr:row>
      <xdr:rowOff>99103</xdr:rowOff>
    </xdr:from>
    <xdr:ext cx="65" cy="172227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516966" y="21397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743298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Sylinder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754402" y="2778803"/>
              <a:ext cx="1743298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nb-N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e>
                      <m:sub>
                        <m:r>
                          <a:rPr lang="nb-NO" sz="1100" b="1" i="1">
                            <a:latin typeface="Cambria Math" panose="02040503050406030204" pitchFamily="18" charset="0"/>
                          </a:rPr>
                          <m:t>𝒆</m:t>
                        </m:r>
                      </m:sub>
                    </m:sSub>
                    <m:r>
                      <a:rPr lang="nb-NO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nb-N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1" i="1">
                            <a:latin typeface="Cambria Math" panose="02040503050406030204" pitchFamily="18" charset="0"/>
                          </a:rPr>
                          <m:t>𝒓</m:t>
                        </m:r>
                      </m:e>
                      <m:sub>
                        <m:r>
                          <a:rPr lang="nb-NO" sz="1100" b="1" i="1">
                            <a:latin typeface="Cambria Math" panose="02040503050406030204" pitchFamily="18" charset="0"/>
                          </a:rPr>
                          <m:t>𝒇</m:t>
                        </m:r>
                      </m:sub>
                    </m:sSub>
                    <m:r>
                      <a:rPr lang="nb-NO" sz="1100" b="1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nb-N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𝜷</m:t>
                        </m:r>
                      </m:e>
                      <m:sub>
                        <m:r>
                          <a:rPr lang="nb-N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𝒆</m:t>
                        </m:r>
                      </m:sub>
                    </m:sSub>
                    <m:r>
                      <a:rPr lang="nb-N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∗[</m:t>
                    </m:r>
                    <m:r>
                      <a:rPr lang="nb-N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𝑬</m:t>
                    </m:r>
                    <m:d>
                      <m:dPr>
                        <m:ctrlPr>
                          <a:rPr lang="nb-N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nb-NO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b-NO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𝒓</m:t>
                            </m:r>
                          </m:e>
                          <m:sub>
                            <m:r>
                              <a:rPr lang="nb-NO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𝒎</m:t>
                            </m:r>
                          </m:sub>
                        </m:sSub>
                      </m:e>
                    </m:d>
                    <m:r>
                      <a:rPr lang="nb-N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nb-N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𝒓</m:t>
                        </m:r>
                      </m:e>
                      <m:sub>
                        <m:r>
                          <a:rPr lang="nb-N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𝒇</m:t>
                        </m:r>
                      </m:sub>
                    </m:sSub>
                    <m:r>
                      <a:rPr lang="nb-N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]</m:t>
                    </m:r>
                  </m:oMath>
                </m:oMathPara>
              </a14:m>
              <a:endParaRPr lang="nb-NO" sz="1100" b="1"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mc:Choice>
      <mc:Fallback xmlns="">
        <xdr:sp macro="" textlink="">
          <xdr:nvSpPr>
            <xdr:cNvPr id="3" name="TekstSylinder 2">
              <a:extLst>
                <a:ext uri="{FF2B5EF4-FFF2-40B4-BE49-F238E27FC236}">
                  <a16:creationId xmlns:a16="http://schemas.microsoft.com/office/drawing/2014/main" id="{D86FAC2A-CA4C-46E8-BB12-B0121F41AE0C}"/>
                </a:ext>
              </a:extLst>
            </xdr:cNvPr>
            <xdr:cNvSpPr txBox="1"/>
          </xdr:nvSpPr>
          <xdr:spPr>
            <a:xfrm>
              <a:off x="754402" y="2778803"/>
              <a:ext cx="1743298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nb-NO" sz="1100" b="1" i="0">
                  <a:latin typeface="Cambria Math" panose="02040503050406030204" pitchFamily="18" charset="0"/>
                </a:rPr>
                <a:t>𝒓_𝒆=𝒓_𝒇+</a:t>
              </a:r>
              <a:r>
                <a:rPr lang="nb-N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𝜷_𝒆∗[𝑬(𝒓_𝒎 )−𝒓_𝒇]</a:t>
              </a:r>
              <a:endParaRPr lang="nb-NO" sz="1100" b="1">
                <a:latin typeface="Calibri" panose="020F0502020204030204" pitchFamily="34" charset="0"/>
                <a:cs typeface="Calibri" panose="020F0502020204030204" pitchFamily="34" charset="0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10886</xdr:colOff>
          <xdr:row>12</xdr:row>
          <xdr:rowOff>38100</xdr:rowOff>
        </xdr:from>
        <xdr:to>
          <xdr:col>14</xdr:col>
          <xdr:colOff>1475014</xdr:colOff>
          <xdr:row>15</xdr:row>
          <xdr:rowOff>27214</xdr:rowOff>
        </xdr:to>
        <xdr:sp macro="" textlink="">
          <xdr:nvSpPr>
            <xdr:cNvPr id="14337" name="Button 1" descr="Run simulation&#10;&#10;&#10;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A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nb-NO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Run Simulation</a:t>
              </a:r>
            </a:p>
            <a:p>
              <a:pPr algn="ctr" rtl="0">
                <a:defRPr sz="1000"/>
              </a:pPr>
              <a:endParaRPr lang="nb-NO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963448</xdr:colOff>
      <xdr:row>1</xdr:row>
      <xdr:rowOff>76200</xdr:rowOff>
    </xdr:from>
    <xdr:to>
      <xdr:col>18</xdr:col>
      <xdr:colOff>355600</xdr:colOff>
      <xdr:row>33</xdr:row>
      <xdr:rowOff>43793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e/Documents/Skole/3.%20&#229;r/Finansiell%20analyse%20og%20verdsettelse/Eksamen/EKSAMEN%20VEDLEG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rebratli/Downloads/Exam-2020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 flow"/>
      <sheetName val="Ratios"/>
      <sheetName val="Cost of capital"/>
      <sheetName val="PV-Valuation"/>
      <sheetName val="Relative valuation"/>
      <sheetName val="Accounting quality"/>
      <sheetName val="Beta"/>
      <sheetName val="Growth and Profitability "/>
      <sheetName val="Liquidity risk analysis"/>
    </sheetNames>
    <sheetDataSet>
      <sheetData sheetId="0">
        <row r="4">
          <cell r="J4">
            <v>3210548</v>
          </cell>
          <cell r="K4">
            <v>4224340</v>
          </cell>
          <cell r="L4">
            <v>4937798</v>
          </cell>
          <cell r="M4">
            <v>5080806</v>
          </cell>
          <cell r="N4">
            <v>5586670</v>
          </cell>
        </row>
      </sheetData>
      <sheetData sheetId="1">
        <row r="29">
          <cell r="AF29">
            <v>2047017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-2020_2"/>
    </sheetNames>
    <definedNames>
      <definedName name="MonteCarloSim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G53"/>
  <sheetViews>
    <sheetView tabSelected="1" topLeftCell="C1" zoomScale="75" workbookViewId="0">
      <selection activeCell="G11" sqref="G11"/>
    </sheetView>
  </sheetViews>
  <sheetFormatPr defaultColWidth="11.07421875" defaultRowHeight="14.6"/>
  <cols>
    <col min="3" max="3" width="27.3046875" customWidth="1"/>
    <col min="4" max="4" width="19.84375" customWidth="1"/>
    <col min="5" max="5" width="15.69140625" customWidth="1"/>
    <col min="6" max="6" width="18.69140625" customWidth="1"/>
    <col min="7" max="7" width="18.84375" customWidth="1"/>
    <col min="8" max="8" width="20" customWidth="1"/>
    <col min="9" max="9" width="12.15234375" bestFit="1" customWidth="1"/>
    <col min="10" max="10" width="36.15234375" customWidth="1"/>
    <col min="11" max="11" width="16.15234375" customWidth="1"/>
    <col min="12" max="12" width="14.3046875" customWidth="1"/>
    <col min="13" max="13" width="12.84375" customWidth="1"/>
    <col min="14" max="14" width="13.15234375" customWidth="1"/>
    <col min="15" max="15" width="14.15234375" customWidth="1"/>
    <col min="16" max="20" width="12.3046875" bestFit="1" customWidth="1"/>
    <col min="24" max="24" width="17.4609375" customWidth="1"/>
    <col min="25" max="25" width="14.3046875" customWidth="1"/>
    <col min="26" max="26" width="12.15234375" customWidth="1"/>
    <col min="27" max="27" width="11" bestFit="1" customWidth="1"/>
    <col min="28" max="29" width="12.15234375" bestFit="1" customWidth="1"/>
    <col min="30" max="30" width="11" bestFit="1" customWidth="1"/>
  </cols>
  <sheetData>
    <row r="1" spans="3:33">
      <c r="W1" s="6"/>
      <c r="X1" s="6"/>
      <c r="Y1" s="6"/>
      <c r="Z1" s="6"/>
      <c r="AA1" s="6"/>
      <c r="AB1" s="6"/>
      <c r="AC1" s="6"/>
      <c r="AD1" s="6"/>
    </row>
    <row r="2" spans="3:33" ht="15.9">
      <c r="C2" s="666" t="s">
        <v>24</v>
      </c>
      <c r="D2" s="667"/>
      <c r="E2" s="667"/>
      <c r="F2" s="667"/>
      <c r="G2" s="667"/>
      <c r="H2" s="668"/>
      <c r="J2" s="666" t="s">
        <v>16</v>
      </c>
      <c r="K2" s="667"/>
      <c r="L2" s="667"/>
      <c r="M2" s="667"/>
      <c r="N2" s="667"/>
      <c r="O2" s="668"/>
      <c r="P2" s="234"/>
      <c r="Q2" s="234"/>
      <c r="R2" s="234"/>
      <c r="S2" s="234"/>
      <c r="T2" s="234"/>
      <c r="W2" s="6"/>
      <c r="X2" s="117"/>
      <c r="Y2" s="117"/>
      <c r="Z2" s="117"/>
      <c r="AA2" s="117"/>
      <c r="AB2" s="117"/>
      <c r="AC2" s="117"/>
      <c r="AD2" s="6"/>
    </row>
    <row r="3" spans="3:33" ht="15.55" customHeight="1">
      <c r="C3" s="219" t="s">
        <v>340</v>
      </c>
      <c r="D3" s="174">
        <v>2016</v>
      </c>
      <c r="E3" s="198">
        <v>2017</v>
      </c>
      <c r="F3" s="198">
        <v>2018</v>
      </c>
      <c r="G3" s="198">
        <v>2019</v>
      </c>
      <c r="H3" s="199">
        <v>2020</v>
      </c>
      <c r="J3" s="171" t="s">
        <v>340</v>
      </c>
      <c r="K3" s="174">
        <v>2016</v>
      </c>
      <c r="L3" s="174">
        <v>2017</v>
      </c>
      <c r="M3" s="174">
        <v>2018</v>
      </c>
      <c r="N3" s="174">
        <v>2019</v>
      </c>
      <c r="O3" s="175">
        <v>2020</v>
      </c>
      <c r="P3" s="235"/>
      <c r="Q3" s="235"/>
      <c r="R3" s="235"/>
      <c r="S3" s="235"/>
      <c r="T3" s="235"/>
      <c r="W3" s="6"/>
      <c r="X3" s="117"/>
      <c r="Y3" s="37"/>
      <c r="Z3" s="37"/>
      <c r="AA3" s="37"/>
      <c r="AB3" s="37"/>
      <c r="AC3" s="37"/>
      <c r="AD3" s="6"/>
    </row>
    <row r="4" spans="3:33" ht="15.9">
      <c r="C4" s="200" t="s">
        <v>0</v>
      </c>
      <c r="D4" s="201">
        <v>1293932</v>
      </c>
      <c r="E4" s="201">
        <v>1381675</v>
      </c>
      <c r="F4" s="201">
        <v>1466729</v>
      </c>
      <c r="G4" s="201">
        <v>2342180</v>
      </c>
      <c r="H4" s="202">
        <v>2994658</v>
      </c>
      <c r="J4" s="222" t="s">
        <v>0</v>
      </c>
      <c r="K4" s="223">
        <f t="shared" ref="K4:O5" si="0">D6</f>
        <v>1295536</v>
      </c>
      <c r="L4" s="223">
        <f t="shared" si="0"/>
        <v>1382342</v>
      </c>
      <c r="M4" s="223">
        <f t="shared" si="0"/>
        <v>1467064</v>
      </c>
      <c r="N4" s="223">
        <f t="shared" si="0"/>
        <v>2344263</v>
      </c>
      <c r="O4" s="239">
        <f t="shared" si="0"/>
        <v>2996351</v>
      </c>
      <c r="P4" s="236"/>
      <c r="Q4" s="236"/>
      <c r="R4" s="236"/>
      <c r="S4" s="236"/>
      <c r="T4" s="236"/>
      <c r="W4" s="6"/>
      <c r="X4" s="117"/>
      <c r="Y4" s="37"/>
      <c r="Z4" s="37"/>
      <c r="AA4" s="37"/>
      <c r="AB4" s="37"/>
      <c r="AC4" s="37"/>
      <c r="AD4" s="6"/>
    </row>
    <row r="5" spans="3:33" ht="15.9">
      <c r="C5" s="126" t="s">
        <v>23</v>
      </c>
      <c r="D5" s="201">
        <v>1604</v>
      </c>
      <c r="E5" s="201">
        <v>667</v>
      </c>
      <c r="F5" s="201">
        <v>336</v>
      </c>
      <c r="G5" s="201">
        <v>2082</v>
      </c>
      <c r="H5" s="203">
        <v>1693</v>
      </c>
      <c r="J5" s="200" t="s">
        <v>1</v>
      </c>
      <c r="K5" s="128">
        <f t="shared" si="0"/>
        <v>-515299</v>
      </c>
      <c r="L5" s="128">
        <f t="shared" si="0"/>
        <v>-547627</v>
      </c>
      <c r="M5" s="128">
        <f t="shared" si="0"/>
        <v>-573230</v>
      </c>
      <c r="N5" s="128">
        <f t="shared" si="0"/>
        <v>-925666</v>
      </c>
      <c r="O5" s="129">
        <f t="shared" si="0"/>
        <v>-1128690</v>
      </c>
      <c r="P5" s="237"/>
      <c r="Q5" s="237"/>
      <c r="R5" s="237"/>
      <c r="S5" s="237"/>
      <c r="T5" s="237"/>
      <c r="W5" s="6"/>
      <c r="X5" s="117"/>
      <c r="Y5" s="37"/>
      <c r="Z5" s="37"/>
      <c r="AA5" s="37"/>
      <c r="AB5" s="37"/>
      <c r="AC5" s="37"/>
      <c r="AD5" s="6"/>
    </row>
    <row r="6" spans="3:33" ht="15.9">
      <c r="C6" s="211" t="s">
        <v>17</v>
      </c>
      <c r="D6" s="212">
        <f>D4+D5</f>
        <v>1295536</v>
      </c>
      <c r="E6" s="212">
        <f>E4+E5</f>
        <v>1382342</v>
      </c>
      <c r="F6" s="212">
        <f>F4+F5-1</f>
        <v>1467064</v>
      </c>
      <c r="G6" s="212">
        <f>G4+G5+1</f>
        <v>2344263</v>
      </c>
      <c r="H6" s="213">
        <f>H4+H5</f>
        <v>2996351</v>
      </c>
      <c r="J6" s="98" t="s">
        <v>2</v>
      </c>
      <c r="K6" s="233">
        <f>K4+K5</f>
        <v>780237</v>
      </c>
      <c r="L6" s="233">
        <f>L4+L5</f>
        <v>834715</v>
      </c>
      <c r="M6" s="233">
        <f>M4+M5</f>
        <v>893834</v>
      </c>
      <c r="N6" s="233">
        <f>N4+N5</f>
        <v>1418597</v>
      </c>
      <c r="O6" s="224">
        <f>O4+O5</f>
        <v>1867661</v>
      </c>
      <c r="P6" s="236"/>
      <c r="Q6" s="236"/>
      <c r="R6" s="236"/>
      <c r="S6" s="236"/>
      <c r="T6" s="236"/>
      <c r="W6" s="6"/>
      <c r="X6" s="117"/>
      <c r="Y6" s="37"/>
      <c r="Z6" s="37"/>
      <c r="AA6" s="37"/>
      <c r="AB6" s="37"/>
      <c r="AC6" s="37"/>
      <c r="AD6" s="6"/>
    </row>
    <row r="7" spans="3:33" ht="15.9">
      <c r="C7" s="8" t="s">
        <v>1</v>
      </c>
      <c r="D7" s="205">
        <v>-515299</v>
      </c>
      <c r="E7" s="205">
        <v>-547627</v>
      </c>
      <c r="F7" s="206">
        <v>-573230</v>
      </c>
      <c r="G7" s="205">
        <f>-1019790+94124</f>
        <v>-925666</v>
      </c>
      <c r="H7" s="207">
        <v>-1128690</v>
      </c>
      <c r="J7" s="200" t="s">
        <v>3</v>
      </c>
      <c r="K7" s="128">
        <f>D9</f>
        <v>-289547</v>
      </c>
      <c r="L7" s="128">
        <f>E9</f>
        <v>-306471</v>
      </c>
      <c r="M7" s="128">
        <f>F9</f>
        <v>-310898</v>
      </c>
      <c r="N7" s="128">
        <f>G9</f>
        <v>-503494</v>
      </c>
      <c r="O7" s="129">
        <f>H9</f>
        <v>-607119</v>
      </c>
      <c r="P7" s="37"/>
      <c r="Q7" s="37"/>
      <c r="R7" s="37"/>
      <c r="S7" s="37"/>
      <c r="T7" s="37"/>
      <c r="W7" s="6"/>
      <c r="X7" s="117"/>
      <c r="Y7" s="37"/>
      <c r="Z7" s="37"/>
      <c r="AA7" s="37"/>
      <c r="AB7" s="37"/>
      <c r="AC7" s="37"/>
      <c r="AD7" s="6"/>
    </row>
    <row r="8" spans="3:33">
      <c r="C8" s="211" t="s">
        <v>2</v>
      </c>
      <c r="D8" s="212">
        <f>D6+D7</f>
        <v>780237</v>
      </c>
      <c r="E8" s="212">
        <f>E6+E7</f>
        <v>834715</v>
      </c>
      <c r="F8" s="212">
        <f>F6+F7</f>
        <v>893834</v>
      </c>
      <c r="G8" s="212">
        <f>G6+G7</f>
        <v>1418597</v>
      </c>
      <c r="H8" s="213">
        <f>H6+H7</f>
        <v>1867661</v>
      </c>
      <c r="J8" s="8" t="s">
        <v>4</v>
      </c>
      <c r="K8" s="146">
        <f>D11</f>
        <v>-289627</v>
      </c>
      <c r="L8" s="146">
        <f>E11</f>
        <v>-313716</v>
      </c>
      <c r="M8" s="146">
        <f>F11</f>
        <v>-332730</v>
      </c>
      <c r="N8" s="146">
        <f>G11</f>
        <v>-348153</v>
      </c>
      <c r="O8" s="227">
        <f>H11</f>
        <v>-436973</v>
      </c>
      <c r="P8" s="37"/>
      <c r="Q8" s="37"/>
      <c r="R8" s="37"/>
      <c r="S8" s="37"/>
      <c r="T8" s="37"/>
      <c r="W8" s="6"/>
      <c r="X8" s="240"/>
      <c r="Y8" s="240"/>
      <c r="Z8" s="173"/>
      <c r="AA8" s="6"/>
      <c r="AB8" s="6"/>
      <c r="AC8" s="6"/>
      <c r="AD8" s="6"/>
      <c r="AE8" s="55"/>
      <c r="AF8" s="55"/>
      <c r="AG8" s="55"/>
    </row>
    <row r="9" spans="3:33">
      <c r="C9" s="200" t="s">
        <v>3</v>
      </c>
      <c r="D9" s="201">
        <v>-289547</v>
      </c>
      <c r="E9" s="201">
        <v>-306471</v>
      </c>
      <c r="F9" s="208">
        <v>-310898</v>
      </c>
      <c r="G9" s="201">
        <v>-503494</v>
      </c>
      <c r="H9" s="203">
        <v>-607119</v>
      </c>
      <c r="J9" s="98" t="s">
        <v>5</v>
      </c>
      <c r="K9" s="233">
        <f>K5+K7+K8</f>
        <v>-1094473</v>
      </c>
      <c r="L9" s="233">
        <f>L5+L7+L8</f>
        <v>-1167814</v>
      </c>
      <c r="M9" s="233">
        <f>M5+M7+M8</f>
        <v>-1216858</v>
      </c>
      <c r="N9" s="233">
        <f>N5+N7+N8</f>
        <v>-1777313</v>
      </c>
      <c r="O9" s="224">
        <f>O5+O7+O8</f>
        <v>-2172782</v>
      </c>
      <c r="P9" s="236"/>
      <c r="Q9" s="236"/>
      <c r="R9" s="236"/>
      <c r="S9" s="236"/>
      <c r="T9" s="236"/>
      <c r="W9" s="6"/>
      <c r="X9" s="6"/>
      <c r="Y9" s="6"/>
      <c r="Z9" s="6"/>
      <c r="AA9" s="6"/>
      <c r="AB9" s="6"/>
      <c r="AC9" s="6"/>
      <c r="AD9" s="6"/>
      <c r="AE9" s="55"/>
      <c r="AF9" s="55"/>
      <c r="AG9" s="55"/>
    </row>
    <row r="10" spans="3:33">
      <c r="C10" s="126" t="s">
        <v>7</v>
      </c>
      <c r="D10" s="201">
        <v>-28953</v>
      </c>
      <c r="E10" s="201">
        <v>-34839</v>
      </c>
      <c r="F10" s="208">
        <v>-37096</v>
      </c>
      <c r="G10" s="208">
        <v>-264974</v>
      </c>
      <c r="H10" s="203">
        <v>-340840</v>
      </c>
      <c r="J10" s="200"/>
      <c r="K10" s="128">
        <f>D15</f>
        <v>0</v>
      </c>
      <c r="L10" s="128">
        <f>E15</f>
        <v>0</v>
      </c>
      <c r="M10" s="128">
        <f>F15</f>
        <v>0</v>
      </c>
      <c r="N10" s="128">
        <f>G15</f>
        <v>0</v>
      </c>
      <c r="O10" s="129">
        <f>H15</f>
        <v>0</v>
      </c>
      <c r="P10" s="37"/>
      <c r="Q10" s="37"/>
      <c r="R10" s="37"/>
      <c r="S10" s="37"/>
      <c r="T10" s="37"/>
      <c r="W10" s="6"/>
      <c r="X10" s="6"/>
      <c r="Y10" s="6"/>
      <c r="Z10" s="6"/>
      <c r="AA10" s="6"/>
      <c r="AB10" s="6"/>
      <c r="AC10" s="6"/>
      <c r="AD10" s="6"/>
      <c r="AE10" s="55"/>
      <c r="AF10" s="55"/>
      <c r="AG10" s="55"/>
    </row>
    <row r="11" spans="3:33">
      <c r="C11" s="8" t="s">
        <v>4</v>
      </c>
      <c r="D11" s="205">
        <v>-289627</v>
      </c>
      <c r="E11" s="205">
        <v>-313716</v>
      </c>
      <c r="F11" s="206">
        <v>-332730</v>
      </c>
      <c r="G11" s="205">
        <v>-348153</v>
      </c>
      <c r="H11" s="207">
        <v>-436973</v>
      </c>
      <c r="J11" s="200"/>
      <c r="K11" s="128">
        <f t="shared" ref="K11:O12" si="1">D13</f>
        <v>0</v>
      </c>
      <c r="L11" s="128">
        <f t="shared" si="1"/>
        <v>0</v>
      </c>
      <c r="M11" s="128">
        <f t="shared" si="1"/>
        <v>0</v>
      </c>
      <c r="N11" s="128">
        <f t="shared" si="1"/>
        <v>0</v>
      </c>
      <c r="O11" s="129">
        <f t="shared" si="1"/>
        <v>0</v>
      </c>
      <c r="P11" s="37"/>
      <c r="Q11" s="37"/>
      <c r="R11" s="37"/>
      <c r="S11" s="37"/>
      <c r="T11" s="37"/>
      <c r="W11" s="6"/>
      <c r="X11" s="6"/>
      <c r="Y11" s="6"/>
      <c r="Z11" s="6"/>
      <c r="AA11" s="6"/>
      <c r="AB11" s="6"/>
      <c r="AC11" s="6"/>
      <c r="AD11" s="6"/>
      <c r="AE11" s="55"/>
      <c r="AF11" s="55"/>
      <c r="AG11" s="55"/>
    </row>
    <row r="12" spans="3:33" ht="15.9">
      <c r="C12" s="211" t="s">
        <v>18</v>
      </c>
      <c r="D12" s="214">
        <f>D8+D9+D10+D11</f>
        <v>172110</v>
      </c>
      <c r="E12" s="214">
        <f>E8+E9+E10+E11</f>
        <v>179689</v>
      </c>
      <c r="F12" s="214">
        <f>F8+F9+F10+F11</f>
        <v>213110</v>
      </c>
      <c r="G12" s="214">
        <f>G8+G9+G10+G11-1</f>
        <v>301975</v>
      </c>
      <c r="H12" s="215">
        <f>H8+H9+H10+H11+1</f>
        <v>482730</v>
      </c>
      <c r="J12" s="200"/>
      <c r="K12" s="128">
        <f t="shared" si="1"/>
        <v>0</v>
      </c>
      <c r="L12" s="128">
        <f t="shared" si="1"/>
        <v>0</v>
      </c>
      <c r="M12" s="128">
        <f t="shared" si="1"/>
        <v>0</v>
      </c>
      <c r="N12" s="128">
        <f t="shared" si="1"/>
        <v>0</v>
      </c>
      <c r="O12" s="129">
        <f t="shared" si="1"/>
        <v>0</v>
      </c>
      <c r="P12" s="37"/>
      <c r="Q12" s="37"/>
      <c r="R12" s="37"/>
      <c r="S12" s="37"/>
      <c r="T12" s="37"/>
      <c r="W12" s="6"/>
      <c r="X12" s="116"/>
      <c r="Y12" s="116"/>
      <c r="Z12" s="116"/>
      <c r="AA12" s="116"/>
      <c r="AB12" s="116"/>
      <c r="AC12" s="116"/>
      <c r="AD12" s="116"/>
      <c r="AE12" s="55"/>
      <c r="AF12" s="55"/>
      <c r="AG12" s="55"/>
    </row>
    <row r="13" spans="3:33" ht="15.9">
      <c r="C13" s="200"/>
      <c r="D13" s="201">
        <v>0</v>
      </c>
      <c r="E13" s="201">
        <v>0</v>
      </c>
      <c r="F13" s="208">
        <v>0</v>
      </c>
      <c r="G13" s="201">
        <v>0</v>
      </c>
      <c r="H13" s="203">
        <f>H41</f>
        <v>0</v>
      </c>
      <c r="J13" s="195" t="s">
        <v>6</v>
      </c>
      <c r="K13" s="225">
        <f>K4+K9+K10+K11+K12</f>
        <v>201063</v>
      </c>
      <c r="L13" s="225">
        <f>L4+L9+L10+L11+L12</f>
        <v>214528</v>
      </c>
      <c r="M13" s="225">
        <f>M4+M9+M10+M11+M12</f>
        <v>250206</v>
      </c>
      <c r="N13" s="225">
        <f>N4+N9+N10+N11+N12</f>
        <v>566950</v>
      </c>
      <c r="O13" s="226">
        <f>O4+O9+O10+O11+O12</f>
        <v>823569</v>
      </c>
      <c r="P13" s="236"/>
      <c r="Q13" s="236"/>
      <c r="R13" s="236"/>
      <c r="S13" s="236"/>
      <c r="T13" s="236"/>
      <c r="W13" s="6"/>
      <c r="X13" s="117"/>
      <c r="Y13" s="241"/>
      <c r="Z13" s="117"/>
      <c r="AA13" s="117"/>
      <c r="AB13" s="117"/>
      <c r="AC13" s="117"/>
      <c r="AD13" s="117"/>
      <c r="AE13" s="55"/>
      <c r="AF13" s="55"/>
      <c r="AG13" s="55"/>
    </row>
    <row r="14" spans="3:33" ht="15.9">
      <c r="C14" s="200"/>
      <c r="D14" s="201">
        <v>0</v>
      </c>
      <c r="E14" s="201">
        <v>0</v>
      </c>
      <c r="F14" s="208">
        <v>0</v>
      </c>
      <c r="G14" s="208">
        <v>0</v>
      </c>
      <c r="H14" s="203">
        <f>H42</f>
        <v>0</v>
      </c>
      <c r="J14" s="126" t="s">
        <v>7</v>
      </c>
      <c r="K14" s="128">
        <f>D10</f>
        <v>-28953</v>
      </c>
      <c r="L14" s="128">
        <f>E10</f>
        <v>-34839</v>
      </c>
      <c r="M14" s="128">
        <f>F10</f>
        <v>-37096</v>
      </c>
      <c r="N14" s="128">
        <f>G10</f>
        <v>-264974</v>
      </c>
      <c r="O14" s="129">
        <f>H10</f>
        <v>-340840</v>
      </c>
      <c r="P14" s="37"/>
      <c r="Q14" s="37"/>
      <c r="R14" s="37"/>
      <c r="S14" s="37"/>
      <c r="T14" s="37"/>
      <c r="W14" s="6"/>
      <c r="X14" s="117"/>
      <c r="Y14" s="118"/>
      <c r="Z14" s="37"/>
      <c r="AA14" s="37"/>
      <c r="AB14" s="37"/>
      <c r="AC14" s="37"/>
      <c r="AD14" s="37"/>
      <c r="AE14" s="55"/>
      <c r="AF14" s="55"/>
      <c r="AG14" s="55"/>
    </row>
    <row r="15" spans="3:33" ht="15.9">
      <c r="C15" s="8"/>
      <c r="D15" s="205">
        <v>0</v>
      </c>
      <c r="E15" s="205">
        <v>0</v>
      </c>
      <c r="F15" s="205">
        <v>0</v>
      </c>
      <c r="G15" s="205">
        <v>0</v>
      </c>
      <c r="H15" s="207">
        <f>H43</f>
        <v>0</v>
      </c>
      <c r="J15" s="195" t="s">
        <v>8</v>
      </c>
      <c r="K15" s="225">
        <f>D12</f>
        <v>172110</v>
      </c>
      <c r="L15" s="225">
        <f>E12</f>
        <v>179689</v>
      </c>
      <c r="M15" s="225">
        <f>F12</f>
        <v>213110</v>
      </c>
      <c r="N15" s="225">
        <f>G12</f>
        <v>301975</v>
      </c>
      <c r="O15" s="226">
        <f>H12</f>
        <v>482730</v>
      </c>
      <c r="P15" s="236"/>
      <c r="Q15" s="236"/>
      <c r="R15" s="236"/>
      <c r="S15" s="236"/>
      <c r="T15" s="236"/>
      <c r="W15" s="6"/>
      <c r="X15" s="242"/>
      <c r="Y15" s="119"/>
      <c r="Z15" s="120"/>
      <c r="AA15" s="120"/>
      <c r="AB15" s="120"/>
      <c r="AC15" s="120"/>
      <c r="AD15" s="120"/>
      <c r="AE15" s="55"/>
      <c r="AF15" s="55"/>
      <c r="AG15" s="55"/>
    </row>
    <row r="16" spans="3:33" ht="15.9">
      <c r="C16" s="211" t="s">
        <v>19</v>
      </c>
      <c r="D16" s="214">
        <f>D12+D13+D14+D15</f>
        <v>172110</v>
      </c>
      <c r="E16" s="214">
        <f>E12+E13+E14+E15</f>
        <v>179689</v>
      </c>
      <c r="F16" s="214">
        <f>F12+F13+F14+F15</f>
        <v>213110</v>
      </c>
      <c r="G16" s="214">
        <f>G12+G13+G14+G15</f>
        <v>301975</v>
      </c>
      <c r="H16" s="215">
        <f>H12+H13+H14+H15</f>
        <v>482730</v>
      </c>
      <c r="J16" s="200" t="s">
        <v>9</v>
      </c>
      <c r="K16" s="128">
        <f>D24</f>
        <v>-25413</v>
      </c>
      <c r="L16" s="128">
        <f>E24</f>
        <v>-25705</v>
      </c>
      <c r="M16" s="128">
        <f>F24</f>
        <v>-31609</v>
      </c>
      <c r="N16" s="128">
        <f>G24</f>
        <v>-53082</v>
      </c>
      <c r="O16" s="129">
        <f>H24</f>
        <v>-98196</v>
      </c>
      <c r="P16" s="37"/>
      <c r="Q16" s="37"/>
      <c r="R16" s="37"/>
      <c r="S16" s="37"/>
      <c r="T16" s="37"/>
      <c r="W16" s="6"/>
      <c r="X16" s="117"/>
      <c r="Y16" s="118"/>
      <c r="Z16" s="37"/>
      <c r="AA16" s="37"/>
      <c r="AB16" s="37"/>
      <c r="AC16" s="37"/>
      <c r="AD16" s="37"/>
      <c r="AE16" s="55"/>
      <c r="AF16" s="55"/>
      <c r="AG16" s="55"/>
    </row>
    <row r="17" spans="3:33" ht="15.9">
      <c r="C17" s="200"/>
      <c r="D17" s="462">
        <v>0</v>
      </c>
      <c r="E17" s="462">
        <v>0</v>
      </c>
      <c r="F17" s="463">
        <v>0</v>
      </c>
      <c r="G17" s="462">
        <v>0</v>
      </c>
      <c r="H17" s="464">
        <v>0</v>
      </c>
      <c r="J17" s="126" t="s">
        <v>10</v>
      </c>
      <c r="K17" s="128">
        <f>-(K25)</f>
        <v>-2787.4</v>
      </c>
      <c r="L17" s="128">
        <f>-(L25)</f>
        <v>-2784.98</v>
      </c>
      <c r="M17" s="128">
        <f>-(M25)</f>
        <v>-2811.16</v>
      </c>
      <c r="N17" s="128">
        <f>-(N25)</f>
        <v>-9007.4600000000009</v>
      </c>
      <c r="O17" s="129">
        <f>-(O25)</f>
        <v>-6255.92</v>
      </c>
      <c r="P17" s="37"/>
      <c r="Q17" s="37"/>
      <c r="R17" s="37"/>
      <c r="S17" s="37"/>
      <c r="T17" s="37"/>
      <c r="W17" s="6"/>
      <c r="X17" s="6"/>
      <c r="Y17" s="119"/>
      <c r="Z17" s="243"/>
      <c r="AA17" s="243"/>
      <c r="AB17" s="243"/>
      <c r="AC17" s="243"/>
      <c r="AD17" s="243"/>
      <c r="AE17" s="55"/>
      <c r="AF17" s="55"/>
      <c r="AG17" s="55"/>
    </row>
    <row r="18" spans="3:33" ht="15.9">
      <c r="C18" s="200"/>
      <c r="D18" s="462">
        <v>0</v>
      </c>
      <c r="E18" s="462">
        <v>0</v>
      </c>
      <c r="F18" s="462">
        <v>0</v>
      </c>
      <c r="G18" s="462">
        <v>0</v>
      </c>
      <c r="H18" s="464">
        <v>0</v>
      </c>
      <c r="J18" s="98" t="s">
        <v>11</v>
      </c>
      <c r="K18" s="233">
        <f>K16+K17</f>
        <v>-28200.400000000001</v>
      </c>
      <c r="L18" s="233">
        <f>L16+L17</f>
        <v>-28489.98</v>
      </c>
      <c r="M18" s="233">
        <f>M16+M17</f>
        <v>-34420.160000000003</v>
      </c>
      <c r="N18" s="233">
        <f>N16+N17</f>
        <v>-62089.46</v>
      </c>
      <c r="O18" s="224">
        <f>O16+O17</f>
        <v>-104451.92</v>
      </c>
      <c r="P18" s="236"/>
      <c r="Q18" s="236"/>
      <c r="R18" s="236"/>
      <c r="S18" s="236"/>
      <c r="T18" s="236"/>
      <c r="W18" s="6"/>
      <c r="X18" s="117"/>
      <c r="Y18" s="118"/>
      <c r="Z18" s="37"/>
      <c r="AA18" s="37"/>
      <c r="AB18" s="37"/>
      <c r="AC18" s="37"/>
      <c r="AD18" s="37"/>
      <c r="AE18" s="55"/>
      <c r="AF18" s="55"/>
      <c r="AG18" s="55"/>
    </row>
    <row r="19" spans="3:33" ht="15.9">
      <c r="C19" s="200" t="s">
        <v>13</v>
      </c>
      <c r="D19" s="201">
        <v>1008</v>
      </c>
      <c r="E19" s="201">
        <v>821</v>
      </c>
      <c r="F19" s="201">
        <v>1337</v>
      </c>
      <c r="G19" s="201">
        <v>9510</v>
      </c>
      <c r="H19" s="203">
        <v>32299</v>
      </c>
      <c r="J19" s="29" t="s">
        <v>12</v>
      </c>
      <c r="K19" s="228">
        <f>K15+K18</f>
        <v>143909.6</v>
      </c>
      <c r="L19" s="228">
        <f>L15+L18</f>
        <v>151199.01999999999</v>
      </c>
      <c r="M19" s="228">
        <f>M15+M18</f>
        <v>178689.84</v>
      </c>
      <c r="N19" s="228">
        <f>N15+N18</f>
        <v>239885.54</v>
      </c>
      <c r="O19" s="229">
        <f>O15+O18</f>
        <v>378278.08</v>
      </c>
      <c r="P19" s="236"/>
      <c r="Q19" s="236"/>
      <c r="R19" s="236"/>
      <c r="S19" s="236"/>
      <c r="T19" s="236"/>
      <c r="W19" s="6"/>
      <c r="X19" s="6"/>
      <c r="Y19" s="119"/>
      <c r="Z19" s="120"/>
      <c r="AA19" s="120"/>
      <c r="AB19" s="120"/>
      <c r="AC19" s="120"/>
      <c r="AD19" s="120"/>
      <c r="AE19" s="55"/>
      <c r="AF19" s="55"/>
      <c r="AG19" s="55"/>
    </row>
    <row r="20" spans="3:33" ht="15.9">
      <c r="C20" s="200"/>
      <c r="D20" s="201"/>
      <c r="E20" s="201"/>
      <c r="F20" s="208"/>
      <c r="G20" s="201"/>
      <c r="H20" s="203">
        <f>H48</f>
        <v>0</v>
      </c>
      <c r="J20" s="126"/>
      <c r="K20" s="128">
        <f>D17</f>
        <v>0</v>
      </c>
      <c r="L20" s="128">
        <f>E17</f>
        <v>0</v>
      </c>
      <c r="M20" s="128">
        <f>F17</f>
        <v>0</v>
      </c>
      <c r="N20" s="128">
        <f>G17</f>
        <v>0</v>
      </c>
      <c r="O20" s="129">
        <f>H17</f>
        <v>0</v>
      </c>
      <c r="P20" s="238"/>
      <c r="Q20" s="238"/>
      <c r="R20" s="238"/>
      <c r="S20" s="238"/>
      <c r="T20" s="238"/>
      <c r="W20" s="6"/>
      <c r="X20" s="117"/>
      <c r="Y20" s="118"/>
      <c r="Z20" s="37"/>
      <c r="AA20" s="37"/>
      <c r="AB20" s="37"/>
      <c r="AC20" s="37"/>
      <c r="AD20" s="37"/>
      <c r="AE20" s="55"/>
      <c r="AF20" s="55"/>
      <c r="AG20" s="55"/>
    </row>
    <row r="21" spans="3:33" ht="15.9">
      <c r="C21" s="8" t="s">
        <v>14</v>
      </c>
      <c r="D21" s="201">
        <v>-13678</v>
      </c>
      <c r="E21" s="201">
        <v>-13480</v>
      </c>
      <c r="F21" s="208">
        <v>-14115</v>
      </c>
      <c r="G21" s="206">
        <v>-50453</v>
      </c>
      <c r="H21" s="203">
        <v>-60735</v>
      </c>
      <c r="J21" s="126"/>
      <c r="K21" s="128">
        <v>0</v>
      </c>
      <c r="L21" s="128">
        <v>0</v>
      </c>
      <c r="M21" s="128">
        <v>0</v>
      </c>
      <c r="N21" s="128">
        <v>0</v>
      </c>
      <c r="O21" s="129">
        <v>0</v>
      </c>
      <c r="P21" s="37"/>
      <c r="Q21" s="37"/>
      <c r="R21" s="37"/>
      <c r="S21" s="37"/>
      <c r="T21" s="37"/>
      <c r="W21" s="6"/>
      <c r="X21" s="6"/>
      <c r="Y21" s="119"/>
      <c r="Z21" s="120"/>
      <c r="AA21" s="120"/>
      <c r="AB21" s="120"/>
      <c r="AC21" s="120"/>
      <c r="AD21" s="120"/>
      <c r="AE21" s="55"/>
      <c r="AF21" s="55"/>
      <c r="AG21" s="55"/>
    </row>
    <row r="22" spans="3:33" ht="15.9">
      <c r="C22" s="216" t="s">
        <v>20</v>
      </c>
      <c r="D22" s="217">
        <f>D19+D21</f>
        <v>-12670</v>
      </c>
      <c r="E22" s="217">
        <f>E19+E21</f>
        <v>-12659</v>
      </c>
      <c r="F22" s="217">
        <f>F19+F21</f>
        <v>-12778</v>
      </c>
      <c r="G22" s="217">
        <f>G19+G21</f>
        <v>-40943</v>
      </c>
      <c r="H22" s="218">
        <f>H19+H21+1</f>
        <v>-28435</v>
      </c>
      <c r="J22" s="126" t="s">
        <v>13</v>
      </c>
      <c r="K22" s="128">
        <f>D19</f>
        <v>1008</v>
      </c>
      <c r="L22" s="128">
        <f>E19</f>
        <v>821</v>
      </c>
      <c r="M22" s="128">
        <f>F19</f>
        <v>1337</v>
      </c>
      <c r="N22" s="128">
        <f>G19</f>
        <v>9510</v>
      </c>
      <c r="O22" s="129">
        <f>H19</f>
        <v>32299</v>
      </c>
      <c r="P22" s="37"/>
      <c r="Q22" s="37"/>
      <c r="R22" s="37"/>
      <c r="S22" s="37"/>
      <c r="T22" s="37"/>
      <c r="W22" s="6"/>
      <c r="X22" s="117"/>
      <c r="Y22" s="118"/>
      <c r="Z22" s="37"/>
      <c r="AA22" s="37"/>
      <c r="AB22" s="37"/>
      <c r="AC22" s="37"/>
      <c r="AD22" s="37"/>
      <c r="AE22" s="55"/>
      <c r="AF22" s="55"/>
      <c r="AG22" s="55"/>
    </row>
    <row r="23" spans="3:33" ht="15.9">
      <c r="C23" s="204" t="s">
        <v>21</v>
      </c>
      <c r="D23" s="209">
        <f>D16+D22</f>
        <v>159440</v>
      </c>
      <c r="E23" s="209">
        <f>E16+E22</f>
        <v>167030</v>
      </c>
      <c r="F23" s="209">
        <f>F16+F22</f>
        <v>200332</v>
      </c>
      <c r="G23" s="209">
        <f>G16+G22</f>
        <v>261032</v>
      </c>
      <c r="H23" s="210">
        <f>H16+H22</f>
        <v>454295</v>
      </c>
      <c r="J23" s="126"/>
      <c r="K23" s="128"/>
      <c r="L23" s="128"/>
      <c r="M23" s="128"/>
      <c r="N23" s="128"/>
      <c r="O23" s="129"/>
      <c r="P23" s="37"/>
      <c r="Q23" s="37"/>
      <c r="R23" s="37"/>
      <c r="S23" s="37"/>
      <c r="T23" s="37"/>
      <c r="W23" s="6"/>
      <c r="X23" s="6"/>
      <c r="Y23" s="119"/>
      <c r="Z23" s="120"/>
      <c r="AA23" s="120"/>
      <c r="AB23" s="120"/>
      <c r="AC23" s="120"/>
      <c r="AD23" s="120"/>
      <c r="AE23" s="55"/>
      <c r="AF23" s="55"/>
      <c r="AG23" s="55"/>
    </row>
    <row r="24" spans="3:33" ht="15.9">
      <c r="C24" s="8" t="s">
        <v>9</v>
      </c>
      <c r="D24" s="201">
        <v>-25413</v>
      </c>
      <c r="E24" s="201">
        <v>-25705</v>
      </c>
      <c r="F24" s="206">
        <v>-31609</v>
      </c>
      <c r="G24" s="206">
        <v>-53082</v>
      </c>
      <c r="H24" s="207">
        <v>-98196</v>
      </c>
      <c r="I24" s="15"/>
      <c r="J24" s="126" t="s">
        <v>14</v>
      </c>
      <c r="K24" s="128">
        <f>D21</f>
        <v>-13678</v>
      </c>
      <c r="L24" s="128">
        <f>E21</f>
        <v>-13480</v>
      </c>
      <c r="M24" s="128">
        <f>F21</f>
        <v>-14115</v>
      </c>
      <c r="N24" s="128">
        <f>G21</f>
        <v>-50453</v>
      </c>
      <c r="O24" s="129">
        <f>H21</f>
        <v>-60735</v>
      </c>
      <c r="P24" s="37"/>
      <c r="Q24" s="37"/>
      <c r="R24" s="37"/>
      <c r="S24" s="37"/>
      <c r="T24" s="37"/>
      <c r="W24" s="6"/>
      <c r="X24" s="119"/>
      <c r="Y24" s="6"/>
      <c r="Z24" s="6"/>
      <c r="AA24" s="6"/>
      <c r="AB24" s="6"/>
      <c r="AC24" s="6"/>
      <c r="AD24" s="6"/>
      <c r="AE24" s="55"/>
      <c r="AF24" s="55"/>
      <c r="AG24" s="55"/>
    </row>
    <row r="25" spans="3:33">
      <c r="C25" s="219" t="s">
        <v>22</v>
      </c>
      <c r="D25" s="220">
        <f>D23+D24</f>
        <v>134027</v>
      </c>
      <c r="E25" s="220">
        <f>E23+E24</f>
        <v>141325</v>
      </c>
      <c r="F25" s="220">
        <f>F23+F24</f>
        <v>168723</v>
      </c>
      <c r="G25" s="220">
        <f>G23+G24</f>
        <v>207950</v>
      </c>
      <c r="H25" s="221">
        <f>H23+H24-1</f>
        <v>356098</v>
      </c>
      <c r="I25" s="15"/>
      <c r="J25" s="126" t="s">
        <v>10</v>
      </c>
      <c r="K25" s="128">
        <f>-(K20+K21+K22+K23+K24)*K38</f>
        <v>2787.4</v>
      </c>
      <c r="L25" s="128">
        <f>-(L20+L21+L22+L23+L24)*L38</f>
        <v>2784.98</v>
      </c>
      <c r="M25" s="128">
        <f>-(M20+M21+M22+M23+M24)*M38</f>
        <v>2811.16</v>
      </c>
      <c r="N25" s="128">
        <f>-(N20+N21+N22+N23+N24)*N38</f>
        <v>9007.4600000000009</v>
      </c>
      <c r="O25" s="129">
        <f>-(O20+O21+O22+O23+O24)*O38</f>
        <v>6255.92</v>
      </c>
      <c r="P25" s="37"/>
      <c r="Q25" s="37"/>
      <c r="R25" s="37"/>
      <c r="S25" s="37"/>
      <c r="T25" s="37"/>
      <c r="W25" s="6"/>
      <c r="X25" s="6"/>
      <c r="Y25" s="6"/>
      <c r="Z25" s="6"/>
      <c r="AA25" s="6"/>
      <c r="AB25" s="6"/>
      <c r="AC25" s="6"/>
      <c r="AD25" s="6"/>
      <c r="AE25" s="55"/>
      <c r="AF25" s="55"/>
      <c r="AG25" s="55"/>
    </row>
    <row r="26" spans="3:33">
      <c r="I26" s="15"/>
      <c r="J26" s="101" t="s">
        <v>15</v>
      </c>
      <c r="K26" s="230">
        <f>K19+K20+K21+K22+K23+K24+K25</f>
        <v>134027</v>
      </c>
      <c r="L26" s="230">
        <f>L19+L20+L21+L22+L23+L24+L25</f>
        <v>141325</v>
      </c>
      <c r="M26" s="230">
        <f>M19+M20+M21+M22+M23+M24+M25</f>
        <v>168723</v>
      </c>
      <c r="N26" s="230">
        <f>N19+N20+N21+N22+N23+N24+N25</f>
        <v>207950</v>
      </c>
      <c r="O26" s="231">
        <f>O19+O20+O21+O22+O23+O24+O25</f>
        <v>356098</v>
      </c>
      <c r="P26" s="236"/>
      <c r="Q26" s="236"/>
      <c r="R26" s="236"/>
      <c r="S26" s="236"/>
      <c r="T26" s="236"/>
      <c r="W26" s="6"/>
      <c r="X26" s="6"/>
      <c r="Y26" s="6"/>
      <c r="Z26" s="6"/>
      <c r="AA26" s="6"/>
      <c r="AB26" s="6"/>
      <c r="AC26" s="6"/>
      <c r="AD26" s="6"/>
      <c r="AE26" s="55"/>
      <c r="AF26" s="55"/>
      <c r="AG26" s="55"/>
    </row>
    <row r="27" spans="3:33">
      <c r="C27" s="6"/>
      <c r="D27" s="6"/>
      <c r="E27" s="6"/>
      <c r="F27" s="6"/>
      <c r="G27" s="6"/>
      <c r="H27" s="6"/>
      <c r="I27" s="15"/>
      <c r="P27" s="6"/>
      <c r="Q27" s="6"/>
      <c r="R27" s="6"/>
      <c r="S27" s="6"/>
      <c r="T27" s="6"/>
      <c r="W27" s="6"/>
      <c r="X27" s="6"/>
      <c r="Y27" s="6"/>
      <c r="Z27" s="6"/>
      <c r="AA27" s="6"/>
      <c r="AB27" s="6"/>
      <c r="AC27" s="6"/>
      <c r="AD27" s="6"/>
      <c r="AE27" s="55"/>
      <c r="AF27" s="55"/>
      <c r="AG27" s="55"/>
    </row>
    <row r="28" spans="3:33">
      <c r="C28" s="6"/>
      <c r="D28" s="263"/>
      <c r="E28" s="263"/>
      <c r="F28" s="263"/>
      <c r="G28" s="263"/>
      <c r="H28" s="263"/>
      <c r="I28" s="15"/>
      <c r="J28" s="257" t="s">
        <v>29</v>
      </c>
      <c r="K28" s="258">
        <f>K26/K4</f>
        <v>0.1034529337664102</v>
      </c>
      <c r="L28" s="258">
        <f>L26/L4</f>
        <v>0.10223591556937429</v>
      </c>
      <c r="M28" s="258">
        <f>M26/M4</f>
        <v>0.11500725258066451</v>
      </c>
      <c r="N28" s="258">
        <f>N26/N4</f>
        <v>8.8705917382136734E-2</v>
      </c>
      <c r="O28" s="259">
        <f>O26/O4</f>
        <v>0.11884388711469383</v>
      </c>
      <c r="W28" s="6"/>
      <c r="X28" s="6"/>
      <c r="Y28" s="6"/>
      <c r="Z28" s="6"/>
      <c r="AA28" s="6"/>
      <c r="AB28" s="6"/>
      <c r="AC28" s="6"/>
      <c r="AD28" s="6"/>
      <c r="AE28" s="55"/>
      <c r="AF28" s="55"/>
      <c r="AG28" s="55"/>
    </row>
    <row r="29" spans="3:33">
      <c r="C29" s="6"/>
      <c r="D29" s="263"/>
      <c r="E29" s="263"/>
      <c r="F29" s="263"/>
      <c r="G29" s="263"/>
      <c r="H29" s="264"/>
      <c r="I29" s="15"/>
      <c r="J29" s="260" t="s">
        <v>30</v>
      </c>
      <c r="K29" s="261">
        <f>(K22+K24)</f>
        <v>-12670</v>
      </c>
      <c r="L29" s="261">
        <f>(L22+L24)</f>
        <v>-12659</v>
      </c>
      <c r="M29" s="261">
        <f>(M22+M24)</f>
        <v>-12778</v>
      </c>
      <c r="N29" s="261">
        <f>(N22+N24)</f>
        <v>-40943</v>
      </c>
      <c r="O29" s="262">
        <f>(O22+O24)</f>
        <v>-28436</v>
      </c>
      <c r="P29" s="243"/>
      <c r="Q29" s="243"/>
      <c r="R29" s="243"/>
      <c r="S29" s="243"/>
      <c r="T29" s="243"/>
      <c r="W29" s="6"/>
      <c r="X29" s="6"/>
      <c r="Y29" s="6"/>
      <c r="Z29" s="6"/>
      <c r="AA29" s="6"/>
      <c r="AB29" s="6"/>
      <c r="AC29" s="6"/>
      <c r="AD29" s="6"/>
      <c r="AE29" s="55"/>
      <c r="AF29" s="55"/>
      <c r="AG29" s="55"/>
    </row>
    <row r="30" spans="3:33">
      <c r="C30" s="6"/>
      <c r="D30" s="6"/>
      <c r="E30" s="263"/>
      <c r="F30" s="263"/>
      <c r="G30" s="263"/>
      <c r="H30" s="263"/>
      <c r="I30" s="15"/>
      <c r="P30" s="37"/>
      <c r="Q30" s="37"/>
      <c r="R30" s="37"/>
      <c r="S30" s="37"/>
      <c r="T30" s="37"/>
      <c r="W30" s="6"/>
      <c r="X30" s="6"/>
      <c r="Y30" s="6"/>
      <c r="Z30" s="6"/>
      <c r="AA30" s="6"/>
      <c r="AB30" s="6"/>
      <c r="AC30" s="6"/>
      <c r="AD30" s="6"/>
      <c r="AE30" s="55"/>
      <c r="AF30" s="55"/>
      <c r="AG30" s="55"/>
    </row>
    <row r="31" spans="3:33">
      <c r="C31" s="6"/>
      <c r="D31" s="263"/>
      <c r="E31" s="263"/>
      <c r="F31" s="263"/>
      <c r="G31" s="263"/>
      <c r="H31" s="263"/>
      <c r="I31" s="15"/>
      <c r="P31" s="6"/>
      <c r="Q31" s="6"/>
      <c r="R31" s="6"/>
      <c r="S31" s="6"/>
      <c r="T31" s="6"/>
      <c r="AD31" s="55"/>
      <c r="AE31" s="55"/>
      <c r="AF31" s="55"/>
      <c r="AG31" s="55"/>
    </row>
    <row r="32" spans="3:33">
      <c r="C32" s="6"/>
      <c r="D32" s="263"/>
      <c r="E32" s="263"/>
      <c r="F32" s="263"/>
      <c r="G32" s="263"/>
      <c r="H32" s="263"/>
      <c r="I32" s="15"/>
      <c r="J32" s="669" t="s">
        <v>31</v>
      </c>
      <c r="K32" s="670"/>
      <c r="L32" s="670"/>
      <c r="M32" s="670"/>
      <c r="N32" s="670"/>
      <c r="O32" s="671"/>
      <c r="P32" s="121"/>
      <c r="Q32" s="121"/>
      <c r="R32" s="121"/>
      <c r="S32" s="121"/>
      <c r="T32" s="121"/>
    </row>
    <row r="33" spans="3:21">
      <c r="C33" s="6"/>
      <c r="D33" s="6"/>
      <c r="E33" s="6"/>
      <c r="F33" s="6"/>
      <c r="G33" s="6"/>
      <c r="H33" s="6"/>
      <c r="I33" s="15"/>
      <c r="J33" s="166"/>
      <c r="K33" s="174">
        <v>2016</v>
      </c>
      <c r="L33" s="174">
        <v>2017</v>
      </c>
      <c r="M33" s="174">
        <v>2018</v>
      </c>
      <c r="N33" s="174">
        <v>2019</v>
      </c>
      <c r="O33" s="175">
        <v>2020</v>
      </c>
      <c r="P33" s="23"/>
      <c r="Q33" s="23"/>
      <c r="R33" s="23"/>
      <c r="S33" s="23"/>
      <c r="T33" s="23"/>
    </row>
    <row r="34" spans="3:21">
      <c r="C34" s="26"/>
      <c r="D34" s="25"/>
      <c r="E34" s="25"/>
      <c r="F34" s="25"/>
      <c r="G34" s="25"/>
      <c r="H34" s="25"/>
      <c r="I34" s="15"/>
      <c r="J34" s="93" t="s">
        <v>32</v>
      </c>
      <c r="K34" s="94"/>
      <c r="L34" s="245">
        <f>(L4-K4)/K4</f>
        <v>6.7003927332007759E-2</v>
      </c>
      <c r="M34" s="245">
        <f>(M4-L4)/L4</f>
        <v>6.1288740413009225E-2</v>
      </c>
      <c r="N34" s="245">
        <f>(N4-M4)/M4</f>
        <v>0.5979282430759667</v>
      </c>
      <c r="O34" s="468">
        <f>(O4-N4)/N4</f>
        <v>0.27816332894389412</v>
      </c>
      <c r="P34" s="467"/>
      <c r="Q34" s="467"/>
      <c r="R34" s="467"/>
      <c r="S34" s="467"/>
      <c r="T34" s="467"/>
    </row>
    <row r="35" spans="3:21">
      <c r="C35" s="22"/>
      <c r="D35" s="265"/>
      <c r="E35" s="265"/>
      <c r="F35" s="27"/>
      <c r="G35" s="265"/>
      <c r="H35" s="25"/>
      <c r="I35" s="15"/>
      <c r="J35" s="98" t="s">
        <v>33</v>
      </c>
      <c r="K35" s="249">
        <f>-(K5/K4)</f>
        <v>0.39774965728470685</v>
      </c>
      <c r="L35" s="249">
        <f>-(L5/L4)</f>
        <v>0.39615883768271526</v>
      </c>
      <c r="M35" s="249">
        <f>-(M5/M4)</f>
        <v>0.39073278330052402</v>
      </c>
      <c r="N35" s="249">
        <f>-(N5/N4)</f>
        <v>0.39486439874706891</v>
      </c>
      <c r="O35" s="248">
        <f>-(O5/O4)</f>
        <v>0.37668817838764551</v>
      </c>
      <c r="P35" s="263"/>
      <c r="Q35" s="263"/>
      <c r="R35" s="263"/>
      <c r="S35" s="263"/>
      <c r="T35" s="263"/>
    </row>
    <row r="36" spans="3:21">
      <c r="C36" s="62"/>
      <c r="D36" s="9"/>
      <c r="E36" s="9"/>
      <c r="F36" s="9"/>
      <c r="G36" s="9"/>
      <c r="H36" s="9"/>
      <c r="I36" s="15"/>
      <c r="J36" s="93" t="s">
        <v>34</v>
      </c>
      <c r="K36" s="94">
        <f>-(K7/K4)</f>
        <v>0.22349591211668376</v>
      </c>
      <c r="L36" s="94">
        <f>-(L7/L4)</f>
        <v>0.22170418029691638</v>
      </c>
      <c r="M36" s="94">
        <f>-(M7/M4)</f>
        <v>0.21191849844314903</v>
      </c>
      <c r="N36" s="94">
        <f>-(N7/N4)</f>
        <v>0.21477709625583818</v>
      </c>
      <c r="O36" s="95">
        <f>-(O7/O4)</f>
        <v>0.20261945279441559</v>
      </c>
      <c r="P36" s="263"/>
      <c r="Q36" s="263"/>
      <c r="R36" s="263"/>
      <c r="S36" s="263"/>
      <c r="T36" s="263"/>
    </row>
    <row r="37" spans="3:21">
      <c r="C37" s="65"/>
      <c r="D37" s="64"/>
      <c r="E37" s="64"/>
      <c r="F37" s="63"/>
      <c r="G37" s="64"/>
      <c r="H37" s="9"/>
      <c r="I37" s="15"/>
      <c r="J37" s="98" t="s">
        <v>35</v>
      </c>
      <c r="K37" s="249">
        <f>-(K8/K4)</f>
        <v>0.22355766261995036</v>
      </c>
      <c r="L37" s="249">
        <f>-(L8/L4)</f>
        <v>0.22694528560949462</v>
      </c>
      <c r="M37" s="249">
        <f>-(M8/M4)</f>
        <v>0.22679992147581837</v>
      </c>
      <c r="N37" s="249">
        <f>-(N8/N4)</f>
        <v>0.14851277352413103</v>
      </c>
      <c r="O37" s="248">
        <f>-(O8/O4)</f>
        <v>0.14583505070000144</v>
      </c>
      <c r="P37" s="263"/>
      <c r="Q37" s="263"/>
      <c r="R37" s="263"/>
      <c r="S37" s="263"/>
      <c r="T37" s="263"/>
    </row>
    <row r="38" spans="3:21">
      <c r="D38" s="64"/>
      <c r="E38" s="64"/>
      <c r="F38" s="63"/>
      <c r="G38" s="63"/>
      <c r="H38" s="9"/>
      <c r="I38" s="15"/>
      <c r="J38" s="75" t="s">
        <v>37</v>
      </c>
      <c r="K38" s="247">
        <v>0.22</v>
      </c>
      <c r="L38" s="247">
        <v>0.22</v>
      </c>
      <c r="M38" s="247">
        <v>0.22</v>
      </c>
      <c r="N38" s="247">
        <v>0.22</v>
      </c>
      <c r="O38" s="253">
        <v>0.22</v>
      </c>
      <c r="P38" s="263"/>
      <c r="Q38" s="263"/>
      <c r="R38" s="263"/>
      <c r="S38" s="263"/>
      <c r="T38" s="263"/>
      <c r="U38" s="17"/>
    </row>
    <row r="39" spans="3:21">
      <c r="C39" s="65"/>
      <c r="D39" s="64"/>
      <c r="E39" s="64"/>
      <c r="F39" s="63"/>
      <c r="G39" s="64"/>
      <c r="H39" s="9"/>
      <c r="J39" s="23"/>
      <c r="K39" s="263"/>
      <c r="L39" s="263"/>
      <c r="M39" s="263"/>
      <c r="N39" s="263"/>
      <c r="O39" s="263"/>
      <c r="P39" s="263"/>
      <c r="Q39" s="263"/>
      <c r="R39" s="263"/>
      <c r="S39" s="263"/>
      <c r="T39" s="263"/>
    </row>
    <row r="40" spans="3:21">
      <c r="C40" s="62"/>
      <c r="D40" s="61"/>
      <c r="E40" s="61"/>
      <c r="F40" s="61"/>
      <c r="G40" s="61"/>
      <c r="H40" s="9"/>
      <c r="J40" s="23"/>
      <c r="K40" s="263"/>
      <c r="L40" s="263"/>
      <c r="M40" s="263"/>
      <c r="N40" s="263"/>
      <c r="O40" s="263"/>
      <c r="P40" s="263"/>
      <c r="Q40" s="263"/>
      <c r="R40" s="263"/>
      <c r="S40" s="263"/>
      <c r="T40" s="263"/>
    </row>
    <row r="41" spans="3:21">
      <c r="C41" s="65"/>
      <c r="D41" s="64"/>
      <c r="E41" s="64"/>
      <c r="F41" s="63"/>
      <c r="G41" s="64"/>
      <c r="H41" s="9"/>
      <c r="J41" s="471"/>
      <c r="K41" s="263"/>
      <c r="L41" s="263"/>
      <c r="M41" s="263"/>
      <c r="N41" s="263"/>
      <c r="O41" s="263"/>
      <c r="P41" s="263"/>
      <c r="Q41" s="263"/>
      <c r="R41" s="263"/>
      <c r="S41" s="263"/>
      <c r="T41" s="263"/>
    </row>
    <row r="42" spans="3:21">
      <c r="C42" s="65"/>
      <c r="D42" s="64"/>
      <c r="E42" s="64"/>
      <c r="F42" s="63"/>
      <c r="G42" s="63"/>
      <c r="H42" s="9"/>
      <c r="P42" s="263"/>
      <c r="Q42" s="263"/>
      <c r="R42" s="263"/>
      <c r="S42" s="263"/>
      <c r="T42" s="263"/>
    </row>
    <row r="43" spans="3:21">
      <c r="C43" s="65"/>
      <c r="D43" s="64"/>
      <c r="E43" s="64"/>
      <c r="F43" s="64"/>
      <c r="G43" s="64"/>
      <c r="H43" s="9"/>
      <c r="P43" s="263"/>
      <c r="Q43" s="263"/>
      <c r="R43" s="263"/>
      <c r="S43" s="263"/>
      <c r="T43" s="263"/>
    </row>
    <row r="44" spans="3:21">
      <c r="C44" s="62"/>
      <c r="D44" s="61"/>
      <c r="E44" s="61"/>
      <c r="F44" s="61"/>
      <c r="G44" s="61"/>
      <c r="H44" s="9"/>
    </row>
    <row r="45" spans="3:21">
      <c r="C45" s="65"/>
      <c r="D45" s="64"/>
      <c r="E45" s="64"/>
      <c r="F45" s="63"/>
      <c r="G45" s="64"/>
      <c r="H45" s="9"/>
      <c r="J45" s="254"/>
      <c r="K45" s="255"/>
      <c r="L45" s="255"/>
      <c r="M45" s="255"/>
      <c r="N45" s="255"/>
      <c r="O45" s="255"/>
      <c r="P45" s="255"/>
      <c r="Q45" s="255"/>
      <c r="R45" s="255"/>
      <c r="S45" s="255"/>
      <c r="T45" s="255"/>
    </row>
    <row r="46" spans="3:21">
      <c r="C46" s="65"/>
      <c r="D46" s="64"/>
      <c r="E46" s="64"/>
      <c r="F46" s="64"/>
      <c r="G46" s="64"/>
      <c r="H46" s="9"/>
      <c r="J46" s="254"/>
      <c r="K46" s="256"/>
      <c r="L46" s="256"/>
      <c r="M46" s="256"/>
      <c r="N46" s="256"/>
      <c r="O46" s="256"/>
      <c r="P46" s="256"/>
      <c r="Q46" s="256"/>
      <c r="R46" s="256"/>
      <c r="S46" s="256"/>
      <c r="T46" s="256"/>
    </row>
    <row r="47" spans="3:21">
      <c r="C47" s="65"/>
      <c r="D47" s="64"/>
      <c r="E47" s="64"/>
      <c r="F47" s="64"/>
      <c r="G47" s="64"/>
      <c r="H47" s="9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1">
      <c r="C48" s="65"/>
      <c r="D48" s="64"/>
      <c r="E48" s="64"/>
      <c r="F48" s="63"/>
      <c r="G48" s="64"/>
      <c r="H48" s="9"/>
    </row>
    <row r="49" spans="3:8">
      <c r="C49" s="65"/>
      <c r="D49" s="64"/>
      <c r="E49" s="64"/>
      <c r="F49" s="63"/>
      <c r="G49" s="63"/>
      <c r="H49" s="9"/>
    </row>
    <row r="50" spans="3:8">
      <c r="C50" s="16"/>
      <c r="D50" s="9"/>
      <c r="E50" s="9"/>
      <c r="F50" s="9"/>
      <c r="G50" s="9"/>
      <c r="H50" s="9"/>
    </row>
    <row r="51" spans="3:8">
      <c r="C51" s="62"/>
      <c r="D51" s="61"/>
      <c r="E51" s="61"/>
      <c r="F51" s="61"/>
      <c r="G51" s="61"/>
      <c r="H51" s="9"/>
    </row>
    <row r="52" spans="3:8">
      <c r="C52" s="65"/>
      <c r="D52" s="64"/>
      <c r="E52" s="64"/>
      <c r="F52" s="63"/>
      <c r="G52" s="63"/>
      <c r="H52" s="9"/>
    </row>
    <row r="53" spans="3:8">
      <c r="C53" s="62"/>
      <c r="D53" s="61"/>
      <c r="E53" s="61"/>
      <c r="F53" s="61"/>
      <c r="G53" s="61"/>
      <c r="H53" s="9"/>
    </row>
  </sheetData>
  <mergeCells count="3">
    <mergeCell ref="C2:H2"/>
    <mergeCell ref="J2:O2"/>
    <mergeCell ref="J32:O3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301"/>
  <sheetViews>
    <sheetView zoomScale="71" zoomScaleNormal="40" workbookViewId="0">
      <selection activeCell="I24" sqref="I24"/>
    </sheetView>
  </sheetViews>
  <sheetFormatPr defaultColWidth="10.84375" defaultRowHeight="14.6"/>
  <cols>
    <col min="2" max="2" width="16" customWidth="1"/>
    <col min="3" max="3" width="17.4609375" customWidth="1"/>
    <col min="4" max="4" width="16.69140625" customWidth="1"/>
    <col min="5" max="5" width="12.84375" style="47" bestFit="1" customWidth="1"/>
    <col min="6" max="6" width="12.69140625" style="47" bestFit="1" customWidth="1"/>
    <col min="7" max="7" width="10.84375" customWidth="1"/>
    <col min="8" max="8" width="16.15234375" customWidth="1"/>
  </cols>
  <sheetData>
    <row r="3" spans="2:11">
      <c r="K3" s="16"/>
    </row>
    <row r="4" spans="2:11" ht="15.9">
      <c r="B4" s="654"/>
      <c r="C4" s="655">
        <v>2016</v>
      </c>
      <c r="D4" s="655">
        <v>2017</v>
      </c>
      <c r="E4" s="656">
        <v>2018</v>
      </c>
      <c r="F4" s="656">
        <v>2019</v>
      </c>
      <c r="G4" s="655">
        <v>2020</v>
      </c>
      <c r="H4" s="657" t="s">
        <v>176</v>
      </c>
    </row>
    <row r="5" spans="2:11" ht="15.9">
      <c r="B5" s="122" t="s">
        <v>177</v>
      </c>
      <c r="C5" s="292">
        <f>_xlfn.COVARIANCE.S(E14:E264,F14:F264)</f>
        <v>2.6738673376664145E-5</v>
      </c>
      <c r="D5" s="292">
        <f>_xlfn.COVARIANCE.S(E265:E515,F265:F515)</f>
        <v>-1.3276451564492907E-6</v>
      </c>
      <c r="E5" s="652">
        <f>_xlfn.COVARIANCE.S(E516:E763,F516:F763)</f>
        <v>1.9051143530053871E-5</v>
      </c>
      <c r="F5" s="652">
        <f>_xlfn.COVARIANCE.S(E764:E1011,F764:F1011)</f>
        <v>1.1681332646497198E-5</v>
      </c>
      <c r="G5" s="653">
        <f>_xlfn.COVARIANCE.S(E1012:E1263,F1012:F1263)</f>
        <v>-6.4304143979273707E-5</v>
      </c>
      <c r="H5" s="522">
        <f>(E5+F5+G5)/3</f>
        <v>-1.1190555934240881E-5</v>
      </c>
    </row>
    <row r="6" spans="2:11" ht="15.9">
      <c r="B6" s="122" t="s">
        <v>178</v>
      </c>
      <c r="C6" s="292">
        <f>_xlfn.VAR.S(F14:F264)</f>
        <v>1.6386056536053467E-4</v>
      </c>
      <c r="D6" s="292">
        <f>_xlfn.VAR.S(F265:F515)</f>
        <v>4.5623639838237731E-5</v>
      </c>
      <c r="E6" s="652">
        <f>_xlfn.VAR.S(F516:F763)</f>
        <v>8.823714570432556E-5</v>
      </c>
      <c r="F6" s="652">
        <f>_xlfn.VAR.S(F764:F1011)</f>
        <v>6.7615044145376112E-5</v>
      </c>
      <c r="G6" s="292">
        <f>_xlfn.VAR.S(F1012:F1263)</f>
        <v>2.9167075607436528E-4</v>
      </c>
      <c r="H6" s="522">
        <f>(E6+F6+G6)/3</f>
        <v>1.491743153080223E-4</v>
      </c>
    </row>
    <row r="7" spans="2:11" ht="15.9">
      <c r="B7" s="491" t="s">
        <v>179</v>
      </c>
      <c r="C7" s="549">
        <f>C5/C6</f>
        <v>0.16317942830132623</v>
      </c>
      <c r="D7" s="549">
        <f t="shared" ref="D7:G7" si="0">D5/D6</f>
        <v>-2.9099939442722302E-2</v>
      </c>
      <c r="E7" s="549">
        <f t="shared" si="0"/>
        <v>0.21590842924466838</v>
      </c>
      <c r="F7" s="549">
        <f t="shared" si="0"/>
        <v>0.17276233113716058</v>
      </c>
      <c r="G7" s="549">
        <f t="shared" si="0"/>
        <v>-0.22046825963888722</v>
      </c>
      <c r="H7" s="562">
        <f>(E7+F7+G7)/3</f>
        <v>5.6067500247647249E-2</v>
      </c>
    </row>
    <row r="12" spans="2:11">
      <c r="B12" s="385" t="s">
        <v>173</v>
      </c>
      <c r="C12" s="102" t="s">
        <v>174</v>
      </c>
      <c r="D12" s="103" t="s">
        <v>175</v>
      </c>
      <c r="E12" s="658" t="s">
        <v>180</v>
      </c>
      <c r="F12" s="658" t="s">
        <v>181</v>
      </c>
      <c r="H12" s="385" t="s">
        <v>184</v>
      </c>
      <c r="I12" s="101" t="s">
        <v>182</v>
      </c>
      <c r="J12" s="103" t="s">
        <v>183</v>
      </c>
    </row>
    <row r="13" spans="2:11">
      <c r="B13" s="51">
        <v>42373</v>
      </c>
      <c r="C13" s="32">
        <v>19.4437</v>
      </c>
      <c r="D13" s="7">
        <v>600.61379999999997</v>
      </c>
      <c r="E13" s="49"/>
      <c r="F13" s="48"/>
      <c r="H13" s="176">
        <v>2016</v>
      </c>
      <c r="I13" s="126">
        <v>14</v>
      </c>
      <c r="J13" s="522">
        <v>264</v>
      </c>
    </row>
    <row r="14" spans="2:11">
      <c r="B14" s="51">
        <v>42374</v>
      </c>
      <c r="C14" s="32">
        <v>19.315799999999999</v>
      </c>
      <c r="D14" s="7">
        <v>590.26760000000002</v>
      </c>
      <c r="E14" s="49">
        <f>(C14-C13)/C13</f>
        <v>-6.5779661278460551E-3</v>
      </c>
      <c r="F14" s="49">
        <f>(D14-D13)/D13</f>
        <v>-1.7226044423221634E-2</v>
      </c>
      <c r="H14" s="176">
        <v>2017</v>
      </c>
      <c r="I14" s="126">
        <v>265</v>
      </c>
      <c r="J14" s="522">
        <v>515</v>
      </c>
    </row>
    <row r="15" spans="2:11">
      <c r="B15" s="51">
        <v>42375</v>
      </c>
      <c r="C15" s="32">
        <v>19.187899999999999</v>
      </c>
      <c r="D15" s="7">
        <v>581.74649999999997</v>
      </c>
      <c r="E15" s="49">
        <f t="shared" ref="E15:E78" si="1">(C15-C14)/C14</f>
        <v>-6.6215222770995945E-3</v>
      </c>
      <c r="F15" s="49">
        <f t="shared" ref="F15:F78" si="2">(D15-D14)/D14</f>
        <v>-1.4435994792870296E-2</v>
      </c>
      <c r="H15" s="176">
        <v>2018</v>
      </c>
      <c r="I15" s="126">
        <v>516</v>
      </c>
      <c r="J15" s="522">
        <v>763</v>
      </c>
    </row>
    <row r="16" spans="2:11">
      <c r="B16" s="51">
        <v>42376</v>
      </c>
      <c r="C16" s="32">
        <v>19.187899999999999</v>
      </c>
      <c r="D16" s="7">
        <v>565.38070000000005</v>
      </c>
      <c r="E16" s="49">
        <f t="shared" si="1"/>
        <v>0</v>
      </c>
      <c r="F16" s="49">
        <f t="shared" si="2"/>
        <v>-2.8132184723070826E-2</v>
      </c>
      <c r="H16" s="176">
        <v>2019</v>
      </c>
      <c r="I16" s="126">
        <v>764</v>
      </c>
      <c r="J16" s="522">
        <v>1011</v>
      </c>
    </row>
    <row r="17" spans="2:10">
      <c r="B17" s="51">
        <v>42377</v>
      </c>
      <c r="C17" s="32">
        <v>19.5077</v>
      </c>
      <c r="D17" s="7">
        <v>563.75009999999997</v>
      </c>
      <c r="E17" s="49">
        <f t="shared" si="1"/>
        <v>1.6666753526962345E-2</v>
      </c>
      <c r="F17" s="49">
        <f t="shared" si="2"/>
        <v>-2.8840743944745055E-3</v>
      </c>
      <c r="H17" s="390">
        <v>2020</v>
      </c>
      <c r="I17" s="502">
        <v>1012</v>
      </c>
      <c r="J17" s="562">
        <v>1263</v>
      </c>
    </row>
    <row r="18" spans="2:10">
      <c r="B18" s="51">
        <v>42380</v>
      </c>
      <c r="C18" s="32">
        <v>19.5077</v>
      </c>
      <c r="D18" s="7">
        <v>554.77390000000003</v>
      </c>
      <c r="E18" s="49">
        <f t="shared" si="1"/>
        <v>0</v>
      </c>
      <c r="F18" s="49">
        <f t="shared" si="2"/>
        <v>-1.5922303162340813E-2</v>
      </c>
      <c r="H18" s="32"/>
      <c r="I18" s="32"/>
    </row>
    <row r="19" spans="2:10">
      <c r="B19" s="51">
        <v>42381</v>
      </c>
      <c r="C19" s="32">
        <v>19.6996</v>
      </c>
      <c r="D19" s="7">
        <v>554.50699999999995</v>
      </c>
      <c r="E19" s="49">
        <f t="shared" si="1"/>
        <v>9.8371412314112068E-3</v>
      </c>
      <c r="F19" s="49">
        <f t="shared" si="2"/>
        <v>-4.8109689370764888E-4</v>
      </c>
    </row>
    <row r="20" spans="2:10">
      <c r="B20" s="51">
        <v>42382</v>
      </c>
      <c r="C20" s="32">
        <v>19.6996</v>
      </c>
      <c r="D20" s="7">
        <v>556.80999999999995</v>
      </c>
      <c r="E20" s="49">
        <f t="shared" si="1"/>
        <v>0</v>
      </c>
      <c r="F20" s="49">
        <f t="shared" si="2"/>
        <v>4.1532388229544399E-3</v>
      </c>
    </row>
    <row r="21" spans="2:10">
      <c r="B21" s="51">
        <v>42383</v>
      </c>
      <c r="C21" s="32">
        <v>19.251799999999999</v>
      </c>
      <c r="D21" s="7">
        <v>542.16629999999998</v>
      </c>
      <c r="E21" s="49">
        <f t="shared" si="1"/>
        <v>-2.2731426018802455E-2</v>
      </c>
      <c r="F21" s="49">
        <f t="shared" si="2"/>
        <v>-2.6299276234262977E-2</v>
      </c>
    </row>
    <row r="22" spans="2:10">
      <c r="B22" s="51">
        <v>42384</v>
      </c>
      <c r="C22" s="32">
        <v>19.5077</v>
      </c>
      <c r="D22" s="7">
        <v>535.64490000000001</v>
      </c>
      <c r="E22" s="49">
        <f t="shared" si="1"/>
        <v>1.3292263580548337E-2</v>
      </c>
      <c r="F22" s="49">
        <f t="shared" si="2"/>
        <v>-1.2028412684447506E-2</v>
      </c>
    </row>
    <row r="23" spans="2:10">
      <c r="B23" s="51">
        <v>42387</v>
      </c>
      <c r="C23" s="32">
        <v>18.868099999999998</v>
      </c>
      <c r="D23" s="7">
        <v>528.46950000000004</v>
      </c>
      <c r="E23" s="49">
        <f t="shared" si="1"/>
        <v>-3.2787053317408076E-2</v>
      </c>
      <c r="F23" s="49">
        <f t="shared" si="2"/>
        <v>-1.3395815025962102E-2</v>
      </c>
    </row>
    <row r="24" spans="2:10">
      <c r="B24" s="51">
        <v>42388</v>
      </c>
      <c r="C24" s="32">
        <v>19.5077</v>
      </c>
      <c r="D24" s="7">
        <v>543.68219999999997</v>
      </c>
      <c r="E24" s="49">
        <f t="shared" si="1"/>
        <v>3.3898484744091961E-2</v>
      </c>
      <c r="F24" s="49">
        <f t="shared" si="2"/>
        <v>2.8786334878360863E-2</v>
      </c>
    </row>
    <row r="25" spans="2:10">
      <c r="B25" s="51">
        <v>42389</v>
      </c>
      <c r="C25" s="32">
        <v>19.187899999999999</v>
      </c>
      <c r="D25" s="7">
        <v>518.05070000000001</v>
      </c>
      <c r="E25" s="49">
        <f t="shared" si="1"/>
        <v>-1.6393526658704038E-2</v>
      </c>
      <c r="F25" s="49">
        <f t="shared" si="2"/>
        <v>-4.7144269207268441E-2</v>
      </c>
    </row>
    <row r="26" spans="2:10">
      <c r="B26" s="51">
        <v>42390</v>
      </c>
      <c r="C26" s="32">
        <v>19.187899999999999</v>
      </c>
      <c r="D26" s="7">
        <v>530.63599999999997</v>
      </c>
      <c r="E26" s="49">
        <f t="shared" si="1"/>
        <v>0</v>
      </c>
      <c r="F26" s="49">
        <f t="shared" si="2"/>
        <v>2.4293568177786384E-2</v>
      </c>
    </row>
    <row r="27" spans="2:10">
      <c r="B27" s="51">
        <v>42391</v>
      </c>
      <c r="C27" s="32">
        <v>19.891400000000001</v>
      </c>
      <c r="D27" s="7">
        <v>552.62189999999998</v>
      </c>
      <c r="E27" s="49">
        <f t="shared" si="1"/>
        <v>3.6663730788674208E-2</v>
      </c>
      <c r="F27" s="49">
        <f t="shared" si="2"/>
        <v>4.1433110456131919E-2</v>
      </c>
    </row>
    <row r="28" spans="2:10">
      <c r="B28" s="51">
        <v>42394</v>
      </c>
      <c r="C28" s="32">
        <v>19.955400000000001</v>
      </c>
      <c r="D28" s="7">
        <v>547.06650000000002</v>
      </c>
      <c r="E28" s="49">
        <f t="shared" si="1"/>
        <v>3.2174708668067636E-3</v>
      </c>
      <c r="F28" s="49">
        <f t="shared" si="2"/>
        <v>-1.0052804639121185E-2</v>
      </c>
    </row>
    <row r="29" spans="2:10">
      <c r="B29" s="51">
        <v>42395</v>
      </c>
      <c r="C29" s="32">
        <v>20.019400000000001</v>
      </c>
      <c r="D29" s="7">
        <v>551.0231</v>
      </c>
      <c r="E29" s="49">
        <f t="shared" si="1"/>
        <v>3.207151948845929E-3</v>
      </c>
      <c r="F29" s="49">
        <f t="shared" si="2"/>
        <v>7.2323931368489577E-3</v>
      </c>
    </row>
    <row r="30" spans="2:10">
      <c r="B30" s="51">
        <v>42396</v>
      </c>
      <c r="C30" s="32">
        <v>19.955400000000001</v>
      </c>
      <c r="D30" s="7">
        <v>547.11749999999995</v>
      </c>
      <c r="E30" s="49">
        <f t="shared" si="1"/>
        <v>-3.1968990079622793E-3</v>
      </c>
      <c r="F30" s="49">
        <f t="shared" si="2"/>
        <v>-7.0879061150068839E-3</v>
      </c>
    </row>
    <row r="31" spans="2:10">
      <c r="B31" s="51">
        <v>42397</v>
      </c>
      <c r="C31" s="32">
        <v>19.891400000000001</v>
      </c>
      <c r="D31" s="7">
        <v>552.32039999999995</v>
      </c>
      <c r="E31" s="49">
        <f t="shared" si="1"/>
        <v>-3.207151948845929E-3</v>
      </c>
      <c r="F31" s="49">
        <f t="shared" si="2"/>
        <v>9.5096574319044821E-3</v>
      </c>
    </row>
    <row r="32" spans="2:10">
      <c r="B32" s="51">
        <v>42398</v>
      </c>
      <c r="C32" s="32">
        <v>20.147300000000001</v>
      </c>
      <c r="D32" s="7">
        <v>560.93029999999999</v>
      </c>
      <c r="E32" s="49">
        <f t="shared" si="1"/>
        <v>1.286485616899768E-2</v>
      </c>
      <c r="F32" s="49">
        <f t="shared" si="2"/>
        <v>1.5588596763762555E-2</v>
      </c>
    </row>
    <row r="33" spans="2:6">
      <c r="B33" s="51">
        <v>42401</v>
      </c>
      <c r="C33" s="32">
        <v>19.891400000000001</v>
      </c>
      <c r="D33" s="7">
        <v>556.69960000000003</v>
      </c>
      <c r="E33" s="49">
        <f t="shared" si="1"/>
        <v>-1.2701453792815932E-2</v>
      </c>
      <c r="F33" s="49">
        <f t="shared" si="2"/>
        <v>-7.5422917963247063E-3</v>
      </c>
    </row>
    <row r="34" spans="2:6">
      <c r="B34" s="51">
        <v>42402</v>
      </c>
      <c r="C34" s="32">
        <v>19.5716</v>
      </c>
      <c r="D34" s="7">
        <v>539.45709999999997</v>
      </c>
      <c r="E34" s="49">
        <f t="shared" si="1"/>
        <v>-1.607729973757507E-2</v>
      </c>
      <c r="F34" s="49">
        <f t="shared" si="2"/>
        <v>-3.0972718500246924E-2</v>
      </c>
    </row>
    <row r="35" spans="2:6">
      <c r="B35" s="51">
        <v>42403</v>
      </c>
      <c r="C35" s="32">
        <v>19.379799999999999</v>
      </c>
      <c r="D35" s="7">
        <v>540.46529999999996</v>
      </c>
      <c r="E35" s="49">
        <f t="shared" si="1"/>
        <v>-9.7999141613358456E-3</v>
      </c>
      <c r="F35" s="49">
        <f t="shared" si="2"/>
        <v>1.8689159897978692E-3</v>
      </c>
    </row>
    <row r="36" spans="2:6">
      <c r="B36" s="51">
        <v>42404</v>
      </c>
      <c r="C36" s="32">
        <v>19.379799999999999</v>
      </c>
      <c r="D36" s="7">
        <v>552.22130000000004</v>
      </c>
      <c r="E36" s="49">
        <f t="shared" si="1"/>
        <v>0</v>
      </c>
      <c r="F36" s="49">
        <f t="shared" si="2"/>
        <v>2.175162771782034E-2</v>
      </c>
    </row>
    <row r="37" spans="2:6">
      <c r="B37" s="51">
        <v>42405</v>
      </c>
      <c r="C37" s="32">
        <v>19.827500000000001</v>
      </c>
      <c r="D37" s="7">
        <v>560.74260000000004</v>
      </c>
      <c r="E37" s="49">
        <f t="shared" si="1"/>
        <v>2.3101373595186797E-2</v>
      </c>
      <c r="F37" s="49">
        <f t="shared" si="2"/>
        <v>1.5430951323319104E-2</v>
      </c>
    </row>
    <row r="38" spans="2:6">
      <c r="B38" s="51">
        <v>42408</v>
      </c>
      <c r="C38" s="32">
        <v>19.251799999999999</v>
      </c>
      <c r="D38" s="7">
        <v>536.09630000000004</v>
      </c>
      <c r="E38" s="49">
        <f t="shared" si="1"/>
        <v>-2.9035430588828709E-2</v>
      </c>
      <c r="F38" s="49">
        <f t="shared" si="2"/>
        <v>-4.3952965228609336E-2</v>
      </c>
    </row>
    <row r="39" spans="2:6">
      <c r="B39" s="51">
        <v>42409</v>
      </c>
      <c r="C39" s="32">
        <v>19.187899999999999</v>
      </c>
      <c r="D39" s="7">
        <v>531.47950000000003</v>
      </c>
      <c r="E39" s="49">
        <f t="shared" si="1"/>
        <v>-3.3191701555179407E-3</v>
      </c>
      <c r="F39" s="49">
        <f t="shared" si="2"/>
        <v>-8.6118855884661245E-3</v>
      </c>
    </row>
    <row r="40" spans="2:6">
      <c r="B40" s="51">
        <v>42410</v>
      </c>
      <c r="C40" s="32">
        <v>19.379799999999999</v>
      </c>
      <c r="D40" s="7">
        <v>530.63549999999998</v>
      </c>
      <c r="E40" s="49">
        <f t="shared" si="1"/>
        <v>1.0001094439725057E-2</v>
      </c>
      <c r="F40" s="49">
        <f t="shared" si="2"/>
        <v>-1.5880198577744784E-3</v>
      </c>
    </row>
    <row r="41" spans="2:6">
      <c r="B41" s="51">
        <v>42411</v>
      </c>
      <c r="C41" s="32">
        <v>18.931999999999999</v>
      </c>
      <c r="D41" s="7">
        <v>515.2296</v>
      </c>
      <c r="E41" s="49">
        <f t="shared" si="1"/>
        <v>-2.3106533607158013E-2</v>
      </c>
      <c r="F41" s="49">
        <f t="shared" si="2"/>
        <v>-2.9032923730131086E-2</v>
      </c>
    </row>
    <row r="42" spans="2:6">
      <c r="B42" s="51">
        <v>42412</v>
      </c>
      <c r="C42" s="32">
        <v>19.5077</v>
      </c>
      <c r="D42" s="7">
        <v>522.31150000000002</v>
      </c>
      <c r="E42" s="49">
        <f t="shared" si="1"/>
        <v>3.0408831607859774E-2</v>
      </c>
      <c r="F42" s="49">
        <f t="shared" si="2"/>
        <v>1.374513420812783E-2</v>
      </c>
    </row>
    <row r="43" spans="2:6">
      <c r="B43" s="51">
        <v>42415</v>
      </c>
      <c r="C43" s="32">
        <v>20.211200000000002</v>
      </c>
      <c r="D43" s="7">
        <v>539.15350000000001</v>
      </c>
      <c r="E43" s="49">
        <f t="shared" si="1"/>
        <v>3.6062682940582527E-2</v>
      </c>
      <c r="F43" s="49">
        <f t="shared" si="2"/>
        <v>3.2245125753501469E-2</v>
      </c>
    </row>
    <row r="44" spans="2:6">
      <c r="B44" s="51">
        <v>42416</v>
      </c>
      <c r="C44" s="32">
        <v>19.827500000000001</v>
      </c>
      <c r="D44" s="7">
        <v>532.12559999999996</v>
      </c>
      <c r="E44" s="49">
        <f t="shared" si="1"/>
        <v>-1.8984523432552299E-2</v>
      </c>
      <c r="F44" s="49">
        <f t="shared" si="2"/>
        <v>-1.3035063298300105E-2</v>
      </c>
    </row>
    <row r="45" spans="2:6">
      <c r="B45" s="51">
        <v>42417</v>
      </c>
      <c r="C45" s="32">
        <v>19.827500000000001</v>
      </c>
      <c r="D45" s="7">
        <v>554.81809999999996</v>
      </c>
      <c r="E45" s="49">
        <f t="shared" si="1"/>
        <v>0</v>
      </c>
      <c r="F45" s="49">
        <f t="shared" si="2"/>
        <v>4.2645007118620112E-2</v>
      </c>
    </row>
    <row r="46" spans="2:6">
      <c r="B46" s="51">
        <v>42418</v>
      </c>
      <c r="C46" s="32">
        <v>19.827500000000001</v>
      </c>
      <c r="D46" s="7">
        <v>557.74090000000001</v>
      </c>
      <c r="E46" s="49">
        <f t="shared" si="1"/>
        <v>0</v>
      </c>
      <c r="F46" s="49">
        <f t="shared" si="2"/>
        <v>5.2680328922218873E-3</v>
      </c>
    </row>
    <row r="47" spans="2:6">
      <c r="B47" s="51">
        <v>42419</v>
      </c>
      <c r="C47" s="32">
        <v>19.827500000000001</v>
      </c>
      <c r="D47" s="7">
        <v>550.23979999999995</v>
      </c>
      <c r="E47" s="49">
        <f t="shared" si="1"/>
        <v>0</v>
      </c>
      <c r="F47" s="49">
        <f t="shared" si="2"/>
        <v>-1.344907644391879E-2</v>
      </c>
    </row>
    <row r="48" spans="2:6">
      <c r="B48" s="51">
        <v>42422</v>
      </c>
      <c r="C48" s="32">
        <v>20.019400000000001</v>
      </c>
      <c r="D48" s="7">
        <v>564.66240000000005</v>
      </c>
      <c r="E48" s="49">
        <f t="shared" si="1"/>
        <v>9.678476862942903E-3</v>
      </c>
      <c r="F48" s="49">
        <f t="shared" si="2"/>
        <v>2.6211480885243315E-2</v>
      </c>
    </row>
    <row r="49" spans="2:6">
      <c r="B49" s="51">
        <v>42423</v>
      </c>
      <c r="C49" s="32">
        <v>21.1067</v>
      </c>
      <c r="D49" s="7">
        <v>561.78369999999995</v>
      </c>
      <c r="E49" s="49">
        <f t="shared" si="1"/>
        <v>5.4312317052459064E-2</v>
      </c>
      <c r="F49" s="49">
        <f t="shared" si="2"/>
        <v>-5.0980904696329953E-3</v>
      </c>
    </row>
    <row r="50" spans="2:6">
      <c r="B50" s="51">
        <v>42424</v>
      </c>
      <c r="C50" s="32">
        <v>21.1067</v>
      </c>
      <c r="D50" s="7">
        <v>545.3442</v>
      </c>
      <c r="E50" s="49">
        <f t="shared" si="1"/>
        <v>0</v>
      </c>
      <c r="F50" s="49">
        <f t="shared" si="2"/>
        <v>-2.9263041985732149E-2</v>
      </c>
    </row>
    <row r="51" spans="2:6">
      <c r="B51" s="51">
        <v>42425</v>
      </c>
      <c r="C51" s="32">
        <v>21.0427</v>
      </c>
      <c r="D51" s="7">
        <v>556.45479999999998</v>
      </c>
      <c r="E51" s="49">
        <f t="shared" si="1"/>
        <v>-3.0322125201950119E-3</v>
      </c>
      <c r="F51" s="49">
        <f t="shared" si="2"/>
        <v>2.0373554903490267E-2</v>
      </c>
    </row>
    <row r="52" spans="2:6">
      <c r="B52" s="51">
        <v>42426</v>
      </c>
      <c r="C52" s="32">
        <v>21.1067</v>
      </c>
      <c r="D52" s="7">
        <v>566.3374</v>
      </c>
      <c r="E52" s="49">
        <f t="shared" si="1"/>
        <v>3.0414347968654239E-3</v>
      </c>
      <c r="F52" s="49">
        <f t="shared" si="2"/>
        <v>1.7759933061948653E-2</v>
      </c>
    </row>
    <row r="53" spans="2:6">
      <c r="B53" s="51">
        <v>42429</v>
      </c>
      <c r="C53" s="32">
        <v>21.1067</v>
      </c>
      <c r="D53" s="7">
        <v>572.50009999999997</v>
      </c>
      <c r="E53" s="49">
        <f t="shared" si="1"/>
        <v>0</v>
      </c>
      <c r="F53" s="49">
        <f t="shared" si="2"/>
        <v>1.0881675834935097E-2</v>
      </c>
    </row>
    <row r="54" spans="2:6">
      <c r="B54" s="51">
        <v>42430</v>
      </c>
      <c r="C54" s="32">
        <v>20.530999999999999</v>
      </c>
      <c r="D54" s="7">
        <v>574.92219999999998</v>
      </c>
      <c r="E54" s="49">
        <f t="shared" si="1"/>
        <v>-2.7275699185566726E-2</v>
      </c>
      <c r="F54" s="49">
        <f t="shared" si="2"/>
        <v>4.2307416190844344E-3</v>
      </c>
    </row>
    <row r="55" spans="2:6">
      <c r="B55" s="51">
        <v>42431</v>
      </c>
      <c r="C55" s="32">
        <v>20.786899999999999</v>
      </c>
      <c r="D55" s="7">
        <v>571.12959999999998</v>
      </c>
      <c r="E55" s="49">
        <f t="shared" si="1"/>
        <v>1.2464078710243071E-2</v>
      </c>
      <c r="F55" s="49">
        <f t="shared" si="2"/>
        <v>-6.5967186516714665E-3</v>
      </c>
    </row>
    <row r="56" spans="2:6">
      <c r="B56" s="51">
        <v>42432</v>
      </c>
      <c r="C56" s="32">
        <v>20.786899999999999</v>
      </c>
      <c r="D56" s="7">
        <v>576.36450000000002</v>
      </c>
      <c r="E56" s="49">
        <f t="shared" si="1"/>
        <v>0</v>
      </c>
      <c r="F56" s="49">
        <f t="shared" si="2"/>
        <v>9.1658705834893502E-3</v>
      </c>
    </row>
    <row r="57" spans="2:6">
      <c r="B57" s="51">
        <v>42433</v>
      </c>
      <c r="C57" s="32">
        <v>20.467099999999999</v>
      </c>
      <c r="D57" s="7">
        <v>588.05319999999995</v>
      </c>
      <c r="E57" s="49">
        <f t="shared" si="1"/>
        <v>-1.5384689395725229E-2</v>
      </c>
      <c r="F57" s="49">
        <f t="shared" si="2"/>
        <v>2.0280048476267926E-2</v>
      </c>
    </row>
    <row r="58" spans="2:6">
      <c r="B58" s="51">
        <v>42436</v>
      </c>
      <c r="C58" s="32">
        <v>20.467099999999999</v>
      </c>
      <c r="D58" s="7">
        <v>585.45659999999998</v>
      </c>
      <c r="E58" s="49">
        <f t="shared" si="1"/>
        <v>0</v>
      </c>
      <c r="F58" s="49">
        <f t="shared" si="2"/>
        <v>-4.4155868890773265E-3</v>
      </c>
    </row>
    <row r="59" spans="2:6">
      <c r="B59" s="51">
        <v>42437</v>
      </c>
      <c r="C59" s="32">
        <v>19.827500000000001</v>
      </c>
      <c r="D59" s="7">
        <v>586.14909999999998</v>
      </c>
      <c r="E59" s="49">
        <f t="shared" si="1"/>
        <v>-3.1250152684063594E-2</v>
      </c>
      <c r="F59" s="49">
        <f t="shared" si="2"/>
        <v>1.182837463955476E-3</v>
      </c>
    </row>
    <row r="60" spans="2:6">
      <c r="B60" s="51">
        <v>42438</v>
      </c>
      <c r="C60" s="32">
        <v>19.379799999999999</v>
      </c>
      <c r="D60" s="7">
        <v>583.04129999999998</v>
      </c>
      <c r="E60" s="49">
        <f t="shared" si="1"/>
        <v>-2.2579750346740694E-2</v>
      </c>
      <c r="F60" s="49">
        <f t="shared" si="2"/>
        <v>-5.3020639287853508E-3</v>
      </c>
    </row>
    <row r="61" spans="2:6">
      <c r="B61" s="51">
        <v>42439</v>
      </c>
      <c r="C61" s="32">
        <v>20.211200000000002</v>
      </c>
      <c r="D61" s="7">
        <v>582.34760000000006</v>
      </c>
      <c r="E61" s="49">
        <f t="shared" si="1"/>
        <v>4.2900339528787822E-2</v>
      </c>
      <c r="F61" s="49">
        <f t="shared" si="2"/>
        <v>-1.1897956456942615E-3</v>
      </c>
    </row>
    <row r="62" spans="2:6">
      <c r="B62" s="51">
        <v>42440</v>
      </c>
      <c r="C62" s="32">
        <v>20.211200000000002</v>
      </c>
      <c r="D62" s="7">
        <v>585.02940000000001</v>
      </c>
      <c r="E62" s="49">
        <f t="shared" si="1"/>
        <v>0</v>
      </c>
      <c r="F62" s="49">
        <f t="shared" si="2"/>
        <v>4.6051533482750727E-3</v>
      </c>
    </row>
    <row r="63" spans="2:6">
      <c r="B63" s="51">
        <v>42443</v>
      </c>
      <c r="C63" s="32">
        <v>19.5077</v>
      </c>
      <c r="D63" s="7">
        <v>589.54459999999995</v>
      </c>
      <c r="E63" s="49">
        <f t="shared" si="1"/>
        <v>-3.4807433502216677E-2</v>
      </c>
      <c r="F63" s="49">
        <f t="shared" si="2"/>
        <v>7.7179027242048623E-3</v>
      </c>
    </row>
    <row r="64" spans="2:6">
      <c r="B64" s="51">
        <v>42444</v>
      </c>
      <c r="C64" s="32">
        <v>19.5716</v>
      </c>
      <c r="D64" s="7">
        <v>582.77919999999995</v>
      </c>
      <c r="E64" s="49">
        <f t="shared" si="1"/>
        <v>3.2756296231744538E-3</v>
      </c>
      <c r="F64" s="49">
        <f t="shared" si="2"/>
        <v>-1.147563729699161E-2</v>
      </c>
    </row>
    <row r="65" spans="2:6">
      <c r="B65" s="51">
        <v>42445</v>
      </c>
      <c r="C65" s="32">
        <v>19.5716</v>
      </c>
      <c r="D65" s="7">
        <v>586.00379999999996</v>
      </c>
      <c r="E65" s="49">
        <f t="shared" si="1"/>
        <v>0</v>
      </c>
      <c r="F65" s="49">
        <f t="shared" si="2"/>
        <v>5.5331418828949448E-3</v>
      </c>
    </row>
    <row r="66" spans="2:6">
      <c r="B66" s="51">
        <v>42446</v>
      </c>
      <c r="C66" s="32">
        <v>19.5716</v>
      </c>
      <c r="D66" s="7">
        <v>585.7817</v>
      </c>
      <c r="E66" s="49">
        <f t="shared" si="1"/>
        <v>0</v>
      </c>
      <c r="F66" s="49">
        <f t="shared" si="2"/>
        <v>-3.7900778117813384E-4</v>
      </c>
    </row>
    <row r="67" spans="2:6">
      <c r="B67" s="51">
        <v>42447</v>
      </c>
      <c r="C67" s="32">
        <v>19.5077</v>
      </c>
      <c r="D67" s="7">
        <v>590.28020000000004</v>
      </c>
      <c r="E67" s="49">
        <f t="shared" si="1"/>
        <v>-3.2649349056796729E-3</v>
      </c>
      <c r="F67" s="49">
        <f t="shared" si="2"/>
        <v>7.6794819640149826E-3</v>
      </c>
    </row>
    <row r="68" spans="2:6">
      <c r="B68" s="51">
        <v>42450</v>
      </c>
      <c r="C68" s="32">
        <v>19.6996</v>
      </c>
      <c r="D68" s="7">
        <v>588.42049999999995</v>
      </c>
      <c r="E68" s="49">
        <f t="shared" si="1"/>
        <v>9.8371412314112068E-3</v>
      </c>
      <c r="F68" s="49">
        <f t="shared" si="2"/>
        <v>-3.1505376599114945E-3</v>
      </c>
    </row>
    <row r="69" spans="2:6">
      <c r="B69" s="51">
        <v>42451</v>
      </c>
      <c r="C69" s="32">
        <v>19.251799999999999</v>
      </c>
      <c r="D69" s="7">
        <v>589.00360000000001</v>
      </c>
      <c r="E69" s="49">
        <f t="shared" si="1"/>
        <v>-2.2731426018802455E-2</v>
      </c>
      <c r="F69" s="49">
        <f t="shared" si="2"/>
        <v>9.9095799687478367E-4</v>
      </c>
    </row>
    <row r="70" spans="2:6">
      <c r="B70" s="51">
        <v>42458</v>
      </c>
      <c r="C70" s="32">
        <v>19.251799999999999</v>
      </c>
      <c r="D70" s="7">
        <v>569.75260000000003</v>
      </c>
      <c r="E70" s="49">
        <f t="shared" si="1"/>
        <v>0</v>
      </c>
      <c r="F70" s="49">
        <f t="shared" si="2"/>
        <v>-3.268401075986628E-2</v>
      </c>
    </row>
    <row r="71" spans="2:6">
      <c r="B71" s="51">
        <v>42459</v>
      </c>
      <c r="C71" s="32">
        <v>18.995999999999999</v>
      </c>
      <c r="D71" s="7">
        <v>585.11990000000003</v>
      </c>
      <c r="E71" s="49">
        <f t="shared" si="1"/>
        <v>-1.3287069261056146E-2</v>
      </c>
      <c r="F71" s="49">
        <f t="shared" si="2"/>
        <v>2.6971882181845243E-2</v>
      </c>
    </row>
    <row r="72" spans="2:6">
      <c r="B72" s="51">
        <v>42460</v>
      </c>
      <c r="C72" s="32">
        <v>19.5077</v>
      </c>
      <c r="D72" s="7">
        <v>577.74969999999996</v>
      </c>
      <c r="E72" s="49">
        <f t="shared" si="1"/>
        <v>2.6937249947357401E-2</v>
      </c>
      <c r="F72" s="49">
        <f t="shared" si="2"/>
        <v>-1.2596050826505931E-2</v>
      </c>
    </row>
    <row r="73" spans="2:6">
      <c r="B73" s="51">
        <v>42461</v>
      </c>
      <c r="C73" s="32">
        <v>19.5077</v>
      </c>
      <c r="D73" s="7">
        <v>569.78779999999995</v>
      </c>
      <c r="E73" s="49">
        <f t="shared" si="1"/>
        <v>0</v>
      </c>
      <c r="F73" s="49">
        <f t="shared" si="2"/>
        <v>-1.3780881236286258E-2</v>
      </c>
    </row>
    <row r="74" spans="2:6">
      <c r="B74" s="51">
        <v>42464</v>
      </c>
      <c r="C74" s="32">
        <v>19.187899999999999</v>
      </c>
      <c r="D74" s="7">
        <v>566.85199999999998</v>
      </c>
      <c r="E74" s="49">
        <f t="shared" si="1"/>
        <v>-1.6393526658704038E-2</v>
      </c>
      <c r="F74" s="49">
        <f t="shared" si="2"/>
        <v>-5.1524444714330002E-3</v>
      </c>
    </row>
    <row r="75" spans="2:6">
      <c r="B75" s="51">
        <v>42465</v>
      </c>
      <c r="C75" s="32">
        <v>18.995999999999999</v>
      </c>
      <c r="D75" s="7">
        <v>559.83619999999996</v>
      </c>
      <c r="E75" s="49">
        <f t="shared" si="1"/>
        <v>-1.0001094439725057E-2</v>
      </c>
      <c r="F75" s="49">
        <f t="shared" si="2"/>
        <v>-1.2376775595746356E-2</v>
      </c>
    </row>
    <row r="76" spans="2:6">
      <c r="B76" s="51">
        <v>42466</v>
      </c>
      <c r="C76" s="32">
        <v>19.187899999999999</v>
      </c>
      <c r="D76" s="7">
        <v>562.89020000000005</v>
      </c>
      <c r="E76" s="49">
        <f t="shared" si="1"/>
        <v>1.0102126763529186E-2</v>
      </c>
      <c r="F76" s="49">
        <f t="shared" si="2"/>
        <v>5.4551670649380796E-3</v>
      </c>
    </row>
    <row r="77" spans="2:6">
      <c r="B77" s="51">
        <v>42467</v>
      </c>
      <c r="C77" s="32">
        <v>19.187899999999999</v>
      </c>
      <c r="D77" s="7">
        <v>560.42520000000002</v>
      </c>
      <c r="E77" s="49">
        <f t="shared" si="1"/>
        <v>0</v>
      </c>
      <c r="F77" s="49">
        <f t="shared" si="2"/>
        <v>-4.3791844306403484E-3</v>
      </c>
    </row>
    <row r="78" spans="2:6">
      <c r="B78" s="51">
        <v>42468</v>
      </c>
      <c r="C78" s="32">
        <v>18.676200000000001</v>
      </c>
      <c r="D78" s="7">
        <v>566.23739999999998</v>
      </c>
      <c r="E78" s="49">
        <f t="shared" si="1"/>
        <v>-2.6667847966687214E-2</v>
      </c>
      <c r="F78" s="49">
        <f t="shared" si="2"/>
        <v>1.0371053978300692E-2</v>
      </c>
    </row>
    <row r="79" spans="2:6">
      <c r="B79" s="51">
        <v>42471</v>
      </c>
      <c r="C79" s="32">
        <v>18.995999999999999</v>
      </c>
      <c r="D79" s="7">
        <v>571.66610000000003</v>
      </c>
      <c r="E79" s="49">
        <f t="shared" ref="E79:E142" si="3">(C79-C78)/C78</f>
        <v>1.712339769332076E-2</v>
      </c>
      <c r="F79" s="49">
        <f t="shared" ref="F79:F142" si="4">(D79-D78)/D78</f>
        <v>9.5873215015469648E-3</v>
      </c>
    </row>
    <row r="80" spans="2:6">
      <c r="B80" s="51">
        <v>42472</v>
      </c>
      <c r="C80" s="32">
        <v>18.868099999999998</v>
      </c>
      <c r="D80" s="7">
        <v>574.3433</v>
      </c>
      <c r="E80" s="49">
        <f t="shared" si="3"/>
        <v>-6.7329964202990289E-3</v>
      </c>
      <c r="F80" s="49">
        <f t="shared" si="4"/>
        <v>4.6831533302394016E-3</v>
      </c>
    </row>
    <row r="81" spans="2:6">
      <c r="B81" s="51">
        <v>42473</v>
      </c>
      <c r="C81" s="32">
        <v>18.868099999999998</v>
      </c>
      <c r="D81" s="7">
        <v>588.9538</v>
      </c>
      <c r="E81" s="49">
        <f t="shared" si="3"/>
        <v>0</v>
      </c>
      <c r="F81" s="49">
        <f t="shared" si="4"/>
        <v>2.5438618331579739E-2</v>
      </c>
    </row>
    <row r="82" spans="2:6">
      <c r="B82" s="51">
        <v>42474</v>
      </c>
      <c r="C82" s="32">
        <v>18.868099999999998</v>
      </c>
      <c r="D82" s="7">
        <v>589.14499999999998</v>
      </c>
      <c r="E82" s="49">
        <f t="shared" si="3"/>
        <v>0</v>
      </c>
      <c r="F82" s="49">
        <f t="shared" si="4"/>
        <v>3.2464346099809647E-4</v>
      </c>
    </row>
    <row r="83" spans="2:6">
      <c r="B83" s="51">
        <v>42475</v>
      </c>
      <c r="C83" s="32">
        <v>18.868099999999998</v>
      </c>
      <c r="D83" s="7">
        <v>584.72140000000002</v>
      </c>
      <c r="E83" s="49">
        <f t="shared" si="3"/>
        <v>0</v>
      </c>
      <c r="F83" s="49">
        <f t="shared" si="4"/>
        <v>-7.5085080922352989E-3</v>
      </c>
    </row>
    <row r="84" spans="2:6">
      <c r="B84" s="51">
        <v>42478</v>
      </c>
      <c r="C84" s="32">
        <v>19.187899999999999</v>
      </c>
      <c r="D84" s="7">
        <v>585.45820000000003</v>
      </c>
      <c r="E84" s="49">
        <f t="shared" si="3"/>
        <v>1.6949242372045981E-2</v>
      </c>
      <c r="F84" s="49">
        <f t="shared" si="4"/>
        <v>1.2600872825930718E-3</v>
      </c>
    </row>
    <row r="85" spans="2:6">
      <c r="B85" s="51">
        <v>42479</v>
      </c>
      <c r="C85" s="32">
        <v>19.5077</v>
      </c>
      <c r="D85" s="7">
        <v>595.91840000000002</v>
      </c>
      <c r="E85" s="49">
        <f t="shared" si="3"/>
        <v>1.6666753526962345E-2</v>
      </c>
      <c r="F85" s="49">
        <f t="shared" si="4"/>
        <v>1.786668971414182E-2</v>
      </c>
    </row>
    <row r="86" spans="2:6">
      <c r="B86" s="51">
        <v>42480</v>
      </c>
      <c r="C86" s="32">
        <v>19.4437</v>
      </c>
      <c r="D86" s="7">
        <v>597.26890000000003</v>
      </c>
      <c r="E86" s="49">
        <f t="shared" si="3"/>
        <v>-3.2807558041183767E-3</v>
      </c>
      <c r="F86" s="49">
        <f t="shared" si="4"/>
        <v>2.2662498758219429E-3</v>
      </c>
    </row>
    <row r="87" spans="2:6">
      <c r="B87" s="51">
        <v>42481</v>
      </c>
      <c r="C87" s="32">
        <v>18.995999999999999</v>
      </c>
      <c r="D87" s="7">
        <v>599.05859999999996</v>
      </c>
      <c r="E87" s="49">
        <f t="shared" si="3"/>
        <v>-2.3025452974485366E-2</v>
      </c>
      <c r="F87" s="49">
        <f t="shared" si="4"/>
        <v>2.9964727780065646E-3</v>
      </c>
    </row>
    <row r="88" spans="2:6">
      <c r="B88" s="51">
        <v>42482</v>
      </c>
      <c r="C88" s="32">
        <v>19.187899999999999</v>
      </c>
      <c r="D88" s="7">
        <v>595.2337</v>
      </c>
      <c r="E88" s="49">
        <f t="shared" si="3"/>
        <v>1.0102126763529186E-2</v>
      </c>
      <c r="F88" s="49">
        <f t="shared" si="4"/>
        <v>-6.3848511648108503E-3</v>
      </c>
    </row>
    <row r="89" spans="2:6">
      <c r="B89" s="51">
        <v>42485</v>
      </c>
      <c r="C89" s="32">
        <v>19.251799999999999</v>
      </c>
      <c r="D89" s="7">
        <v>592.22460000000001</v>
      </c>
      <c r="E89" s="49">
        <f t="shared" si="3"/>
        <v>3.3302237347495188E-3</v>
      </c>
      <c r="F89" s="49">
        <f t="shared" si="4"/>
        <v>-5.055325328522208E-3</v>
      </c>
    </row>
    <row r="90" spans="2:6">
      <c r="B90" s="51">
        <v>42486</v>
      </c>
      <c r="C90" s="32">
        <v>18.931999999999999</v>
      </c>
      <c r="D90" s="7">
        <v>594.86320000000001</v>
      </c>
      <c r="E90" s="49">
        <f t="shared" si="3"/>
        <v>-1.6611433736066279E-2</v>
      </c>
      <c r="F90" s="49">
        <f t="shared" si="4"/>
        <v>4.4554042503469069E-3</v>
      </c>
    </row>
    <row r="91" spans="2:6">
      <c r="B91" s="51">
        <v>42487</v>
      </c>
      <c r="C91" s="32">
        <v>19.059999999999999</v>
      </c>
      <c r="D91" s="7">
        <v>606.31719999999996</v>
      </c>
      <c r="E91" s="49">
        <f t="shared" si="3"/>
        <v>6.7610395098246416E-3</v>
      </c>
      <c r="F91" s="49">
        <f t="shared" si="4"/>
        <v>1.9254847164860679E-2</v>
      </c>
    </row>
    <row r="92" spans="2:6">
      <c r="B92" s="51">
        <v>42488</v>
      </c>
      <c r="C92" s="32">
        <v>19.123899999999999</v>
      </c>
      <c r="D92" s="7">
        <v>610.96469999999999</v>
      </c>
      <c r="E92" s="49">
        <f t="shared" si="3"/>
        <v>3.3525708289611905E-3</v>
      </c>
      <c r="F92" s="49">
        <f t="shared" si="4"/>
        <v>7.6651297373718525E-3</v>
      </c>
    </row>
    <row r="93" spans="2:6">
      <c r="B93" s="51">
        <v>42489</v>
      </c>
      <c r="C93" s="32">
        <v>19.379799999999999</v>
      </c>
      <c r="D93" s="7">
        <v>606.28150000000005</v>
      </c>
      <c r="E93" s="49">
        <f t="shared" si="3"/>
        <v>1.3381161792312262E-2</v>
      </c>
      <c r="F93" s="49">
        <f t="shared" si="4"/>
        <v>-7.6652546374609571E-3</v>
      </c>
    </row>
    <row r="94" spans="2:6">
      <c r="B94" s="51">
        <v>42492</v>
      </c>
      <c r="C94" s="32">
        <v>19.379799999999999</v>
      </c>
      <c r="D94" s="7">
        <v>601.41</v>
      </c>
      <c r="E94" s="49">
        <f t="shared" si="3"/>
        <v>0</v>
      </c>
      <c r="F94" s="49">
        <f t="shared" si="4"/>
        <v>-8.0350464264538537E-3</v>
      </c>
    </row>
    <row r="95" spans="2:6">
      <c r="B95" s="51">
        <v>42493</v>
      </c>
      <c r="C95" s="32">
        <v>19.315799999999999</v>
      </c>
      <c r="D95" s="7">
        <v>592.6</v>
      </c>
      <c r="E95" s="49">
        <f t="shared" si="3"/>
        <v>-3.3024076615857777E-3</v>
      </c>
      <c r="F95" s="49">
        <f t="shared" si="4"/>
        <v>-1.4648908398596542E-2</v>
      </c>
    </row>
    <row r="96" spans="2:6">
      <c r="B96" s="51">
        <v>42494</v>
      </c>
      <c r="C96" s="32">
        <v>19.059999999999999</v>
      </c>
      <c r="D96" s="7">
        <v>595.61</v>
      </c>
      <c r="E96" s="49">
        <f t="shared" si="3"/>
        <v>-1.3243044554199189E-2</v>
      </c>
      <c r="F96" s="49">
        <f t="shared" si="4"/>
        <v>5.0793115086061272E-3</v>
      </c>
    </row>
    <row r="97" spans="2:6">
      <c r="B97" s="51">
        <v>42496</v>
      </c>
      <c r="C97" s="32">
        <v>19.4437</v>
      </c>
      <c r="D97" s="7">
        <v>595.94000000000005</v>
      </c>
      <c r="E97" s="49">
        <f t="shared" si="3"/>
        <v>2.0131164742917158E-2</v>
      </c>
      <c r="F97" s="49">
        <f t="shared" si="4"/>
        <v>5.5405382716885369E-4</v>
      </c>
    </row>
    <row r="98" spans="2:6">
      <c r="B98" s="51">
        <v>42499</v>
      </c>
      <c r="C98" s="32">
        <v>19.763500000000001</v>
      </c>
      <c r="D98" s="7">
        <v>593.58000000000004</v>
      </c>
      <c r="E98" s="49">
        <f t="shared" si="3"/>
        <v>1.6447486846639311E-2</v>
      </c>
      <c r="F98" s="49">
        <f t="shared" si="4"/>
        <v>-3.9601302144511418E-3</v>
      </c>
    </row>
    <row r="99" spans="2:6">
      <c r="B99" s="51">
        <v>42500</v>
      </c>
      <c r="C99" s="32">
        <v>19.827500000000001</v>
      </c>
      <c r="D99" s="7">
        <v>594.19000000000005</v>
      </c>
      <c r="E99" s="49">
        <f t="shared" si="3"/>
        <v>3.2382928125079089E-3</v>
      </c>
      <c r="F99" s="49">
        <f t="shared" si="4"/>
        <v>1.0276626570976341E-3</v>
      </c>
    </row>
    <row r="100" spans="2:6">
      <c r="B100" s="51">
        <v>42501</v>
      </c>
      <c r="C100" s="32">
        <v>19.6356</v>
      </c>
      <c r="D100" s="7">
        <v>599.02</v>
      </c>
      <c r="E100" s="49">
        <f t="shared" si="3"/>
        <v>-9.678476862942903E-3</v>
      </c>
      <c r="F100" s="49">
        <f t="shared" si="4"/>
        <v>8.128713037917042E-3</v>
      </c>
    </row>
    <row r="101" spans="2:6">
      <c r="B101" s="51">
        <v>42502</v>
      </c>
      <c r="C101" s="32">
        <v>20.644300000000001</v>
      </c>
      <c r="D101" s="7">
        <v>600.42999999999995</v>
      </c>
      <c r="E101" s="49">
        <f t="shared" si="3"/>
        <v>5.1370979241785381E-2</v>
      </c>
      <c r="F101" s="49">
        <f t="shared" si="4"/>
        <v>2.3538446128676307E-3</v>
      </c>
    </row>
    <row r="102" spans="2:6">
      <c r="B102" s="51">
        <v>42503</v>
      </c>
      <c r="C102" s="32">
        <v>20.1736</v>
      </c>
      <c r="D102" s="7">
        <v>597.30999999999995</v>
      </c>
      <c r="E102" s="49">
        <f t="shared" si="3"/>
        <v>-2.2800482457627565E-2</v>
      </c>
      <c r="F102" s="49">
        <f t="shared" si="4"/>
        <v>-5.1962760021984321E-3</v>
      </c>
    </row>
    <row r="103" spans="2:6">
      <c r="B103" s="51">
        <v>42508</v>
      </c>
      <c r="C103" s="32">
        <v>20.106300000000001</v>
      </c>
      <c r="D103" s="7">
        <v>605.35</v>
      </c>
      <c r="E103" s="49">
        <f t="shared" si="3"/>
        <v>-3.3360431454970592E-3</v>
      </c>
      <c r="F103" s="49">
        <f t="shared" si="4"/>
        <v>1.3460347223384973E-2</v>
      </c>
    </row>
    <row r="104" spans="2:6">
      <c r="B104" s="51">
        <v>42509</v>
      </c>
      <c r="C104" s="32">
        <v>20.1736</v>
      </c>
      <c r="D104" s="7">
        <v>594.65</v>
      </c>
      <c r="E104" s="49">
        <f t="shared" si="3"/>
        <v>3.3472095810765518E-3</v>
      </c>
      <c r="F104" s="49">
        <f t="shared" si="4"/>
        <v>-1.7675724787313198E-2</v>
      </c>
    </row>
    <row r="105" spans="2:6">
      <c r="B105" s="51">
        <v>42510</v>
      </c>
      <c r="C105" s="32">
        <v>19.164899999999999</v>
      </c>
      <c r="D105" s="7">
        <v>605.05999999999995</v>
      </c>
      <c r="E105" s="49">
        <f t="shared" si="3"/>
        <v>-5.0000991394694105E-2</v>
      </c>
      <c r="F105" s="49">
        <f t="shared" si="4"/>
        <v>1.7506096022870545E-2</v>
      </c>
    </row>
    <row r="106" spans="2:6">
      <c r="B106" s="51">
        <v>42513</v>
      </c>
      <c r="C106" s="32">
        <v>18.895900000000001</v>
      </c>
      <c r="D106" s="7">
        <v>605.38</v>
      </c>
      <c r="E106" s="49">
        <f t="shared" si="3"/>
        <v>-1.4036076368778254E-2</v>
      </c>
      <c r="F106" s="49">
        <f t="shared" si="4"/>
        <v>5.2887316960309732E-4</v>
      </c>
    </row>
    <row r="107" spans="2:6">
      <c r="B107" s="51">
        <v>42514</v>
      </c>
      <c r="C107" s="32">
        <v>19.0304</v>
      </c>
      <c r="D107" s="7">
        <v>610.77</v>
      </c>
      <c r="E107" s="49">
        <f t="shared" si="3"/>
        <v>7.1179462211378745E-3</v>
      </c>
      <c r="F107" s="49">
        <f t="shared" si="4"/>
        <v>8.9034986289602998E-3</v>
      </c>
    </row>
    <row r="108" spans="2:6">
      <c r="B108" s="51">
        <v>42515</v>
      </c>
      <c r="C108" s="32">
        <v>19.0304</v>
      </c>
      <c r="D108" s="7">
        <v>619.62</v>
      </c>
      <c r="E108" s="49">
        <f t="shared" si="3"/>
        <v>0</v>
      </c>
      <c r="F108" s="49">
        <f t="shared" si="4"/>
        <v>1.4489906183997286E-2</v>
      </c>
    </row>
    <row r="109" spans="2:6">
      <c r="B109" s="51">
        <v>42516</v>
      </c>
      <c r="C109" s="32">
        <v>18.828700000000001</v>
      </c>
      <c r="D109" s="7">
        <v>622.25</v>
      </c>
      <c r="E109" s="49">
        <f t="shared" si="3"/>
        <v>-1.0598831343534496E-2</v>
      </c>
      <c r="F109" s="49">
        <f t="shared" si="4"/>
        <v>4.2445369742745483E-3</v>
      </c>
    </row>
    <row r="110" spans="2:6">
      <c r="B110" s="51">
        <v>42517</v>
      </c>
      <c r="C110" s="32">
        <v>19.164899999999999</v>
      </c>
      <c r="D110" s="7">
        <v>618.82000000000005</v>
      </c>
      <c r="E110" s="49">
        <f t="shared" si="3"/>
        <v>1.7855720256841845E-2</v>
      </c>
      <c r="F110" s="49">
        <f t="shared" si="4"/>
        <v>-5.5122539172357569E-3</v>
      </c>
    </row>
    <row r="111" spans="2:6">
      <c r="B111" s="51">
        <v>42520</v>
      </c>
      <c r="C111" s="32">
        <v>19.501100000000001</v>
      </c>
      <c r="D111" s="7">
        <v>622.89</v>
      </c>
      <c r="E111" s="49">
        <f t="shared" si="3"/>
        <v>1.7542486524844983E-2</v>
      </c>
      <c r="F111" s="49">
        <f t="shared" si="4"/>
        <v>6.5770337093176302E-3</v>
      </c>
    </row>
    <row r="112" spans="2:6">
      <c r="B112" s="51">
        <v>42521</v>
      </c>
      <c r="C112" s="32">
        <v>19.837299999999999</v>
      </c>
      <c r="D112" s="7">
        <v>617.30999999999995</v>
      </c>
      <c r="E112" s="49">
        <f t="shared" si="3"/>
        <v>1.7240053125208221E-2</v>
      </c>
      <c r="F112" s="49">
        <f t="shared" si="4"/>
        <v>-8.958243028464161E-3</v>
      </c>
    </row>
    <row r="113" spans="2:6">
      <c r="B113" s="51">
        <v>42522</v>
      </c>
      <c r="C113" s="32">
        <v>19.837299999999999</v>
      </c>
      <c r="D113" s="7">
        <v>611.63</v>
      </c>
      <c r="E113" s="49">
        <f t="shared" si="3"/>
        <v>0</v>
      </c>
      <c r="F113" s="49">
        <f t="shared" si="4"/>
        <v>-9.2012117088658054E-3</v>
      </c>
    </row>
    <row r="114" spans="2:6">
      <c r="B114" s="51">
        <v>42523</v>
      </c>
      <c r="C114" s="32">
        <v>19.501100000000001</v>
      </c>
      <c r="D114" s="7">
        <v>611.30999999999995</v>
      </c>
      <c r="E114" s="49">
        <f t="shared" si="3"/>
        <v>-1.6947870930015579E-2</v>
      </c>
      <c r="F114" s="49">
        <f t="shared" si="4"/>
        <v>-5.2319212595858613E-4</v>
      </c>
    </row>
    <row r="115" spans="2:6">
      <c r="B115" s="51">
        <v>42524</v>
      </c>
      <c r="C115" s="32">
        <v>19.501100000000001</v>
      </c>
      <c r="D115" s="7">
        <v>609.26</v>
      </c>
      <c r="E115" s="49">
        <f t="shared" si="3"/>
        <v>0</v>
      </c>
      <c r="F115" s="49">
        <f t="shared" si="4"/>
        <v>-3.3534540576793358E-3</v>
      </c>
    </row>
    <row r="116" spans="2:6">
      <c r="B116" s="51">
        <v>42527</v>
      </c>
      <c r="C116" s="32">
        <v>18.828700000000001</v>
      </c>
      <c r="D116" s="7">
        <v>615.11</v>
      </c>
      <c r="E116" s="49">
        <f t="shared" si="3"/>
        <v>-3.4480106250416621E-2</v>
      </c>
      <c r="F116" s="49">
        <f t="shared" si="4"/>
        <v>9.6018120342711202E-3</v>
      </c>
    </row>
    <row r="117" spans="2:6">
      <c r="B117" s="51">
        <v>42528</v>
      </c>
      <c r="C117" s="32">
        <v>18.895900000000001</v>
      </c>
      <c r="D117" s="7">
        <v>621.79999999999995</v>
      </c>
      <c r="E117" s="49">
        <f t="shared" si="3"/>
        <v>3.5690196349190172E-3</v>
      </c>
      <c r="F117" s="49">
        <f t="shared" si="4"/>
        <v>1.0876103461169451E-2</v>
      </c>
    </row>
    <row r="118" spans="2:6">
      <c r="B118" s="51">
        <v>42529</v>
      </c>
      <c r="C118" s="32">
        <v>18.963200000000001</v>
      </c>
      <c r="D118" s="7">
        <v>622.70000000000005</v>
      </c>
      <c r="E118" s="49">
        <f t="shared" si="3"/>
        <v>3.5616191872310642E-3</v>
      </c>
      <c r="F118" s="49">
        <f t="shared" si="4"/>
        <v>1.4474107430043279E-3</v>
      </c>
    </row>
    <row r="119" spans="2:6">
      <c r="B119" s="51">
        <v>42530</v>
      </c>
      <c r="C119" s="32">
        <v>18.963200000000001</v>
      </c>
      <c r="D119" s="7">
        <v>612.54</v>
      </c>
      <c r="E119" s="49">
        <f t="shared" si="3"/>
        <v>0</v>
      </c>
      <c r="F119" s="49">
        <f t="shared" si="4"/>
        <v>-1.6316043038381373E-2</v>
      </c>
    </row>
    <row r="120" spans="2:6">
      <c r="B120" s="51">
        <v>42531</v>
      </c>
      <c r="C120" s="32">
        <v>18.828700000000001</v>
      </c>
      <c r="D120" s="7">
        <v>604.78</v>
      </c>
      <c r="E120" s="49">
        <f t="shared" si="3"/>
        <v>-7.0926847789402198E-3</v>
      </c>
      <c r="F120" s="49">
        <f t="shared" si="4"/>
        <v>-1.2668560420543951E-2</v>
      </c>
    </row>
    <row r="121" spans="2:6">
      <c r="B121" s="51">
        <v>42534</v>
      </c>
      <c r="C121" s="32">
        <v>18.828700000000001</v>
      </c>
      <c r="D121" s="7">
        <v>595.78</v>
      </c>
      <c r="E121" s="49">
        <f t="shared" si="3"/>
        <v>0</v>
      </c>
      <c r="F121" s="49">
        <f t="shared" si="4"/>
        <v>-1.4881444492212044E-2</v>
      </c>
    </row>
    <row r="122" spans="2:6">
      <c r="B122" s="51">
        <v>42535</v>
      </c>
      <c r="C122" s="32">
        <v>18.828700000000001</v>
      </c>
      <c r="D122" s="7">
        <v>587.34</v>
      </c>
      <c r="E122" s="49">
        <f t="shared" si="3"/>
        <v>0</v>
      </c>
      <c r="F122" s="49">
        <f t="shared" si="4"/>
        <v>-1.4166302997750749E-2</v>
      </c>
    </row>
    <row r="123" spans="2:6">
      <c r="B123" s="51">
        <v>42536</v>
      </c>
      <c r="C123" s="32">
        <v>18.828700000000001</v>
      </c>
      <c r="D123" s="7">
        <v>590.13</v>
      </c>
      <c r="E123" s="49">
        <f t="shared" si="3"/>
        <v>0</v>
      </c>
      <c r="F123" s="49">
        <f t="shared" si="4"/>
        <v>4.7502298498313814E-3</v>
      </c>
    </row>
    <row r="124" spans="2:6">
      <c r="B124" s="51">
        <v>42537</v>
      </c>
      <c r="C124" s="32">
        <v>18.828700000000001</v>
      </c>
      <c r="D124" s="7">
        <v>575.25</v>
      </c>
      <c r="E124" s="49">
        <f t="shared" si="3"/>
        <v>0</v>
      </c>
      <c r="F124" s="49">
        <f t="shared" si="4"/>
        <v>-2.5214783183366368E-2</v>
      </c>
    </row>
    <row r="125" spans="2:6">
      <c r="B125" s="51">
        <v>42538</v>
      </c>
      <c r="C125" s="32">
        <v>18.156199999999998</v>
      </c>
      <c r="D125" s="7">
        <v>590.87</v>
      </c>
      <c r="E125" s="49">
        <f t="shared" si="3"/>
        <v>-3.5716751554807448E-2</v>
      </c>
      <c r="F125" s="49">
        <f t="shared" si="4"/>
        <v>2.7153411560191229E-2</v>
      </c>
    </row>
    <row r="126" spans="2:6">
      <c r="B126" s="51">
        <v>42541</v>
      </c>
      <c r="C126" s="32">
        <v>18.156199999999998</v>
      </c>
      <c r="D126" s="7">
        <v>603.76</v>
      </c>
      <c r="E126" s="49">
        <f t="shared" si="3"/>
        <v>0</v>
      </c>
      <c r="F126" s="49">
        <f t="shared" si="4"/>
        <v>2.181528931913955E-2</v>
      </c>
    </row>
    <row r="127" spans="2:6">
      <c r="B127" s="51">
        <v>42542</v>
      </c>
      <c r="C127" s="32">
        <v>18.088999999999999</v>
      </c>
      <c r="D127" s="7">
        <v>603.19000000000005</v>
      </c>
      <c r="E127" s="49">
        <f t="shared" si="3"/>
        <v>-3.7012150119518244E-3</v>
      </c>
      <c r="F127" s="49">
        <f t="shared" si="4"/>
        <v>-9.4408374188408701E-4</v>
      </c>
    </row>
    <row r="128" spans="2:6">
      <c r="B128" s="51">
        <v>42543</v>
      </c>
      <c r="C128" s="32">
        <v>18.156199999999998</v>
      </c>
      <c r="D128" s="7">
        <v>606.91999999999996</v>
      </c>
      <c r="E128" s="49">
        <f t="shared" si="3"/>
        <v>3.7149648957930073E-3</v>
      </c>
      <c r="F128" s="49">
        <f t="shared" si="4"/>
        <v>6.1837895190568551E-3</v>
      </c>
    </row>
    <row r="129" spans="2:6">
      <c r="B129" s="51">
        <v>42544</v>
      </c>
      <c r="C129" s="32">
        <v>18.357900000000001</v>
      </c>
      <c r="D129" s="7">
        <v>610.94000000000005</v>
      </c>
      <c r="E129" s="49">
        <f t="shared" si="3"/>
        <v>1.1109152796290107E-2</v>
      </c>
      <c r="F129" s="49">
        <f t="shared" si="4"/>
        <v>6.6236077242471754E-3</v>
      </c>
    </row>
    <row r="130" spans="2:6">
      <c r="B130" s="51">
        <v>42545</v>
      </c>
      <c r="C130" s="32">
        <v>18.156199999999998</v>
      </c>
      <c r="D130" s="7">
        <v>592.16</v>
      </c>
      <c r="E130" s="49">
        <f t="shared" si="3"/>
        <v>-1.098709547388331E-2</v>
      </c>
      <c r="F130" s="49">
        <f t="shared" si="4"/>
        <v>-3.0739516155432751E-2</v>
      </c>
    </row>
    <row r="131" spans="2:6">
      <c r="B131" s="51">
        <v>42548</v>
      </c>
      <c r="C131" s="32">
        <v>17.483799999999999</v>
      </c>
      <c r="D131" s="7">
        <v>573.01</v>
      </c>
      <c r="E131" s="49">
        <f t="shared" si="3"/>
        <v>-3.7034181161256195E-2</v>
      </c>
      <c r="F131" s="49">
        <f t="shared" si="4"/>
        <v>-3.2339232639827034E-2</v>
      </c>
    </row>
    <row r="132" spans="2:6">
      <c r="B132" s="51">
        <v>42549</v>
      </c>
      <c r="C132" s="32">
        <v>17.2148</v>
      </c>
      <c r="D132" s="7">
        <v>587.35</v>
      </c>
      <c r="E132" s="49">
        <f t="shared" si="3"/>
        <v>-1.5385671307152814E-2</v>
      </c>
      <c r="F132" s="49">
        <f t="shared" si="4"/>
        <v>2.5025741261060074E-2</v>
      </c>
    </row>
    <row r="133" spans="2:6">
      <c r="B133" s="51">
        <v>42550</v>
      </c>
      <c r="C133" s="32">
        <v>17.483799999999999</v>
      </c>
      <c r="D133" s="7">
        <v>599.67999999999995</v>
      </c>
      <c r="E133" s="49">
        <f t="shared" si="3"/>
        <v>1.5626089179078373E-2</v>
      </c>
      <c r="F133" s="49">
        <f t="shared" si="4"/>
        <v>2.0992593853749769E-2</v>
      </c>
    </row>
    <row r="134" spans="2:6">
      <c r="B134" s="51">
        <v>42551</v>
      </c>
      <c r="C134" s="32">
        <v>17.147500000000001</v>
      </c>
      <c r="D134" s="7">
        <v>602.86</v>
      </c>
      <c r="E134" s="49">
        <f t="shared" si="3"/>
        <v>-1.9234948924146802E-2</v>
      </c>
      <c r="F134" s="49">
        <f t="shared" si="4"/>
        <v>5.3028281750267872E-3</v>
      </c>
    </row>
    <row r="135" spans="2:6">
      <c r="B135" s="51">
        <v>42552</v>
      </c>
      <c r="C135" s="32">
        <v>17.483799999999999</v>
      </c>
      <c r="D135" s="7">
        <v>611.57000000000005</v>
      </c>
      <c r="E135" s="49">
        <f t="shared" si="3"/>
        <v>1.9612188365650842E-2</v>
      </c>
      <c r="F135" s="49">
        <f t="shared" si="4"/>
        <v>1.4447798825598043E-2</v>
      </c>
    </row>
    <row r="136" spans="2:6">
      <c r="B136" s="51">
        <v>42555</v>
      </c>
      <c r="C136" s="32">
        <v>18.088999999999999</v>
      </c>
      <c r="D136" s="7">
        <v>608.59</v>
      </c>
      <c r="E136" s="49">
        <f t="shared" si="3"/>
        <v>3.461490065088825E-2</v>
      </c>
      <c r="F136" s="49">
        <f t="shared" si="4"/>
        <v>-4.8727046781235472E-3</v>
      </c>
    </row>
    <row r="137" spans="2:6">
      <c r="B137" s="51">
        <v>42556</v>
      </c>
      <c r="C137" s="32">
        <v>18.088999999999999</v>
      </c>
      <c r="D137" s="7">
        <v>597.29</v>
      </c>
      <c r="E137" s="49">
        <f t="shared" si="3"/>
        <v>0</v>
      </c>
      <c r="F137" s="49">
        <f t="shared" si="4"/>
        <v>-1.8567508503261748E-2</v>
      </c>
    </row>
    <row r="138" spans="2:6">
      <c r="B138" s="51">
        <v>42557</v>
      </c>
      <c r="C138" s="32">
        <v>18.088999999999999</v>
      </c>
      <c r="D138" s="7">
        <v>592.22</v>
      </c>
      <c r="E138" s="49">
        <f t="shared" si="3"/>
        <v>0</v>
      </c>
      <c r="F138" s="49">
        <f t="shared" si="4"/>
        <v>-8.4883389978066548E-3</v>
      </c>
    </row>
    <row r="139" spans="2:6">
      <c r="B139" s="51">
        <v>42558</v>
      </c>
      <c r="C139" s="32">
        <v>17.483799999999999</v>
      </c>
      <c r="D139" s="7">
        <v>608.08000000000004</v>
      </c>
      <c r="E139" s="49">
        <f t="shared" si="3"/>
        <v>-3.3456796948421692E-2</v>
      </c>
      <c r="F139" s="49">
        <f t="shared" si="4"/>
        <v>2.6780588294890433E-2</v>
      </c>
    </row>
    <row r="140" spans="2:6">
      <c r="B140" s="51">
        <v>42559</v>
      </c>
      <c r="C140" s="32">
        <v>17.82</v>
      </c>
      <c r="D140" s="7">
        <v>610.32000000000005</v>
      </c>
      <c r="E140" s="49">
        <f t="shared" si="3"/>
        <v>1.9229229343735436E-2</v>
      </c>
      <c r="F140" s="49">
        <f t="shared" si="4"/>
        <v>3.6837258255492844E-3</v>
      </c>
    </row>
    <row r="141" spans="2:6">
      <c r="B141" s="51">
        <v>42562</v>
      </c>
      <c r="C141" s="32">
        <v>17.82</v>
      </c>
      <c r="D141" s="7">
        <v>620.05999999999995</v>
      </c>
      <c r="E141" s="49">
        <f t="shared" si="3"/>
        <v>0</v>
      </c>
      <c r="F141" s="49">
        <f t="shared" si="4"/>
        <v>1.5958841263599251E-2</v>
      </c>
    </row>
    <row r="142" spans="2:6">
      <c r="B142" s="51">
        <v>42563</v>
      </c>
      <c r="C142" s="32">
        <v>17.8872</v>
      </c>
      <c r="D142" s="7">
        <v>617.29</v>
      </c>
      <c r="E142" s="49">
        <f t="shared" si="3"/>
        <v>3.7710437710437544E-3</v>
      </c>
      <c r="F142" s="49">
        <f t="shared" si="4"/>
        <v>-4.4673096151984998E-3</v>
      </c>
    </row>
    <row r="143" spans="2:6">
      <c r="B143" s="51">
        <v>42564</v>
      </c>
      <c r="C143" s="32">
        <v>17.8872</v>
      </c>
      <c r="D143" s="7">
        <v>619.49</v>
      </c>
      <c r="E143" s="49">
        <f t="shared" ref="E143:E206" si="5">(C143-C142)/C142</f>
        <v>0</v>
      </c>
      <c r="F143" s="49">
        <f t="shared" ref="F143:F206" si="6">(D143-D142)/D142</f>
        <v>3.5639650731423573E-3</v>
      </c>
    </row>
    <row r="144" spans="2:6">
      <c r="B144" s="51">
        <v>42565</v>
      </c>
      <c r="C144" s="32">
        <v>17.483799999999999</v>
      </c>
      <c r="D144" s="7">
        <v>621.04999999999995</v>
      </c>
      <c r="E144" s="49">
        <f t="shared" si="5"/>
        <v>-2.2552439733440746E-2</v>
      </c>
      <c r="F144" s="49">
        <f t="shared" si="6"/>
        <v>2.5182004552130712E-3</v>
      </c>
    </row>
    <row r="145" spans="2:6">
      <c r="B145" s="51">
        <v>42566</v>
      </c>
      <c r="C145" s="32">
        <v>17.483799999999999</v>
      </c>
      <c r="D145" s="7">
        <v>622.36</v>
      </c>
      <c r="E145" s="49">
        <f t="shared" si="5"/>
        <v>0</v>
      </c>
      <c r="F145" s="49">
        <f t="shared" si="6"/>
        <v>2.109330971741501E-3</v>
      </c>
    </row>
    <row r="146" spans="2:6">
      <c r="B146" s="51">
        <v>42569</v>
      </c>
      <c r="C146" s="32">
        <v>17.618200000000002</v>
      </c>
      <c r="D146" s="7">
        <v>619.30999999999995</v>
      </c>
      <c r="E146" s="49">
        <f t="shared" si="5"/>
        <v>7.6871160731650425E-3</v>
      </c>
      <c r="F146" s="49">
        <f t="shared" si="6"/>
        <v>-4.9007005591620093E-3</v>
      </c>
    </row>
    <row r="147" spans="2:6">
      <c r="B147" s="51">
        <v>42570</v>
      </c>
      <c r="C147" s="32">
        <v>17.82</v>
      </c>
      <c r="D147" s="7">
        <v>624.9</v>
      </c>
      <c r="E147" s="49">
        <f t="shared" si="5"/>
        <v>1.1454064546888935E-2</v>
      </c>
      <c r="F147" s="49">
        <f t="shared" si="6"/>
        <v>9.0261742907429762E-3</v>
      </c>
    </row>
    <row r="148" spans="2:6">
      <c r="B148" s="51">
        <v>42571</v>
      </c>
      <c r="C148" s="32">
        <v>17.685500000000001</v>
      </c>
      <c r="D148" s="7">
        <v>624.58000000000004</v>
      </c>
      <c r="E148" s="49">
        <f t="shared" si="5"/>
        <v>-7.5476992143658347E-3</v>
      </c>
      <c r="F148" s="49">
        <f t="shared" si="6"/>
        <v>-5.1208193310919566E-4</v>
      </c>
    </row>
    <row r="149" spans="2:6">
      <c r="B149" s="51">
        <v>42572</v>
      </c>
      <c r="C149" s="32">
        <v>17.618200000000002</v>
      </c>
      <c r="D149" s="7">
        <v>631.73</v>
      </c>
      <c r="E149" s="49">
        <f t="shared" si="5"/>
        <v>-3.8053772864775929E-3</v>
      </c>
      <c r="F149" s="49">
        <f t="shared" si="6"/>
        <v>1.144769284959489E-2</v>
      </c>
    </row>
    <row r="150" spans="2:6">
      <c r="B150" s="51">
        <v>42573</v>
      </c>
      <c r="C150" s="32">
        <v>17.685500000000001</v>
      </c>
      <c r="D150" s="7">
        <v>625.25</v>
      </c>
      <c r="E150" s="49">
        <f t="shared" si="5"/>
        <v>3.8199134985412507E-3</v>
      </c>
      <c r="F150" s="49">
        <f t="shared" si="6"/>
        <v>-1.0257546736738826E-2</v>
      </c>
    </row>
    <row r="151" spans="2:6">
      <c r="B151" s="51">
        <v>42576</v>
      </c>
      <c r="C151" s="32">
        <v>17.685500000000001</v>
      </c>
      <c r="D151" s="7">
        <v>618.55999999999995</v>
      </c>
      <c r="E151" s="49">
        <f t="shared" si="5"/>
        <v>0</v>
      </c>
      <c r="F151" s="49">
        <f t="shared" si="6"/>
        <v>-1.0699720111955306E-2</v>
      </c>
    </row>
    <row r="152" spans="2:6">
      <c r="B152" s="51">
        <v>42577</v>
      </c>
      <c r="C152" s="32">
        <v>17.685500000000001</v>
      </c>
      <c r="D152" s="7">
        <v>620.29999999999995</v>
      </c>
      <c r="E152" s="49">
        <f t="shared" si="5"/>
        <v>0</v>
      </c>
      <c r="F152" s="49">
        <f t="shared" si="6"/>
        <v>2.8129849974133621E-3</v>
      </c>
    </row>
    <row r="153" spans="2:6">
      <c r="B153" s="51">
        <v>42578</v>
      </c>
      <c r="C153" s="32">
        <v>18.156199999999998</v>
      </c>
      <c r="D153" s="7">
        <v>623.08000000000004</v>
      </c>
      <c r="E153" s="49">
        <f t="shared" si="5"/>
        <v>2.6615023606909458E-2</v>
      </c>
      <c r="F153" s="49">
        <f t="shared" si="6"/>
        <v>4.4817024020636573E-3</v>
      </c>
    </row>
    <row r="154" spans="2:6">
      <c r="B154" s="51">
        <v>42579</v>
      </c>
      <c r="C154" s="32">
        <v>18.626899999999999</v>
      </c>
      <c r="D154" s="7">
        <v>615.63</v>
      </c>
      <c r="E154" s="49">
        <f t="shared" si="5"/>
        <v>2.5925028364966282E-2</v>
      </c>
      <c r="F154" s="49">
        <f t="shared" si="6"/>
        <v>-1.1956731077871293E-2</v>
      </c>
    </row>
    <row r="155" spans="2:6">
      <c r="B155" s="51">
        <v>42580</v>
      </c>
      <c r="C155" s="32">
        <v>19.0304</v>
      </c>
      <c r="D155" s="7">
        <v>612.63</v>
      </c>
      <c r="E155" s="49">
        <f t="shared" si="5"/>
        <v>2.1662219693024662E-2</v>
      </c>
      <c r="F155" s="49">
        <f t="shared" si="6"/>
        <v>-4.8730568685736563E-3</v>
      </c>
    </row>
    <row r="156" spans="2:6">
      <c r="B156" s="51">
        <v>42583</v>
      </c>
      <c r="C156" s="32">
        <v>18.828700000000001</v>
      </c>
      <c r="D156" s="7">
        <v>610.54999999999995</v>
      </c>
      <c r="E156" s="49">
        <f t="shared" si="5"/>
        <v>-1.0598831343534496E-2</v>
      </c>
      <c r="F156" s="49">
        <f t="shared" si="6"/>
        <v>-3.3951977539461681E-3</v>
      </c>
    </row>
    <row r="157" spans="2:6">
      <c r="B157" s="51">
        <v>42584</v>
      </c>
      <c r="C157" s="32">
        <v>18.559699999999999</v>
      </c>
      <c r="D157" s="7">
        <v>604.73</v>
      </c>
      <c r="E157" s="49">
        <f t="shared" si="5"/>
        <v>-1.4286700621923016E-2</v>
      </c>
      <c r="F157" s="49">
        <f t="shared" si="6"/>
        <v>-9.53238882974357E-3</v>
      </c>
    </row>
    <row r="158" spans="2:6">
      <c r="B158" s="51">
        <v>42585</v>
      </c>
      <c r="C158" s="32">
        <v>18.559699999999999</v>
      </c>
      <c r="D158" s="7">
        <v>601.45000000000005</v>
      </c>
      <c r="E158" s="49">
        <f t="shared" si="5"/>
        <v>0</v>
      </c>
      <c r="F158" s="49">
        <f t="shared" si="6"/>
        <v>-5.4239081904320485E-3</v>
      </c>
    </row>
    <row r="159" spans="2:6">
      <c r="B159" s="51">
        <v>42586</v>
      </c>
      <c r="C159" s="32">
        <v>17.82</v>
      </c>
      <c r="D159" s="7">
        <v>608.22</v>
      </c>
      <c r="E159" s="49">
        <f t="shared" si="5"/>
        <v>-3.985517007279208E-2</v>
      </c>
      <c r="F159" s="49">
        <f t="shared" si="6"/>
        <v>1.1256131016709588E-2</v>
      </c>
    </row>
    <row r="160" spans="2:6">
      <c r="B160" s="51">
        <v>42587</v>
      </c>
      <c r="C160" s="32">
        <v>17.8872</v>
      </c>
      <c r="D160" s="7">
        <v>612.78</v>
      </c>
      <c r="E160" s="49">
        <f t="shared" si="5"/>
        <v>3.7710437710437544E-3</v>
      </c>
      <c r="F160" s="49">
        <f t="shared" si="6"/>
        <v>7.497287165828064E-3</v>
      </c>
    </row>
    <row r="161" spans="2:6">
      <c r="B161" s="51">
        <v>42590</v>
      </c>
      <c r="C161" s="32">
        <v>17.954499999999999</v>
      </c>
      <c r="D161" s="7">
        <v>614.79999999999995</v>
      </c>
      <c r="E161" s="49">
        <f t="shared" si="5"/>
        <v>3.7624670155194479E-3</v>
      </c>
      <c r="F161" s="49">
        <f t="shared" si="6"/>
        <v>3.2964522340807171E-3</v>
      </c>
    </row>
    <row r="162" spans="2:6">
      <c r="B162" s="51">
        <v>42591</v>
      </c>
      <c r="C162" s="32">
        <v>18.088999999999999</v>
      </c>
      <c r="D162" s="7">
        <v>622.80999999999995</v>
      </c>
      <c r="E162" s="49">
        <f t="shared" si="5"/>
        <v>7.4911582054637653E-3</v>
      </c>
      <c r="F162" s="49">
        <f t="shared" si="6"/>
        <v>1.3028627195836031E-2</v>
      </c>
    </row>
    <row r="163" spans="2:6">
      <c r="B163" s="51">
        <v>42592</v>
      </c>
      <c r="C163" s="32">
        <v>18.4252</v>
      </c>
      <c r="D163" s="7">
        <v>619.96</v>
      </c>
      <c r="E163" s="49">
        <f t="shared" si="5"/>
        <v>1.8585880922107448E-2</v>
      </c>
      <c r="F163" s="49">
        <f t="shared" si="6"/>
        <v>-4.5760344246237369E-3</v>
      </c>
    </row>
    <row r="164" spans="2:6">
      <c r="B164" s="51">
        <v>42593</v>
      </c>
      <c r="C164" s="32">
        <v>18.694199999999999</v>
      </c>
      <c r="D164" s="7">
        <v>621.37</v>
      </c>
      <c r="E164" s="49">
        <f t="shared" si="5"/>
        <v>1.4599570153919543E-2</v>
      </c>
      <c r="F164" s="49">
        <f t="shared" si="6"/>
        <v>2.2743402800180141E-3</v>
      </c>
    </row>
    <row r="165" spans="2:6">
      <c r="B165" s="51">
        <v>42594</v>
      </c>
      <c r="C165" s="32">
        <v>18.761399999999998</v>
      </c>
      <c r="D165" s="7">
        <v>621.25</v>
      </c>
      <c r="E165" s="49">
        <f t="shared" si="5"/>
        <v>3.5946978207144304E-3</v>
      </c>
      <c r="F165" s="49">
        <f t="shared" si="6"/>
        <v>-1.9312165054638066E-4</v>
      </c>
    </row>
    <row r="166" spans="2:6">
      <c r="B166" s="51">
        <v>42597</v>
      </c>
      <c r="C166" s="32">
        <v>19.366599999999998</v>
      </c>
      <c r="D166" s="7">
        <v>619.05999999999995</v>
      </c>
      <c r="E166" s="49">
        <f t="shared" si="5"/>
        <v>3.2257720639184709E-2</v>
      </c>
      <c r="F166" s="49">
        <f t="shared" si="6"/>
        <v>-3.5251509054326836E-3</v>
      </c>
    </row>
    <row r="167" spans="2:6">
      <c r="B167" s="51">
        <v>42598</v>
      </c>
      <c r="C167" s="32">
        <v>18.559699999999999</v>
      </c>
      <c r="D167" s="7">
        <v>617.73</v>
      </c>
      <c r="E167" s="49">
        <f t="shared" si="5"/>
        <v>-4.1664515196265677E-2</v>
      </c>
      <c r="F167" s="49">
        <f t="shared" si="6"/>
        <v>-2.1484185700900195E-3</v>
      </c>
    </row>
    <row r="168" spans="2:6">
      <c r="B168" s="51">
        <v>42599</v>
      </c>
      <c r="C168" s="32">
        <v>19.0304</v>
      </c>
      <c r="D168" s="7">
        <v>606.95000000000005</v>
      </c>
      <c r="E168" s="49">
        <f t="shared" si="5"/>
        <v>2.5361401315754071E-2</v>
      </c>
      <c r="F168" s="49">
        <f t="shared" si="6"/>
        <v>-1.7450989914687604E-2</v>
      </c>
    </row>
    <row r="169" spans="2:6">
      <c r="B169" s="51">
        <v>42600</v>
      </c>
      <c r="C169" s="32">
        <v>18.4924</v>
      </c>
      <c r="D169" s="7">
        <v>609.64</v>
      </c>
      <c r="E169" s="49">
        <f t="shared" si="5"/>
        <v>-2.8270556583151182E-2</v>
      </c>
      <c r="F169" s="49">
        <f t="shared" si="6"/>
        <v>4.4319960458026868E-3</v>
      </c>
    </row>
    <row r="170" spans="2:6">
      <c r="B170" s="51">
        <v>42601</v>
      </c>
      <c r="C170" s="32">
        <v>18.559699999999999</v>
      </c>
      <c r="D170" s="7">
        <v>612.53</v>
      </c>
      <c r="E170" s="49">
        <f t="shared" si="5"/>
        <v>3.63933291514349E-3</v>
      </c>
      <c r="F170" s="49">
        <f t="shared" si="6"/>
        <v>4.7405025916934362E-3</v>
      </c>
    </row>
    <row r="171" spans="2:6">
      <c r="B171" s="51">
        <v>42604</v>
      </c>
      <c r="C171" s="32">
        <v>18.156199999999998</v>
      </c>
      <c r="D171" s="7">
        <v>612.41</v>
      </c>
      <c r="E171" s="49">
        <f t="shared" si="5"/>
        <v>-2.1740653135557206E-2</v>
      </c>
      <c r="F171" s="49">
        <f t="shared" si="6"/>
        <v>-1.9590877181526546E-4</v>
      </c>
    </row>
    <row r="172" spans="2:6">
      <c r="B172" s="51">
        <v>42605</v>
      </c>
      <c r="C172" s="32">
        <v>18.4924</v>
      </c>
      <c r="D172" s="7">
        <v>618.02</v>
      </c>
      <c r="E172" s="49">
        <f t="shared" si="5"/>
        <v>1.8517090580628195E-2</v>
      </c>
      <c r="F172" s="49">
        <f t="shared" si="6"/>
        <v>9.1605297104880943E-3</v>
      </c>
    </row>
    <row r="173" spans="2:6">
      <c r="B173" s="51">
        <v>42606</v>
      </c>
      <c r="C173" s="32">
        <v>18.761399999999998</v>
      </c>
      <c r="D173" s="7">
        <v>619.28</v>
      </c>
      <c r="E173" s="49">
        <f t="shared" si="5"/>
        <v>1.4546516406739977E-2</v>
      </c>
      <c r="F173" s="49">
        <f t="shared" si="6"/>
        <v>2.0387689718779183E-3</v>
      </c>
    </row>
    <row r="174" spans="2:6">
      <c r="B174" s="51">
        <v>42607</v>
      </c>
      <c r="C174" s="32">
        <v>18.694199999999999</v>
      </c>
      <c r="D174" s="7">
        <v>616.67999999999995</v>
      </c>
      <c r="E174" s="49">
        <f t="shared" si="5"/>
        <v>-3.5818222520707255E-3</v>
      </c>
      <c r="F174" s="49">
        <f t="shared" si="6"/>
        <v>-4.1984239762304981E-3</v>
      </c>
    </row>
    <row r="175" spans="2:6">
      <c r="B175" s="51">
        <v>42608</v>
      </c>
      <c r="C175" s="32">
        <v>18.694199999999999</v>
      </c>
      <c r="D175" s="7">
        <v>618.41</v>
      </c>
      <c r="E175" s="49">
        <f t="shared" si="5"/>
        <v>0</v>
      </c>
      <c r="F175" s="49">
        <f t="shared" si="6"/>
        <v>2.8053447493027474E-3</v>
      </c>
    </row>
    <row r="176" spans="2:6">
      <c r="B176" s="51">
        <v>42611</v>
      </c>
      <c r="C176" s="32">
        <v>18.4924</v>
      </c>
      <c r="D176" s="7">
        <v>616.67999999999995</v>
      </c>
      <c r="E176" s="49">
        <f t="shared" si="5"/>
        <v>-1.079479196756206E-2</v>
      </c>
      <c r="F176" s="49">
        <f t="shared" si="6"/>
        <v>-2.7974968063259296E-3</v>
      </c>
    </row>
    <row r="177" spans="2:6">
      <c r="B177" s="51">
        <v>42612</v>
      </c>
      <c r="C177" s="32">
        <v>19.164899999999999</v>
      </c>
      <c r="D177" s="7">
        <v>622.09</v>
      </c>
      <c r="E177" s="49">
        <f t="shared" si="5"/>
        <v>3.6366291016850134E-2</v>
      </c>
      <c r="F177" s="49">
        <f t="shared" si="6"/>
        <v>8.7727832911722158E-3</v>
      </c>
    </row>
    <row r="178" spans="2:6">
      <c r="B178" s="51">
        <v>42613</v>
      </c>
      <c r="C178" s="32">
        <v>19.164899999999999</v>
      </c>
      <c r="D178" s="7">
        <v>618.92999999999995</v>
      </c>
      <c r="E178" s="49">
        <f t="shared" si="5"/>
        <v>0</v>
      </c>
      <c r="F178" s="49">
        <f t="shared" si="6"/>
        <v>-5.0796508543781149E-3</v>
      </c>
    </row>
    <row r="179" spans="2:6">
      <c r="B179" s="51">
        <v>42614</v>
      </c>
      <c r="C179" s="32">
        <v>19.299399999999999</v>
      </c>
      <c r="D179" s="7">
        <v>616.28</v>
      </c>
      <c r="E179" s="49">
        <f t="shared" si="5"/>
        <v>7.0180381843891271E-3</v>
      </c>
      <c r="F179" s="49">
        <f t="shared" si="6"/>
        <v>-4.2815827314881772E-3</v>
      </c>
    </row>
    <row r="180" spans="2:6">
      <c r="B180" s="51">
        <v>42615</v>
      </c>
      <c r="C180" s="32">
        <v>18.963200000000001</v>
      </c>
      <c r="D180" s="7">
        <v>623.11</v>
      </c>
      <c r="E180" s="49">
        <f t="shared" si="5"/>
        <v>-1.7420230680746451E-2</v>
      </c>
      <c r="F180" s="49">
        <f t="shared" si="6"/>
        <v>1.1082624780943793E-2</v>
      </c>
    </row>
    <row r="181" spans="2:6">
      <c r="B181" s="51">
        <v>42618</v>
      </c>
      <c r="C181" s="32">
        <v>19.501100000000001</v>
      </c>
      <c r="D181" s="7">
        <v>627.04999999999995</v>
      </c>
      <c r="E181" s="49">
        <f t="shared" si="5"/>
        <v>2.8365465744178222E-2</v>
      </c>
      <c r="F181" s="49">
        <f t="shared" si="6"/>
        <v>6.3231211182615283E-3</v>
      </c>
    </row>
    <row r="182" spans="2:6">
      <c r="B182" s="51">
        <v>42619</v>
      </c>
      <c r="C182" s="32">
        <v>19.299399999999999</v>
      </c>
      <c r="D182" s="7">
        <v>622.41</v>
      </c>
      <c r="E182" s="49">
        <f t="shared" si="5"/>
        <v>-1.0343006291952886E-2</v>
      </c>
      <c r="F182" s="49">
        <f t="shared" si="6"/>
        <v>-7.399728889243261E-3</v>
      </c>
    </row>
    <row r="183" spans="2:6">
      <c r="B183" s="51">
        <v>42620</v>
      </c>
      <c r="C183" s="32">
        <v>19.164899999999999</v>
      </c>
      <c r="D183" s="7">
        <v>626.4</v>
      </c>
      <c r="E183" s="49">
        <f t="shared" si="5"/>
        <v>-6.9691285739452618E-3</v>
      </c>
      <c r="F183" s="49">
        <f t="shared" si="6"/>
        <v>6.4105653829469467E-3</v>
      </c>
    </row>
    <row r="184" spans="2:6">
      <c r="B184" s="51">
        <v>42621</v>
      </c>
      <c r="C184" s="32">
        <v>18.828700000000001</v>
      </c>
      <c r="D184" s="7">
        <v>624.92999999999995</v>
      </c>
      <c r="E184" s="49">
        <f t="shared" si="5"/>
        <v>-1.7542486524844799E-2</v>
      </c>
      <c r="F184" s="49">
        <f t="shared" si="6"/>
        <v>-2.3467432950192006E-3</v>
      </c>
    </row>
    <row r="185" spans="2:6">
      <c r="B185" s="51">
        <v>42622</v>
      </c>
      <c r="C185" s="32">
        <v>18.895900000000001</v>
      </c>
      <c r="D185" s="7">
        <v>619.53</v>
      </c>
      <c r="E185" s="49">
        <f t="shared" si="5"/>
        <v>3.5690196349190172E-3</v>
      </c>
      <c r="F185" s="49">
        <f t="shared" si="6"/>
        <v>-8.6409677883922641E-3</v>
      </c>
    </row>
    <row r="186" spans="2:6">
      <c r="B186" s="51">
        <v>42625</v>
      </c>
      <c r="C186" s="32">
        <v>19.0976</v>
      </c>
      <c r="D186" s="7">
        <v>608.49</v>
      </c>
      <c r="E186" s="49">
        <f t="shared" si="5"/>
        <v>1.0674273255044685E-2</v>
      </c>
      <c r="F186" s="49">
        <f t="shared" si="6"/>
        <v>-1.7819960292479724E-2</v>
      </c>
    </row>
    <row r="187" spans="2:6">
      <c r="B187" s="51">
        <v>42626</v>
      </c>
      <c r="C187" s="32">
        <v>19.501100000000001</v>
      </c>
      <c r="D187" s="7">
        <v>603.1</v>
      </c>
      <c r="E187" s="49">
        <f t="shared" si="5"/>
        <v>2.1128309316353944E-2</v>
      </c>
      <c r="F187" s="49">
        <f t="shared" si="6"/>
        <v>-8.8579927361172508E-3</v>
      </c>
    </row>
    <row r="188" spans="2:6">
      <c r="B188" s="51">
        <v>42627</v>
      </c>
      <c r="C188" s="32">
        <v>19.501100000000001</v>
      </c>
      <c r="D188" s="7">
        <v>602.58000000000004</v>
      </c>
      <c r="E188" s="49">
        <f t="shared" si="5"/>
        <v>0</v>
      </c>
      <c r="F188" s="49">
        <f t="shared" si="6"/>
        <v>-8.6221190515666023E-4</v>
      </c>
    </row>
    <row r="189" spans="2:6">
      <c r="B189" s="51">
        <v>42628</v>
      </c>
      <c r="C189" s="32">
        <v>19.501100000000001</v>
      </c>
      <c r="D189" s="7">
        <v>596.82000000000005</v>
      </c>
      <c r="E189" s="49">
        <f t="shared" si="5"/>
        <v>0</v>
      </c>
      <c r="F189" s="49">
        <f t="shared" si="6"/>
        <v>-9.5588967440007801E-3</v>
      </c>
    </row>
    <row r="190" spans="2:6">
      <c r="B190" s="51">
        <v>42629</v>
      </c>
      <c r="C190" s="32">
        <v>19.6356</v>
      </c>
      <c r="D190" s="7">
        <v>601.25</v>
      </c>
      <c r="E190" s="49">
        <f t="shared" si="5"/>
        <v>6.8970468332555171E-3</v>
      </c>
      <c r="F190" s="49">
        <f t="shared" si="6"/>
        <v>7.4226735028986119E-3</v>
      </c>
    </row>
    <row r="191" spans="2:6">
      <c r="B191" s="51">
        <v>42632</v>
      </c>
      <c r="C191" s="32">
        <v>19.971800000000002</v>
      </c>
      <c r="D191" s="7">
        <v>607.36</v>
      </c>
      <c r="E191" s="49">
        <f t="shared" si="5"/>
        <v>1.7121962150380005E-2</v>
      </c>
      <c r="F191" s="49">
        <f t="shared" si="6"/>
        <v>1.0162162162162185E-2</v>
      </c>
    </row>
    <row r="192" spans="2:6">
      <c r="B192" s="51">
        <v>42633</v>
      </c>
      <c r="C192" s="32">
        <v>19.232099999999999</v>
      </c>
      <c r="D192" s="7">
        <v>609.16</v>
      </c>
      <c r="E192" s="49">
        <f t="shared" si="5"/>
        <v>-3.7037222483702149E-2</v>
      </c>
      <c r="F192" s="49">
        <f t="shared" si="6"/>
        <v>2.9636459430979231E-3</v>
      </c>
    </row>
    <row r="193" spans="2:6">
      <c r="B193" s="51">
        <v>42634</v>
      </c>
      <c r="C193" s="32">
        <v>19.164899999999999</v>
      </c>
      <c r="D193" s="7">
        <v>610.05999999999995</v>
      </c>
      <c r="E193" s="49">
        <f t="shared" si="5"/>
        <v>-3.4941582042522503E-3</v>
      </c>
      <c r="F193" s="49">
        <f t="shared" si="6"/>
        <v>1.4774443495961279E-3</v>
      </c>
    </row>
    <row r="194" spans="2:6">
      <c r="B194" s="51">
        <v>42635</v>
      </c>
      <c r="C194" s="32">
        <v>19.501100000000001</v>
      </c>
      <c r="D194" s="7">
        <v>618.32000000000005</v>
      </c>
      <c r="E194" s="49">
        <f t="shared" si="5"/>
        <v>1.7542486524844983E-2</v>
      </c>
      <c r="F194" s="49">
        <f t="shared" si="6"/>
        <v>1.353965183752435E-2</v>
      </c>
    </row>
    <row r="195" spans="2:6">
      <c r="B195" s="51">
        <v>42636</v>
      </c>
      <c r="C195" s="32">
        <v>19.0976</v>
      </c>
      <c r="D195" s="7">
        <v>617.79</v>
      </c>
      <c r="E195" s="49">
        <f t="shared" si="5"/>
        <v>-2.0691140499766735E-2</v>
      </c>
      <c r="F195" s="49">
        <f t="shared" si="6"/>
        <v>-8.571613404064018E-4</v>
      </c>
    </row>
    <row r="196" spans="2:6">
      <c r="B196" s="51">
        <v>42639</v>
      </c>
      <c r="C196" s="32">
        <v>19.299399999999999</v>
      </c>
      <c r="D196" s="7">
        <v>609.04</v>
      </c>
      <c r="E196" s="49">
        <f t="shared" si="5"/>
        <v>1.0566772788203683E-2</v>
      </c>
      <c r="F196" s="49">
        <f t="shared" si="6"/>
        <v>-1.4163388853817641E-2</v>
      </c>
    </row>
    <row r="197" spans="2:6">
      <c r="B197" s="51">
        <v>42640</v>
      </c>
      <c r="C197" s="32">
        <v>19.770099999999999</v>
      </c>
      <c r="D197" s="7">
        <v>604.79</v>
      </c>
      <c r="E197" s="49">
        <f t="shared" si="5"/>
        <v>2.4389359254691899E-2</v>
      </c>
      <c r="F197" s="49">
        <f t="shared" si="6"/>
        <v>-6.9781951924339945E-3</v>
      </c>
    </row>
    <row r="198" spans="2:6">
      <c r="B198" s="51">
        <v>42641</v>
      </c>
      <c r="C198" s="32">
        <v>19.501100000000001</v>
      </c>
      <c r="D198" s="7">
        <v>609.42999999999995</v>
      </c>
      <c r="E198" s="49">
        <f t="shared" si="5"/>
        <v>-1.3606405632748361E-2</v>
      </c>
      <c r="F198" s="49">
        <f t="shared" si="6"/>
        <v>7.6720845252070749E-3</v>
      </c>
    </row>
    <row r="199" spans="2:6">
      <c r="B199" s="51">
        <v>42642</v>
      </c>
      <c r="C199" s="32">
        <v>19.501100000000001</v>
      </c>
      <c r="D199" s="7">
        <v>623.08000000000004</v>
      </c>
      <c r="E199" s="49">
        <f t="shared" si="5"/>
        <v>0</v>
      </c>
      <c r="F199" s="49">
        <f t="shared" si="6"/>
        <v>2.2397978438869259E-2</v>
      </c>
    </row>
    <row r="200" spans="2:6">
      <c r="B200" s="51">
        <v>42643</v>
      </c>
      <c r="C200" s="32">
        <v>19.501100000000001</v>
      </c>
      <c r="D200" s="7">
        <v>622.69000000000005</v>
      </c>
      <c r="E200" s="49">
        <f t="shared" si="5"/>
        <v>0</v>
      </c>
      <c r="F200" s="49">
        <f t="shared" si="6"/>
        <v>-6.2592283494894126E-4</v>
      </c>
    </row>
    <row r="201" spans="2:6">
      <c r="B201" s="51">
        <v>42646</v>
      </c>
      <c r="C201" s="32">
        <v>19.501100000000001</v>
      </c>
      <c r="D201" s="7">
        <v>622.64</v>
      </c>
      <c r="E201" s="49">
        <f t="shared" si="5"/>
        <v>0</v>
      </c>
      <c r="F201" s="49">
        <f t="shared" si="6"/>
        <v>-8.0296776887485284E-5</v>
      </c>
    </row>
    <row r="202" spans="2:6">
      <c r="B202" s="51">
        <v>42647</v>
      </c>
      <c r="C202" s="32">
        <v>19.501100000000001</v>
      </c>
      <c r="D202" s="7">
        <v>630.85</v>
      </c>
      <c r="E202" s="49">
        <f t="shared" si="5"/>
        <v>0</v>
      </c>
      <c r="F202" s="49">
        <f t="shared" si="6"/>
        <v>1.3185789541308038E-2</v>
      </c>
    </row>
    <row r="203" spans="2:6">
      <c r="B203" s="51">
        <v>42648</v>
      </c>
      <c r="C203" s="32">
        <v>19.501100000000001</v>
      </c>
      <c r="D203" s="7">
        <v>631.72</v>
      </c>
      <c r="E203" s="49">
        <f t="shared" si="5"/>
        <v>0</v>
      </c>
      <c r="F203" s="49">
        <f t="shared" si="6"/>
        <v>1.3790917016723539E-3</v>
      </c>
    </row>
    <row r="204" spans="2:6">
      <c r="B204" s="51">
        <v>42649</v>
      </c>
      <c r="C204" s="32">
        <v>19.501100000000001</v>
      </c>
      <c r="D204" s="7">
        <v>633.16999999999996</v>
      </c>
      <c r="E204" s="49">
        <f t="shared" si="5"/>
        <v>0</v>
      </c>
      <c r="F204" s="49">
        <f t="shared" si="6"/>
        <v>2.2953207117076104E-3</v>
      </c>
    </row>
    <row r="205" spans="2:6">
      <c r="B205" s="51">
        <v>42650</v>
      </c>
      <c r="C205" s="32">
        <v>20.577000000000002</v>
      </c>
      <c r="D205" s="7">
        <v>629.39</v>
      </c>
      <c r="E205" s="49">
        <f t="shared" si="5"/>
        <v>5.517124675018336E-2</v>
      </c>
      <c r="F205" s="49">
        <f t="shared" si="6"/>
        <v>-5.9699606740685326E-3</v>
      </c>
    </row>
    <row r="206" spans="2:6">
      <c r="B206" s="51">
        <v>42653</v>
      </c>
      <c r="C206" s="32">
        <v>20.509799999999998</v>
      </c>
      <c r="D206" s="7">
        <v>639.54999999999995</v>
      </c>
      <c r="E206" s="49">
        <f t="shared" si="5"/>
        <v>-3.2657821839919936E-3</v>
      </c>
      <c r="F206" s="49">
        <f t="shared" si="6"/>
        <v>1.6142614277316083E-2</v>
      </c>
    </row>
    <row r="207" spans="2:6">
      <c r="B207" s="51">
        <v>42654</v>
      </c>
      <c r="C207" s="32">
        <v>20.846</v>
      </c>
      <c r="D207" s="7">
        <v>638.54999999999995</v>
      </c>
      <c r="E207" s="49">
        <f t="shared" ref="E207:E270" si="7">(C207-C206)/C206</f>
        <v>1.6392163746111695E-2</v>
      </c>
      <c r="F207" s="49">
        <f t="shared" ref="F207:F270" si="8">(D207-D206)/D206</f>
        <v>-1.5635994058322258E-3</v>
      </c>
    </row>
    <row r="208" spans="2:6">
      <c r="B208" s="51">
        <v>42655</v>
      </c>
      <c r="C208" s="32">
        <v>20.1736</v>
      </c>
      <c r="D208" s="7">
        <v>635.09</v>
      </c>
      <c r="E208" s="49">
        <f t="shared" si="7"/>
        <v>-3.2255588602129889E-2</v>
      </c>
      <c r="F208" s="49">
        <f t="shared" si="8"/>
        <v>-5.4185263487587865E-3</v>
      </c>
    </row>
    <row r="209" spans="2:6">
      <c r="B209" s="51">
        <v>42656</v>
      </c>
      <c r="C209" s="32">
        <v>20.1736</v>
      </c>
      <c r="D209" s="7">
        <v>630.63</v>
      </c>
      <c r="E209" s="49">
        <f t="shared" si="7"/>
        <v>0</v>
      </c>
      <c r="F209" s="49">
        <f t="shared" si="8"/>
        <v>-7.0226267143240111E-3</v>
      </c>
    </row>
    <row r="210" spans="2:6">
      <c r="B210" s="51">
        <v>42657</v>
      </c>
      <c r="C210" s="32">
        <v>20.1736</v>
      </c>
      <c r="D210" s="7">
        <v>637.52</v>
      </c>
      <c r="E210" s="49">
        <f t="shared" si="7"/>
        <v>0</v>
      </c>
      <c r="F210" s="49">
        <f t="shared" si="8"/>
        <v>1.0925582354153762E-2</v>
      </c>
    </row>
    <row r="211" spans="2:6">
      <c r="B211" s="51">
        <v>42660</v>
      </c>
      <c r="C211" s="32">
        <v>20.1736</v>
      </c>
      <c r="D211" s="7">
        <v>632.11</v>
      </c>
      <c r="E211" s="49">
        <f t="shared" si="7"/>
        <v>0</v>
      </c>
      <c r="F211" s="49">
        <f t="shared" si="8"/>
        <v>-8.4860082820930605E-3</v>
      </c>
    </row>
    <row r="212" spans="2:6">
      <c r="B212" s="51">
        <v>42661</v>
      </c>
      <c r="C212" s="32">
        <v>20.846</v>
      </c>
      <c r="D212" s="7">
        <v>633.70000000000005</v>
      </c>
      <c r="E212" s="49">
        <f t="shared" si="7"/>
        <v>3.3330689614149166E-2</v>
      </c>
      <c r="F212" s="49">
        <f t="shared" si="8"/>
        <v>2.5153849804623114E-3</v>
      </c>
    </row>
    <row r="213" spans="2:6">
      <c r="B213" s="51">
        <v>42662</v>
      </c>
      <c r="C213" s="32">
        <v>20.1736</v>
      </c>
      <c r="D213" s="7">
        <v>638.14</v>
      </c>
      <c r="E213" s="49">
        <f t="shared" si="7"/>
        <v>-3.2255588602129889E-2</v>
      </c>
      <c r="F213" s="49">
        <f t="shared" si="8"/>
        <v>7.0064699384565889E-3</v>
      </c>
    </row>
    <row r="214" spans="2:6">
      <c r="B214" s="51">
        <v>42663</v>
      </c>
      <c r="C214" s="32">
        <v>20.577000000000002</v>
      </c>
      <c r="D214" s="7">
        <v>638.30999999999995</v>
      </c>
      <c r="E214" s="49">
        <f t="shared" si="7"/>
        <v>1.9996430979101466E-2</v>
      </c>
      <c r="F214" s="49">
        <f t="shared" si="8"/>
        <v>2.6639922274102718E-4</v>
      </c>
    </row>
    <row r="215" spans="2:6">
      <c r="B215" s="51">
        <v>42664</v>
      </c>
      <c r="C215" s="32">
        <v>20.577000000000002</v>
      </c>
      <c r="D215" s="7">
        <v>641.53</v>
      </c>
      <c r="E215" s="49">
        <f t="shared" si="7"/>
        <v>0</v>
      </c>
      <c r="F215" s="49">
        <f t="shared" si="8"/>
        <v>5.0445708198211328E-3</v>
      </c>
    </row>
    <row r="216" spans="2:6">
      <c r="B216" s="51">
        <v>42667</v>
      </c>
      <c r="C216" s="32">
        <v>19.837299999999999</v>
      </c>
      <c r="D216" s="7">
        <v>642.04</v>
      </c>
      <c r="E216" s="49">
        <f t="shared" si="7"/>
        <v>-3.594790299849359E-2</v>
      </c>
      <c r="F216" s="49">
        <f t="shared" si="8"/>
        <v>7.9497451405232951E-4</v>
      </c>
    </row>
    <row r="217" spans="2:6">
      <c r="B217" s="51">
        <v>42668</v>
      </c>
      <c r="C217" s="32">
        <v>20.106300000000001</v>
      </c>
      <c r="D217" s="7">
        <v>645.91999999999996</v>
      </c>
      <c r="E217" s="49">
        <f t="shared" si="7"/>
        <v>1.356031314745464E-2</v>
      </c>
      <c r="F217" s="49">
        <f t="shared" si="8"/>
        <v>6.0432371814840126E-3</v>
      </c>
    </row>
    <row r="218" spans="2:6">
      <c r="B218" s="51">
        <v>42669</v>
      </c>
      <c r="C218" s="32">
        <v>19.904599999999999</v>
      </c>
      <c r="D218" s="7">
        <v>633.44000000000005</v>
      </c>
      <c r="E218" s="49">
        <f t="shared" si="7"/>
        <v>-1.0031681612231114E-2</v>
      </c>
      <c r="F218" s="49">
        <f t="shared" si="8"/>
        <v>-1.9321278176863861E-2</v>
      </c>
    </row>
    <row r="219" spans="2:6">
      <c r="B219" s="51">
        <v>42670</v>
      </c>
      <c r="C219" s="32">
        <v>20.039100000000001</v>
      </c>
      <c r="D219" s="7">
        <v>642.77</v>
      </c>
      <c r="E219" s="49">
        <f t="shared" si="7"/>
        <v>6.757231996624034E-3</v>
      </c>
      <c r="F219" s="49">
        <f t="shared" si="8"/>
        <v>1.4729098257135524E-2</v>
      </c>
    </row>
    <row r="220" spans="2:6">
      <c r="B220" s="51">
        <v>42671</v>
      </c>
      <c r="C220" s="32">
        <v>19.904599999999999</v>
      </c>
      <c r="D220" s="7">
        <v>642.24</v>
      </c>
      <c r="E220" s="49">
        <f t="shared" si="7"/>
        <v>-6.7118782779667114E-3</v>
      </c>
      <c r="F220" s="49">
        <f t="shared" si="8"/>
        <v>-8.2455621762056832E-4</v>
      </c>
    </row>
    <row r="221" spans="2:6">
      <c r="B221" s="51">
        <v>42674</v>
      </c>
      <c r="C221" s="32">
        <v>20.2408</v>
      </c>
      <c r="D221" s="7">
        <v>638.20000000000005</v>
      </c>
      <c r="E221" s="49">
        <f t="shared" si="7"/>
        <v>1.6890568009404944E-2</v>
      </c>
      <c r="F221" s="49">
        <f t="shared" si="8"/>
        <v>-6.2904833084204718E-3</v>
      </c>
    </row>
    <row r="222" spans="2:6">
      <c r="B222" s="51">
        <v>42675</v>
      </c>
      <c r="C222" s="32">
        <v>20.846</v>
      </c>
      <c r="D222" s="7">
        <v>639.6</v>
      </c>
      <c r="E222" s="49">
        <f t="shared" si="7"/>
        <v>2.9900003952412945E-2</v>
      </c>
      <c r="F222" s="49">
        <f t="shared" si="8"/>
        <v>2.1936696960200208E-3</v>
      </c>
    </row>
    <row r="223" spans="2:6">
      <c r="B223" s="51">
        <v>42676</v>
      </c>
      <c r="C223" s="32">
        <v>20.2408</v>
      </c>
      <c r="D223" s="7">
        <v>626.70000000000005</v>
      </c>
      <c r="E223" s="49">
        <f t="shared" si="7"/>
        <v>-2.9031948575266236E-2</v>
      </c>
      <c r="F223" s="49">
        <f t="shared" si="8"/>
        <v>-2.0168855534709158E-2</v>
      </c>
    </row>
    <row r="224" spans="2:6">
      <c r="B224" s="51">
        <v>42677</v>
      </c>
      <c r="C224" s="32">
        <v>20.2408</v>
      </c>
      <c r="D224" s="7">
        <v>630.05999999999995</v>
      </c>
      <c r="E224" s="49">
        <f t="shared" si="7"/>
        <v>0</v>
      </c>
      <c r="F224" s="49">
        <f t="shared" si="8"/>
        <v>5.3614169459069725E-3</v>
      </c>
    </row>
    <row r="225" spans="2:6">
      <c r="B225" s="51">
        <v>42678</v>
      </c>
      <c r="C225" s="32">
        <v>20.2408</v>
      </c>
      <c r="D225" s="7">
        <v>625.9</v>
      </c>
      <c r="E225" s="49">
        <f t="shared" si="7"/>
        <v>0</v>
      </c>
      <c r="F225" s="49">
        <f t="shared" si="8"/>
        <v>-6.6025457892898588E-3</v>
      </c>
    </row>
    <row r="226" spans="2:6">
      <c r="B226" s="51">
        <v>42681</v>
      </c>
      <c r="C226" s="32">
        <v>20.2408</v>
      </c>
      <c r="D226" s="7">
        <v>633.1</v>
      </c>
      <c r="E226" s="49">
        <f t="shared" si="7"/>
        <v>0</v>
      </c>
      <c r="F226" s="49">
        <f t="shared" si="8"/>
        <v>1.1503435053523E-2</v>
      </c>
    </row>
    <row r="227" spans="2:6">
      <c r="B227" s="51">
        <v>42682</v>
      </c>
      <c r="C227" s="32">
        <v>20.1736</v>
      </c>
      <c r="D227" s="7">
        <v>635.45000000000005</v>
      </c>
      <c r="E227" s="49">
        <f t="shared" si="7"/>
        <v>-3.3200268764080323E-3</v>
      </c>
      <c r="F227" s="49">
        <f t="shared" si="8"/>
        <v>3.7118938556310577E-3</v>
      </c>
    </row>
    <row r="228" spans="2:6">
      <c r="B228" s="51">
        <v>42683</v>
      </c>
      <c r="C228" s="32">
        <v>20.442499999999999</v>
      </c>
      <c r="D228" s="7">
        <v>637.84</v>
      </c>
      <c r="E228" s="49">
        <f t="shared" si="7"/>
        <v>1.3329301661577437E-2</v>
      </c>
      <c r="F228" s="49">
        <f t="shared" si="8"/>
        <v>3.7611141710598571E-3</v>
      </c>
    </row>
    <row r="229" spans="2:6">
      <c r="B229" s="51">
        <v>42684</v>
      </c>
      <c r="C229" s="32">
        <v>20.846</v>
      </c>
      <c r="D229" s="7">
        <v>645.99</v>
      </c>
      <c r="E229" s="49">
        <f t="shared" si="7"/>
        <v>1.9738290326525673E-2</v>
      </c>
      <c r="F229" s="49">
        <f t="shared" si="8"/>
        <v>1.2777499059325187E-2</v>
      </c>
    </row>
    <row r="230" spans="2:6">
      <c r="B230" s="51">
        <v>42685</v>
      </c>
      <c r="C230" s="32">
        <v>20.509799999999998</v>
      </c>
      <c r="D230" s="7">
        <v>640.28</v>
      </c>
      <c r="E230" s="49">
        <f t="shared" si="7"/>
        <v>-1.6127794301065028E-2</v>
      </c>
      <c r="F230" s="49">
        <f t="shared" si="8"/>
        <v>-8.8391461168130098E-3</v>
      </c>
    </row>
    <row r="231" spans="2:6">
      <c r="B231" s="51">
        <v>42688</v>
      </c>
      <c r="C231" s="32">
        <v>20.509799999999998</v>
      </c>
      <c r="D231" s="7">
        <v>638.83000000000004</v>
      </c>
      <c r="E231" s="49">
        <f t="shared" si="7"/>
        <v>0</v>
      </c>
      <c r="F231" s="49">
        <f t="shared" si="8"/>
        <v>-2.2646342225275378E-3</v>
      </c>
    </row>
    <row r="232" spans="2:6">
      <c r="B232" s="51">
        <v>42689</v>
      </c>
      <c r="C232" s="32">
        <v>20.846</v>
      </c>
      <c r="D232" s="7">
        <v>646.6</v>
      </c>
      <c r="E232" s="49">
        <f t="shared" si="7"/>
        <v>1.6392163746111695E-2</v>
      </c>
      <c r="F232" s="49">
        <f t="shared" si="8"/>
        <v>1.2162860228855848E-2</v>
      </c>
    </row>
    <row r="233" spans="2:6">
      <c r="B233" s="51">
        <v>42690</v>
      </c>
      <c r="C233" s="32">
        <v>21.114999999999998</v>
      </c>
      <c r="D233" s="7">
        <v>645.25</v>
      </c>
      <c r="E233" s="49">
        <f t="shared" si="7"/>
        <v>1.2904154274201206E-2</v>
      </c>
      <c r="F233" s="49">
        <f t="shared" si="8"/>
        <v>-2.0878441076399978E-3</v>
      </c>
    </row>
    <row r="234" spans="2:6">
      <c r="B234" s="51">
        <v>42691</v>
      </c>
      <c r="C234" s="32">
        <v>22.190899999999999</v>
      </c>
      <c r="D234" s="7">
        <v>647.79999999999995</v>
      </c>
      <c r="E234" s="49">
        <f t="shared" si="7"/>
        <v>5.0954297892493526E-2</v>
      </c>
      <c r="F234" s="49">
        <f t="shared" si="8"/>
        <v>3.9519566059666089E-3</v>
      </c>
    </row>
    <row r="235" spans="2:6">
      <c r="B235" s="51">
        <v>42692</v>
      </c>
      <c r="C235" s="32">
        <v>21.5185</v>
      </c>
      <c r="D235" s="7">
        <v>647.67999999999995</v>
      </c>
      <c r="E235" s="49">
        <f t="shared" si="7"/>
        <v>-3.0300708849122823E-2</v>
      </c>
      <c r="F235" s="49">
        <f t="shared" si="8"/>
        <v>-1.8524235875270849E-4</v>
      </c>
    </row>
    <row r="236" spans="2:6">
      <c r="B236" s="51">
        <v>42695</v>
      </c>
      <c r="C236" s="32">
        <v>21.854700000000001</v>
      </c>
      <c r="D236" s="7">
        <v>653.38</v>
      </c>
      <c r="E236" s="49">
        <f t="shared" si="7"/>
        <v>1.5623765597044479E-2</v>
      </c>
      <c r="F236" s="49">
        <f t="shared" si="8"/>
        <v>8.8006422924901892E-3</v>
      </c>
    </row>
    <row r="237" spans="2:6">
      <c r="B237" s="51">
        <v>42696</v>
      </c>
      <c r="C237" s="32">
        <v>20.846</v>
      </c>
      <c r="D237" s="7">
        <v>657.06</v>
      </c>
      <c r="E237" s="49">
        <f t="shared" si="7"/>
        <v>-4.6154831683802612E-2</v>
      </c>
      <c r="F237" s="49">
        <f t="shared" si="8"/>
        <v>5.6322507575988709E-3</v>
      </c>
    </row>
    <row r="238" spans="2:6">
      <c r="B238" s="51">
        <v>42697</v>
      </c>
      <c r="C238" s="32">
        <v>21.182200000000002</v>
      </c>
      <c r="D238" s="7">
        <v>656.96</v>
      </c>
      <c r="E238" s="49">
        <f t="shared" si="7"/>
        <v>1.6127794301065028E-2</v>
      </c>
      <c r="F238" s="49">
        <f t="shared" si="8"/>
        <v>-1.5219310260845137E-4</v>
      </c>
    </row>
    <row r="239" spans="2:6">
      <c r="B239" s="51">
        <v>42698</v>
      </c>
      <c r="C239" s="32">
        <v>21.182200000000002</v>
      </c>
      <c r="D239" s="7">
        <v>658.55</v>
      </c>
      <c r="E239" s="49">
        <f t="shared" si="7"/>
        <v>0</v>
      </c>
      <c r="F239" s="49">
        <f t="shared" si="8"/>
        <v>2.4202386751094708E-3</v>
      </c>
    </row>
    <row r="240" spans="2:6">
      <c r="B240" s="51">
        <v>42699</v>
      </c>
      <c r="C240" s="32">
        <v>21.9892</v>
      </c>
      <c r="D240" s="7">
        <v>658.44</v>
      </c>
      <c r="E240" s="49">
        <f t="shared" si="7"/>
        <v>3.8098025700824205E-2</v>
      </c>
      <c r="F240" s="49">
        <f t="shared" si="8"/>
        <v>-1.6703363449988606E-4</v>
      </c>
    </row>
    <row r="241" spans="2:6">
      <c r="B241" s="51">
        <v>42702</v>
      </c>
      <c r="C241" s="32">
        <v>20.9133</v>
      </c>
      <c r="D241" s="7">
        <v>654.86</v>
      </c>
      <c r="E241" s="49">
        <f t="shared" si="7"/>
        <v>-4.8928564931875682E-2</v>
      </c>
      <c r="F241" s="49">
        <f t="shared" si="8"/>
        <v>-5.4370937367110754E-3</v>
      </c>
    </row>
    <row r="242" spans="2:6">
      <c r="B242" s="51">
        <v>42703</v>
      </c>
      <c r="C242" s="32">
        <v>21.182200000000002</v>
      </c>
      <c r="D242" s="7">
        <v>649.79999999999995</v>
      </c>
      <c r="E242" s="49">
        <f t="shared" si="7"/>
        <v>1.2857846442216299E-2</v>
      </c>
      <c r="F242" s="49">
        <f t="shared" si="8"/>
        <v>-7.7268423785237439E-3</v>
      </c>
    </row>
    <row r="243" spans="2:6">
      <c r="B243" s="51">
        <v>42704</v>
      </c>
      <c r="C243" s="32">
        <v>21.652999999999999</v>
      </c>
      <c r="D243" s="7">
        <v>656.63</v>
      </c>
      <c r="E243" s="49">
        <f t="shared" si="7"/>
        <v>2.2226208797952854E-2</v>
      </c>
      <c r="F243" s="49">
        <f t="shared" si="8"/>
        <v>1.0510926438904342E-2</v>
      </c>
    </row>
    <row r="244" spans="2:6">
      <c r="B244" s="51">
        <v>42705</v>
      </c>
      <c r="C244" s="32">
        <v>21.182200000000002</v>
      </c>
      <c r="D244" s="7">
        <v>662.79</v>
      </c>
      <c r="E244" s="49">
        <f t="shared" si="7"/>
        <v>-2.1742945550270034E-2</v>
      </c>
      <c r="F244" s="49">
        <f t="shared" si="8"/>
        <v>9.3812344851742502E-3</v>
      </c>
    </row>
    <row r="245" spans="2:6">
      <c r="B245" s="51">
        <v>42706</v>
      </c>
      <c r="C245" s="32">
        <v>21.182200000000002</v>
      </c>
      <c r="D245" s="7">
        <v>657.55</v>
      </c>
      <c r="E245" s="49">
        <f t="shared" si="7"/>
        <v>0</v>
      </c>
      <c r="F245" s="49">
        <f t="shared" si="8"/>
        <v>-7.9059732343578042E-3</v>
      </c>
    </row>
    <row r="246" spans="2:6">
      <c r="B246" s="51">
        <v>42709</v>
      </c>
      <c r="C246" s="32">
        <v>21.182200000000002</v>
      </c>
      <c r="D246" s="7">
        <v>663.65</v>
      </c>
      <c r="E246" s="49">
        <f t="shared" si="7"/>
        <v>0</v>
      </c>
      <c r="F246" s="49">
        <f t="shared" si="8"/>
        <v>9.2768610752034415E-3</v>
      </c>
    </row>
    <row r="247" spans="2:6">
      <c r="B247" s="51">
        <v>42710</v>
      </c>
      <c r="C247" s="32">
        <v>21.182200000000002</v>
      </c>
      <c r="D247" s="7">
        <v>663.1</v>
      </c>
      <c r="E247" s="49">
        <f t="shared" si="7"/>
        <v>0</v>
      </c>
      <c r="F247" s="49">
        <f t="shared" si="8"/>
        <v>-8.2875009417607856E-4</v>
      </c>
    </row>
    <row r="248" spans="2:6">
      <c r="B248" s="51">
        <v>42711</v>
      </c>
      <c r="C248" s="32">
        <v>22.190899999999999</v>
      </c>
      <c r="D248" s="7">
        <v>669.47</v>
      </c>
      <c r="E248" s="49">
        <f t="shared" si="7"/>
        <v>4.7620171653558051E-2</v>
      </c>
      <c r="F248" s="49">
        <f t="shared" si="8"/>
        <v>9.6063942090182548E-3</v>
      </c>
    </row>
    <row r="249" spans="2:6">
      <c r="B249" s="51">
        <v>42712</v>
      </c>
      <c r="C249" s="32">
        <v>21.585699999999999</v>
      </c>
      <c r="D249" s="7">
        <v>677.86</v>
      </c>
      <c r="E249" s="49">
        <f t="shared" si="7"/>
        <v>-2.7272440504891644E-2</v>
      </c>
      <c r="F249" s="49">
        <f t="shared" si="8"/>
        <v>1.2532301671471442E-2</v>
      </c>
    </row>
    <row r="250" spans="2:6">
      <c r="B250" s="51">
        <v>42713</v>
      </c>
      <c r="C250" s="32">
        <v>21.249500000000001</v>
      </c>
      <c r="D250" s="7">
        <v>683.03</v>
      </c>
      <c r="E250" s="49">
        <f t="shared" si="7"/>
        <v>-1.5575126125166108E-2</v>
      </c>
      <c r="F250" s="49">
        <f t="shared" si="8"/>
        <v>7.6269436166759496E-3</v>
      </c>
    </row>
    <row r="251" spans="2:6">
      <c r="B251" s="51">
        <v>42716</v>
      </c>
      <c r="C251" s="32">
        <v>20.509799999999998</v>
      </c>
      <c r="D251" s="7">
        <v>686.1</v>
      </c>
      <c r="E251" s="49">
        <f t="shared" si="7"/>
        <v>-3.4810230828960807E-2</v>
      </c>
      <c r="F251" s="49">
        <f t="shared" si="8"/>
        <v>4.4946781254118417E-3</v>
      </c>
    </row>
    <row r="252" spans="2:6">
      <c r="B252" s="51">
        <v>42717</v>
      </c>
      <c r="C252" s="32">
        <v>21.182200000000002</v>
      </c>
      <c r="D252" s="7">
        <v>683.53</v>
      </c>
      <c r="E252" s="49">
        <f t="shared" si="7"/>
        <v>3.2784327492223389E-2</v>
      </c>
      <c r="F252" s="49">
        <f t="shared" si="8"/>
        <v>-3.7458096487393237E-3</v>
      </c>
    </row>
    <row r="253" spans="2:6">
      <c r="B253" s="51">
        <v>42718</v>
      </c>
      <c r="C253" s="32">
        <v>20.711500000000001</v>
      </c>
      <c r="D253" s="7">
        <v>680.92</v>
      </c>
      <c r="E253" s="49">
        <f t="shared" si="7"/>
        <v>-2.2221487853008693E-2</v>
      </c>
      <c r="F253" s="49">
        <f t="shared" si="8"/>
        <v>-3.818413237165909E-3</v>
      </c>
    </row>
    <row r="254" spans="2:6">
      <c r="B254" s="51">
        <v>42719</v>
      </c>
      <c r="C254" s="32">
        <v>20.9133</v>
      </c>
      <c r="D254" s="7">
        <v>675.27</v>
      </c>
      <c r="E254" s="49">
        <f t="shared" si="7"/>
        <v>9.7433792820413121E-3</v>
      </c>
      <c r="F254" s="49">
        <f t="shared" si="8"/>
        <v>-8.2975973682664298E-3</v>
      </c>
    </row>
    <row r="255" spans="2:6">
      <c r="B255" s="51">
        <v>42720</v>
      </c>
      <c r="C255" s="32">
        <v>21.316700000000001</v>
      </c>
      <c r="D255" s="7">
        <v>680.37</v>
      </c>
      <c r="E255" s="49">
        <f t="shared" si="7"/>
        <v>1.9289160486389109E-2</v>
      </c>
      <c r="F255" s="49">
        <f t="shared" si="8"/>
        <v>7.5525345417388938E-3</v>
      </c>
    </row>
    <row r="256" spans="2:6">
      <c r="B256" s="51">
        <v>42723</v>
      </c>
      <c r="C256" s="32">
        <v>21.384</v>
      </c>
      <c r="D256" s="7">
        <v>678.69</v>
      </c>
      <c r="E256" s="49">
        <f t="shared" si="7"/>
        <v>3.1571490896808358E-3</v>
      </c>
      <c r="F256" s="49">
        <f t="shared" si="8"/>
        <v>-2.4692446756910944E-3</v>
      </c>
    </row>
    <row r="257" spans="2:6">
      <c r="B257" s="51">
        <v>42724</v>
      </c>
      <c r="C257" s="32">
        <v>20.509799999999998</v>
      </c>
      <c r="D257" s="7">
        <v>678.1</v>
      </c>
      <c r="E257" s="49">
        <f t="shared" si="7"/>
        <v>-4.08810325476993E-2</v>
      </c>
      <c r="F257" s="49">
        <f t="shared" si="8"/>
        <v>-8.6932178166767118E-4</v>
      </c>
    </row>
    <row r="258" spans="2:6">
      <c r="B258" s="51">
        <v>42725</v>
      </c>
      <c r="C258" s="32">
        <v>21.182200000000002</v>
      </c>
      <c r="D258" s="7">
        <v>675.61</v>
      </c>
      <c r="E258" s="49">
        <f t="shared" si="7"/>
        <v>3.2784327492223389E-2</v>
      </c>
      <c r="F258" s="49">
        <f t="shared" si="8"/>
        <v>-3.6720247751069299E-3</v>
      </c>
    </row>
    <row r="259" spans="2:6">
      <c r="B259" s="51">
        <v>42726</v>
      </c>
      <c r="C259" s="32">
        <v>22.459900000000001</v>
      </c>
      <c r="D259" s="7">
        <v>678.04</v>
      </c>
      <c r="E259" s="49">
        <f t="shared" si="7"/>
        <v>6.0319513553832901E-2</v>
      </c>
      <c r="F259" s="49">
        <f t="shared" si="8"/>
        <v>3.5967496040614408E-3</v>
      </c>
    </row>
    <row r="260" spans="2:6">
      <c r="B260" s="51">
        <v>42727</v>
      </c>
      <c r="C260" s="32">
        <v>21.585699999999999</v>
      </c>
      <c r="D260" s="7">
        <v>679.74</v>
      </c>
      <c r="E260" s="49">
        <f t="shared" si="7"/>
        <v>-3.8922702238211294E-2</v>
      </c>
      <c r="F260" s="49">
        <f t="shared" si="8"/>
        <v>2.5072267122884279E-3</v>
      </c>
    </row>
    <row r="261" spans="2:6">
      <c r="B261" s="51">
        <v>42731</v>
      </c>
      <c r="C261" s="32">
        <v>21.652999999999999</v>
      </c>
      <c r="D261" s="7">
        <v>683.65</v>
      </c>
      <c r="E261" s="49">
        <f t="shared" si="7"/>
        <v>3.1178048430210497E-3</v>
      </c>
      <c r="F261" s="49">
        <f t="shared" si="8"/>
        <v>5.7521993703474389E-3</v>
      </c>
    </row>
    <row r="262" spans="2:6">
      <c r="B262" s="51">
        <v>42732</v>
      </c>
      <c r="C262" s="32">
        <v>21.316700000000001</v>
      </c>
      <c r="D262" s="7">
        <v>685.61</v>
      </c>
      <c r="E262" s="49">
        <f t="shared" si="7"/>
        <v>-1.553133514986366E-2</v>
      </c>
      <c r="F262" s="49">
        <f t="shared" si="8"/>
        <v>2.8669640898120918E-3</v>
      </c>
    </row>
    <row r="263" spans="2:6">
      <c r="B263" s="51">
        <v>42733</v>
      </c>
      <c r="C263" s="32">
        <v>21.720199999999998</v>
      </c>
      <c r="D263" s="7">
        <v>686.36</v>
      </c>
      <c r="E263" s="49">
        <f t="shared" si="7"/>
        <v>1.8928821065174135E-2</v>
      </c>
      <c r="F263" s="49">
        <f t="shared" si="8"/>
        <v>1.0939163664473973E-3</v>
      </c>
    </row>
    <row r="264" spans="2:6">
      <c r="B264" s="51">
        <v>42734</v>
      </c>
      <c r="C264" s="32">
        <v>21.5185</v>
      </c>
      <c r="D264" s="7">
        <v>683.87</v>
      </c>
      <c r="E264" s="49">
        <f t="shared" si="7"/>
        <v>-9.2862864982826542E-3</v>
      </c>
      <c r="F264" s="49">
        <f t="shared" si="8"/>
        <v>-3.6278337898479063E-3</v>
      </c>
    </row>
    <row r="265" spans="2:6">
      <c r="B265" s="51">
        <v>42737</v>
      </c>
      <c r="C265" s="32">
        <v>21.921900000000001</v>
      </c>
      <c r="D265" s="7">
        <v>691.51</v>
      </c>
      <c r="E265" s="49">
        <f t="shared" si="7"/>
        <v>1.8746659850826096E-2</v>
      </c>
      <c r="F265" s="49">
        <f t="shared" si="8"/>
        <v>1.1171713922236662E-2</v>
      </c>
    </row>
    <row r="266" spans="2:6">
      <c r="B266" s="51">
        <v>42738</v>
      </c>
      <c r="C266" s="32">
        <v>23.401299999999999</v>
      </c>
      <c r="D266" s="7">
        <v>693.98</v>
      </c>
      <c r="E266" s="49">
        <f t="shared" si="7"/>
        <v>6.7485026389135894E-2</v>
      </c>
      <c r="F266" s="49">
        <f t="shared" si="8"/>
        <v>3.5718933927203181E-3</v>
      </c>
    </row>
    <row r="267" spans="2:6">
      <c r="B267" s="51">
        <v>42739</v>
      </c>
      <c r="C267" s="32">
        <v>23.7376</v>
      </c>
      <c r="D267" s="7">
        <v>692.13</v>
      </c>
      <c r="E267" s="49">
        <f t="shared" si="7"/>
        <v>1.4370996483101426E-2</v>
      </c>
      <c r="F267" s="49">
        <f t="shared" si="8"/>
        <v>-2.6657828755872253E-3</v>
      </c>
    </row>
    <row r="268" spans="2:6">
      <c r="B268" s="51">
        <v>42740</v>
      </c>
      <c r="C268" s="32">
        <v>22.863399999999999</v>
      </c>
      <c r="D268" s="7">
        <v>696.22</v>
      </c>
      <c r="E268" s="49">
        <f t="shared" si="7"/>
        <v>-3.6827648961984441E-2</v>
      </c>
      <c r="F268" s="49">
        <f t="shared" si="8"/>
        <v>5.909294496698643E-3</v>
      </c>
    </row>
    <row r="269" spans="2:6">
      <c r="B269" s="51">
        <v>42741</v>
      </c>
      <c r="C269" s="32">
        <v>23.670300000000001</v>
      </c>
      <c r="D269" s="7">
        <v>694.57</v>
      </c>
      <c r="E269" s="49">
        <f t="shared" si="7"/>
        <v>3.5292213756484267E-2</v>
      </c>
      <c r="F269" s="49">
        <f t="shared" si="8"/>
        <v>-2.3699405360374268E-3</v>
      </c>
    </row>
    <row r="270" spans="2:6">
      <c r="B270" s="51">
        <v>42744</v>
      </c>
      <c r="C270" s="32">
        <v>24.3428</v>
      </c>
      <c r="D270" s="7">
        <v>689.52</v>
      </c>
      <c r="E270" s="49">
        <f t="shared" si="7"/>
        <v>2.8411131248864584E-2</v>
      </c>
      <c r="F270" s="49">
        <f t="shared" si="8"/>
        <v>-7.2706854600689168E-3</v>
      </c>
    </row>
    <row r="271" spans="2:6">
      <c r="B271" s="51">
        <v>42745</v>
      </c>
      <c r="C271" s="32">
        <v>23.872</v>
      </c>
      <c r="D271" s="7">
        <v>690.24</v>
      </c>
      <c r="E271" s="49">
        <f t="shared" ref="E271:E334" si="9">(C271-C270)/C270</f>
        <v>-1.9340420986903747E-2</v>
      </c>
      <c r="F271" s="49">
        <f t="shared" ref="F271:F334" si="10">(D271-D270)/D270</f>
        <v>1.0442046641142059E-3</v>
      </c>
    </row>
    <row r="272" spans="2:6">
      <c r="B272" s="51">
        <v>42746</v>
      </c>
      <c r="C272" s="32">
        <v>23.603100000000001</v>
      </c>
      <c r="D272" s="7">
        <v>694.91</v>
      </c>
      <c r="E272" s="49">
        <f t="shared" si="9"/>
        <v>-1.1264242627345785E-2</v>
      </c>
      <c r="F272" s="49">
        <f t="shared" si="10"/>
        <v>6.7657626332869132E-3</v>
      </c>
    </row>
    <row r="273" spans="2:6">
      <c r="B273" s="51">
        <v>42747</v>
      </c>
      <c r="C273" s="32">
        <v>24.41</v>
      </c>
      <c r="D273" s="7">
        <v>692.93</v>
      </c>
      <c r="E273" s="49">
        <f t="shared" si="9"/>
        <v>3.4186187407586242E-2</v>
      </c>
      <c r="F273" s="49">
        <f t="shared" si="10"/>
        <v>-2.849289836093909E-3</v>
      </c>
    </row>
    <row r="274" spans="2:6">
      <c r="B274" s="51">
        <v>42748</v>
      </c>
      <c r="C274" s="32">
        <v>24.611699999999999</v>
      </c>
      <c r="D274" s="7">
        <v>696.24</v>
      </c>
      <c r="E274" s="49">
        <f t="shared" si="9"/>
        <v>8.2630069643588235E-3</v>
      </c>
      <c r="F274" s="49">
        <f t="shared" si="10"/>
        <v>4.7768172831311375E-3</v>
      </c>
    </row>
    <row r="275" spans="2:6">
      <c r="B275" s="51">
        <v>42751</v>
      </c>
      <c r="C275" s="32">
        <v>25.0152</v>
      </c>
      <c r="D275" s="7">
        <v>691.5</v>
      </c>
      <c r="E275" s="49">
        <f t="shared" si="9"/>
        <v>1.6394641572910488E-2</v>
      </c>
      <c r="F275" s="49">
        <f t="shared" si="10"/>
        <v>-6.8079972423302441E-3</v>
      </c>
    </row>
    <row r="276" spans="2:6">
      <c r="B276" s="51">
        <v>42752</v>
      </c>
      <c r="C276" s="32">
        <v>24.208300000000001</v>
      </c>
      <c r="D276" s="7">
        <v>689.87</v>
      </c>
      <c r="E276" s="49">
        <f t="shared" si="9"/>
        <v>-3.2256388116025408E-2</v>
      </c>
      <c r="F276" s="49">
        <f t="shared" si="10"/>
        <v>-2.3571945046999211E-3</v>
      </c>
    </row>
    <row r="277" spans="2:6">
      <c r="B277" s="51">
        <v>42753</v>
      </c>
      <c r="C277" s="32">
        <v>23.872</v>
      </c>
      <c r="D277" s="7">
        <v>693.25</v>
      </c>
      <c r="E277" s="49">
        <f t="shared" si="9"/>
        <v>-1.3891929627441884E-2</v>
      </c>
      <c r="F277" s="49">
        <f t="shared" si="10"/>
        <v>4.8994738139069615E-3</v>
      </c>
    </row>
    <row r="278" spans="2:6">
      <c r="B278" s="51">
        <v>42754</v>
      </c>
      <c r="C278" s="32">
        <v>24.678999999999998</v>
      </c>
      <c r="D278" s="7">
        <v>698.78</v>
      </c>
      <c r="E278" s="49">
        <f t="shared" si="9"/>
        <v>3.3805294906166163E-2</v>
      </c>
      <c r="F278" s="49">
        <f t="shared" si="10"/>
        <v>7.9769203029209854E-3</v>
      </c>
    </row>
    <row r="279" spans="2:6">
      <c r="B279" s="51">
        <v>42755</v>
      </c>
      <c r="C279" s="32">
        <v>24.275500000000001</v>
      </c>
      <c r="D279" s="7">
        <v>700.85</v>
      </c>
      <c r="E279" s="49">
        <f t="shared" si="9"/>
        <v>-1.6349933141537241E-2</v>
      </c>
      <c r="F279" s="49">
        <f t="shared" si="10"/>
        <v>2.962305732848751E-3</v>
      </c>
    </row>
    <row r="280" spans="2:6">
      <c r="B280" s="51">
        <v>42758</v>
      </c>
      <c r="C280" s="32">
        <v>24.208300000000001</v>
      </c>
      <c r="D280" s="7">
        <v>697.17</v>
      </c>
      <c r="E280" s="49">
        <f t="shared" si="9"/>
        <v>-2.7682231056002844E-3</v>
      </c>
      <c r="F280" s="49">
        <f t="shared" si="10"/>
        <v>-5.2507669258758131E-3</v>
      </c>
    </row>
    <row r="281" spans="2:6">
      <c r="B281" s="51">
        <v>42759</v>
      </c>
      <c r="C281" s="32">
        <v>22.930599999999998</v>
      </c>
      <c r="D281" s="7">
        <v>701.48</v>
      </c>
      <c r="E281" s="49">
        <f t="shared" si="9"/>
        <v>-5.2779418629147971E-2</v>
      </c>
      <c r="F281" s="49">
        <f t="shared" si="10"/>
        <v>6.182136351248705E-3</v>
      </c>
    </row>
    <row r="282" spans="2:6">
      <c r="B282" s="51">
        <v>42760</v>
      </c>
      <c r="C282" s="32">
        <v>23.2668</v>
      </c>
      <c r="D282" s="7">
        <v>708.88</v>
      </c>
      <c r="E282" s="49">
        <f t="shared" si="9"/>
        <v>1.4661631182786392E-2</v>
      </c>
      <c r="F282" s="49">
        <f t="shared" si="10"/>
        <v>1.0549124707760702E-2</v>
      </c>
    </row>
    <row r="283" spans="2:6">
      <c r="B283" s="51">
        <v>42761</v>
      </c>
      <c r="C283" s="32">
        <v>23.872</v>
      </c>
      <c r="D283" s="7">
        <v>709.47</v>
      </c>
      <c r="E283" s="49">
        <f t="shared" si="9"/>
        <v>2.601131225609022E-2</v>
      </c>
      <c r="F283" s="49">
        <f t="shared" si="10"/>
        <v>8.3229883760302424E-4</v>
      </c>
    </row>
    <row r="284" spans="2:6">
      <c r="B284" s="51">
        <v>42762</v>
      </c>
      <c r="C284" s="32">
        <v>23.8048</v>
      </c>
      <c r="D284" s="7">
        <v>707.98</v>
      </c>
      <c r="E284" s="49">
        <f t="shared" si="9"/>
        <v>-2.8150134048257249E-3</v>
      </c>
      <c r="F284" s="49">
        <f t="shared" si="10"/>
        <v>-2.1001592738241351E-3</v>
      </c>
    </row>
    <row r="285" spans="2:6">
      <c r="B285" s="51">
        <v>42765</v>
      </c>
      <c r="C285" s="32">
        <v>23.872</v>
      </c>
      <c r="D285" s="7">
        <v>698</v>
      </c>
      <c r="E285" s="49">
        <f t="shared" si="9"/>
        <v>2.8229600752789231E-3</v>
      </c>
      <c r="F285" s="49">
        <f t="shared" si="10"/>
        <v>-1.4096443402356024E-2</v>
      </c>
    </row>
    <row r="286" spans="2:6">
      <c r="B286" s="51">
        <v>42766</v>
      </c>
      <c r="C286" s="32">
        <v>23.401299999999999</v>
      </c>
      <c r="D286" s="7">
        <v>693.12</v>
      </c>
      <c r="E286" s="49">
        <f t="shared" si="9"/>
        <v>-1.9717660857908881E-2</v>
      </c>
      <c r="F286" s="49">
        <f t="shared" si="10"/>
        <v>-6.9914040114613116E-3</v>
      </c>
    </row>
    <row r="287" spans="2:6">
      <c r="B287" s="51">
        <v>42767</v>
      </c>
      <c r="C287" s="32">
        <v>24.611699999999999</v>
      </c>
      <c r="D287" s="7">
        <v>701.78</v>
      </c>
      <c r="E287" s="49">
        <f t="shared" si="9"/>
        <v>5.1723622191929504E-2</v>
      </c>
      <c r="F287" s="49">
        <f t="shared" si="10"/>
        <v>1.2494228993536426E-2</v>
      </c>
    </row>
    <row r="288" spans="2:6">
      <c r="B288" s="51">
        <v>42768</v>
      </c>
      <c r="C288" s="32">
        <v>24.880700000000001</v>
      </c>
      <c r="D288" s="7">
        <v>694.05</v>
      </c>
      <c r="E288" s="49">
        <f t="shared" si="9"/>
        <v>1.0929761048607042E-2</v>
      </c>
      <c r="F288" s="49">
        <f t="shared" si="10"/>
        <v>-1.1014847958049558E-2</v>
      </c>
    </row>
    <row r="289" spans="2:6">
      <c r="B289" s="51">
        <v>42769</v>
      </c>
      <c r="C289" s="32">
        <v>24.3428</v>
      </c>
      <c r="D289" s="7">
        <v>702</v>
      </c>
      <c r="E289" s="49">
        <f t="shared" si="9"/>
        <v>-2.1619166663317368E-2</v>
      </c>
      <c r="F289" s="49">
        <f t="shared" si="10"/>
        <v>1.1454506159498662E-2</v>
      </c>
    </row>
    <row r="290" spans="2:6">
      <c r="B290" s="51">
        <v>42772</v>
      </c>
      <c r="C290" s="32">
        <v>24.275500000000001</v>
      </c>
      <c r="D290" s="7">
        <v>701.58</v>
      </c>
      <c r="E290" s="49">
        <f t="shared" si="9"/>
        <v>-2.7646778513564368E-3</v>
      </c>
      <c r="F290" s="49">
        <f t="shared" si="10"/>
        <v>-5.9829059829053996E-4</v>
      </c>
    </row>
    <row r="291" spans="2:6">
      <c r="B291" s="51">
        <v>42773</v>
      </c>
      <c r="C291" s="32">
        <v>24.4773</v>
      </c>
      <c r="D291" s="7">
        <v>701.53</v>
      </c>
      <c r="E291" s="49">
        <f t="shared" si="9"/>
        <v>8.3129080760436912E-3</v>
      </c>
      <c r="F291" s="49">
        <f t="shared" si="10"/>
        <v>-7.1267710026038663E-5</v>
      </c>
    </row>
    <row r="292" spans="2:6">
      <c r="B292" s="51">
        <v>42774</v>
      </c>
      <c r="C292" s="32">
        <v>24.4773</v>
      </c>
      <c r="D292" s="7">
        <v>697.69</v>
      </c>
      <c r="E292" s="49">
        <f t="shared" si="9"/>
        <v>0</v>
      </c>
      <c r="F292" s="49">
        <f t="shared" si="10"/>
        <v>-5.4737502316364491E-3</v>
      </c>
    </row>
    <row r="293" spans="2:6">
      <c r="B293" s="51">
        <v>42775</v>
      </c>
      <c r="C293" s="32">
        <v>24.275500000000001</v>
      </c>
      <c r="D293" s="7">
        <v>694.51</v>
      </c>
      <c r="E293" s="49">
        <f t="shared" si="9"/>
        <v>-8.2443733581726193E-3</v>
      </c>
      <c r="F293" s="49">
        <f t="shared" si="10"/>
        <v>-4.5578982069401355E-3</v>
      </c>
    </row>
    <row r="294" spans="2:6">
      <c r="B294" s="51">
        <v>42776</v>
      </c>
      <c r="C294" s="32">
        <v>24.544499999999999</v>
      </c>
      <c r="D294" s="7">
        <v>696.2</v>
      </c>
      <c r="E294" s="49">
        <f t="shared" si="9"/>
        <v>1.1081131181643977E-2</v>
      </c>
      <c r="F294" s="49">
        <f t="shared" si="10"/>
        <v>2.4333702898447175E-3</v>
      </c>
    </row>
    <row r="295" spans="2:6">
      <c r="B295" s="51">
        <v>42779</v>
      </c>
      <c r="C295" s="32">
        <v>25.0825</v>
      </c>
      <c r="D295" s="7">
        <v>702.92</v>
      </c>
      <c r="E295" s="49">
        <f t="shared" si="9"/>
        <v>2.191937093849947E-2</v>
      </c>
      <c r="F295" s="49">
        <f t="shared" si="10"/>
        <v>9.6523987359952781E-3</v>
      </c>
    </row>
    <row r="296" spans="2:6">
      <c r="B296" s="51">
        <v>42780</v>
      </c>
      <c r="C296" s="32">
        <v>25.216999999999999</v>
      </c>
      <c r="D296" s="7">
        <v>701.06</v>
      </c>
      <c r="E296" s="49">
        <f t="shared" si="9"/>
        <v>5.362304395494834E-3</v>
      </c>
      <c r="F296" s="49">
        <f t="shared" si="10"/>
        <v>-2.6461048198941754E-3</v>
      </c>
    </row>
    <row r="297" spans="2:6">
      <c r="B297" s="51">
        <v>42781</v>
      </c>
      <c r="C297" s="32">
        <v>25.149699999999999</v>
      </c>
      <c r="D297" s="7">
        <v>694.35</v>
      </c>
      <c r="E297" s="49">
        <f t="shared" si="9"/>
        <v>-2.6688345163976474E-3</v>
      </c>
      <c r="F297" s="49">
        <f t="shared" si="10"/>
        <v>-9.5712207229052045E-3</v>
      </c>
    </row>
    <row r="298" spans="2:6">
      <c r="B298" s="51">
        <v>42782</v>
      </c>
      <c r="C298" s="32">
        <v>24.611699999999999</v>
      </c>
      <c r="D298" s="7">
        <v>692.78</v>
      </c>
      <c r="E298" s="49">
        <f t="shared" si="9"/>
        <v>-2.1391905271235849E-2</v>
      </c>
      <c r="F298" s="49">
        <f t="shared" si="10"/>
        <v>-2.2611075106215165E-3</v>
      </c>
    </row>
    <row r="299" spans="2:6">
      <c r="B299" s="51">
        <v>42783</v>
      </c>
      <c r="C299" s="32">
        <v>24.3428</v>
      </c>
      <c r="D299" s="7">
        <v>687.63</v>
      </c>
      <c r="E299" s="49">
        <f t="shared" si="9"/>
        <v>-1.0925697940410399E-2</v>
      </c>
      <c r="F299" s="49">
        <f t="shared" si="10"/>
        <v>-7.4338173734807261E-3</v>
      </c>
    </row>
    <row r="300" spans="2:6">
      <c r="B300" s="51">
        <v>42786</v>
      </c>
      <c r="C300" s="32">
        <v>24.880700000000001</v>
      </c>
      <c r="D300" s="7">
        <v>691.5</v>
      </c>
      <c r="E300" s="49">
        <f t="shared" si="9"/>
        <v>2.2096882856532548E-2</v>
      </c>
      <c r="F300" s="49">
        <f t="shared" si="10"/>
        <v>5.6280267004057485E-3</v>
      </c>
    </row>
    <row r="301" spans="2:6">
      <c r="B301" s="51">
        <v>42787</v>
      </c>
      <c r="C301" s="32">
        <v>24.544499999999999</v>
      </c>
      <c r="D301" s="7">
        <v>699.59</v>
      </c>
      <c r="E301" s="49">
        <f t="shared" si="9"/>
        <v>-1.3512481562013994E-2</v>
      </c>
      <c r="F301" s="49">
        <f t="shared" si="10"/>
        <v>1.1699204627621159E-2</v>
      </c>
    </row>
    <row r="302" spans="2:6">
      <c r="B302" s="51">
        <v>42788</v>
      </c>
      <c r="C302" s="32">
        <v>24.275500000000001</v>
      </c>
      <c r="D302" s="7">
        <v>694.59</v>
      </c>
      <c r="E302" s="49">
        <f t="shared" si="9"/>
        <v>-1.0959685469249664E-2</v>
      </c>
      <c r="F302" s="49">
        <f t="shared" si="10"/>
        <v>-7.1470432681999454E-3</v>
      </c>
    </row>
    <row r="303" spans="2:6">
      <c r="B303" s="51">
        <v>42789</v>
      </c>
      <c r="C303" s="32">
        <v>24.208300000000001</v>
      </c>
      <c r="D303" s="7">
        <v>693.29</v>
      </c>
      <c r="E303" s="49">
        <f t="shared" si="9"/>
        <v>-2.7682231056002844E-3</v>
      </c>
      <c r="F303" s="49">
        <f t="shared" si="10"/>
        <v>-1.8716077110238676E-3</v>
      </c>
    </row>
    <row r="304" spans="2:6">
      <c r="B304" s="51">
        <v>42790</v>
      </c>
      <c r="C304" s="32">
        <v>24.208300000000001</v>
      </c>
      <c r="D304" s="7">
        <v>687.25</v>
      </c>
      <c r="E304" s="49">
        <f t="shared" si="9"/>
        <v>0</v>
      </c>
      <c r="F304" s="49">
        <f t="shared" si="10"/>
        <v>-8.7120829667238289E-3</v>
      </c>
    </row>
    <row r="305" spans="2:6">
      <c r="B305" s="51">
        <v>42793</v>
      </c>
      <c r="C305" s="32">
        <v>23.939299999999999</v>
      </c>
      <c r="D305" s="7">
        <v>687.73</v>
      </c>
      <c r="E305" s="49">
        <f t="shared" si="9"/>
        <v>-1.1111891376098358E-2</v>
      </c>
      <c r="F305" s="49">
        <f t="shared" si="10"/>
        <v>6.9843579483451176E-4</v>
      </c>
    </row>
    <row r="306" spans="2:6">
      <c r="B306" s="51">
        <v>42794</v>
      </c>
      <c r="C306" s="32">
        <v>23.939299999999999</v>
      </c>
      <c r="D306" s="7">
        <v>690.27</v>
      </c>
      <c r="E306" s="49">
        <f t="shared" si="9"/>
        <v>0</v>
      </c>
      <c r="F306" s="49">
        <f t="shared" si="10"/>
        <v>3.6933098745146548E-3</v>
      </c>
    </row>
    <row r="307" spans="2:6">
      <c r="B307" s="51">
        <v>42795</v>
      </c>
      <c r="C307" s="32">
        <v>24.880700000000001</v>
      </c>
      <c r="D307" s="7">
        <v>696.84</v>
      </c>
      <c r="E307" s="49">
        <f t="shared" si="9"/>
        <v>3.9324458108633151E-2</v>
      </c>
      <c r="F307" s="49">
        <f t="shared" si="10"/>
        <v>9.5180146899040228E-3</v>
      </c>
    </row>
    <row r="308" spans="2:6">
      <c r="B308" s="51">
        <v>42796</v>
      </c>
      <c r="C308" s="32">
        <v>24.208300000000001</v>
      </c>
      <c r="D308" s="7">
        <v>699.57</v>
      </c>
      <c r="E308" s="49">
        <f t="shared" si="9"/>
        <v>-2.7024963124027846E-2</v>
      </c>
      <c r="F308" s="49">
        <f t="shared" si="10"/>
        <v>3.9176855519201222E-3</v>
      </c>
    </row>
    <row r="309" spans="2:6">
      <c r="B309" s="51">
        <v>42797</v>
      </c>
      <c r="C309" s="32">
        <v>24.208300000000001</v>
      </c>
      <c r="D309" s="7">
        <v>691.95</v>
      </c>
      <c r="E309" s="49">
        <f t="shared" si="9"/>
        <v>0</v>
      </c>
      <c r="F309" s="49">
        <f t="shared" si="10"/>
        <v>-1.0892405334705611E-2</v>
      </c>
    </row>
    <row r="310" spans="2:6">
      <c r="B310" s="51">
        <v>42800</v>
      </c>
      <c r="C310" s="32">
        <v>24.208300000000001</v>
      </c>
      <c r="D310" s="7">
        <v>690.91</v>
      </c>
      <c r="E310" s="49">
        <f t="shared" si="9"/>
        <v>0</v>
      </c>
      <c r="F310" s="49">
        <f t="shared" si="10"/>
        <v>-1.502998771587654E-3</v>
      </c>
    </row>
    <row r="311" spans="2:6">
      <c r="B311" s="51">
        <v>42801</v>
      </c>
      <c r="C311" s="32">
        <v>24.208300000000001</v>
      </c>
      <c r="D311" s="7">
        <v>692.93</v>
      </c>
      <c r="E311" s="49">
        <f t="shared" si="9"/>
        <v>0</v>
      </c>
      <c r="F311" s="49">
        <f t="shared" si="10"/>
        <v>2.9236803635784426E-3</v>
      </c>
    </row>
    <row r="312" spans="2:6">
      <c r="B312" s="51">
        <v>42802</v>
      </c>
      <c r="C312" s="32">
        <v>24.41</v>
      </c>
      <c r="D312" s="7">
        <v>691.39</v>
      </c>
      <c r="E312" s="49">
        <f t="shared" si="9"/>
        <v>8.3318531247546859E-3</v>
      </c>
      <c r="F312" s="49">
        <f t="shared" si="10"/>
        <v>-2.2224467117890174E-3</v>
      </c>
    </row>
    <row r="313" spans="2:6">
      <c r="B313" s="51">
        <v>42803</v>
      </c>
      <c r="C313" s="32">
        <v>24.746200000000002</v>
      </c>
      <c r="D313" s="7">
        <v>689.51</v>
      </c>
      <c r="E313" s="49">
        <f t="shared" si="9"/>
        <v>1.3773043834494125E-2</v>
      </c>
      <c r="F313" s="49">
        <f t="shared" si="10"/>
        <v>-2.7191599531378751E-3</v>
      </c>
    </row>
    <row r="314" spans="2:6">
      <c r="B314" s="51">
        <v>42804</v>
      </c>
      <c r="C314" s="32">
        <v>24.544499999999999</v>
      </c>
      <c r="D314" s="7">
        <v>698.64</v>
      </c>
      <c r="E314" s="49">
        <f t="shared" si="9"/>
        <v>-8.1507463772216501E-3</v>
      </c>
      <c r="F314" s="49">
        <f t="shared" si="10"/>
        <v>1.3241287290974743E-2</v>
      </c>
    </row>
    <row r="315" spans="2:6">
      <c r="B315" s="51">
        <v>42807</v>
      </c>
      <c r="C315" s="32">
        <v>24.746200000000002</v>
      </c>
      <c r="D315" s="7">
        <v>700.15</v>
      </c>
      <c r="E315" s="49">
        <f t="shared" si="9"/>
        <v>8.2177269856791718E-3</v>
      </c>
      <c r="F315" s="49">
        <f t="shared" si="10"/>
        <v>2.1613420359555577E-3</v>
      </c>
    </row>
    <row r="316" spans="2:6">
      <c r="B316" s="51">
        <v>42808</v>
      </c>
      <c r="C316" s="32">
        <v>24.746200000000002</v>
      </c>
      <c r="D316" s="7">
        <v>694.65</v>
      </c>
      <c r="E316" s="49">
        <f t="shared" si="9"/>
        <v>0</v>
      </c>
      <c r="F316" s="49">
        <f t="shared" si="10"/>
        <v>-7.8554595443833461E-3</v>
      </c>
    </row>
    <row r="317" spans="2:6">
      <c r="B317" s="51">
        <v>42809</v>
      </c>
      <c r="C317" s="32">
        <v>24.880700000000001</v>
      </c>
      <c r="D317" s="7">
        <v>697.62</v>
      </c>
      <c r="E317" s="49">
        <f t="shared" si="9"/>
        <v>5.435177926307844E-3</v>
      </c>
      <c r="F317" s="49">
        <f t="shared" si="10"/>
        <v>4.2755344418052652E-3</v>
      </c>
    </row>
    <row r="318" spans="2:6">
      <c r="B318" s="51">
        <v>42810</v>
      </c>
      <c r="C318" s="32">
        <v>25.284199999999998</v>
      </c>
      <c r="D318" s="7">
        <v>702.89</v>
      </c>
      <c r="E318" s="49">
        <f t="shared" si="9"/>
        <v>1.6217389382131433E-2</v>
      </c>
      <c r="F318" s="49">
        <f t="shared" si="10"/>
        <v>7.5542558986267331E-3</v>
      </c>
    </row>
    <row r="319" spans="2:6">
      <c r="B319" s="51">
        <v>42811</v>
      </c>
      <c r="C319" s="32">
        <v>26.1584</v>
      </c>
      <c r="D319" s="7">
        <v>703.89</v>
      </c>
      <c r="E319" s="49">
        <f t="shared" si="9"/>
        <v>3.4574951946274822E-2</v>
      </c>
      <c r="F319" s="49">
        <f t="shared" si="10"/>
        <v>1.4226977194155559E-3</v>
      </c>
    </row>
    <row r="320" spans="2:6">
      <c r="B320" s="51">
        <v>42814</v>
      </c>
      <c r="C320" s="32">
        <v>25.216999999999999</v>
      </c>
      <c r="D320" s="7">
        <v>703.56</v>
      </c>
      <c r="E320" s="49">
        <f t="shared" si="9"/>
        <v>-3.5988439659918096E-2</v>
      </c>
      <c r="F320" s="49">
        <f t="shared" si="10"/>
        <v>-4.6882325363343836E-4</v>
      </c>
    </row>
    <row r="321" spans="2:6">
      <c r="B321" s="51">
        <v>42815</v>
      </c>
      <c r="C321" s="32">
        <v>25.5532</v>
      </c>
      <c r="D321" s="7">
        <v>702.96</v>
      </c>
      <c r="E321" s="49">
        <f t="shared" si="9"/>
        <v>1.3332275845659738E-2</v>
      </c>
      <c r="F321" s="49">
        <f t="shared" si="10"/>
        <v>-8.528057308543821E-4</v>
      </c>
    </row>
    <row r="322" spans="2:6">
      <c r="B322" s="51">
        <v>42816</v>
      </c>
      <c r="C322" s="32">
        <v>25.216999999999999</v>
      </c>
      <c r="D322" s="7">
        <v>693.57</v>
      </c>
      <c r="E322" s="49">
        <f t="shared" si="9"/>
        <v>-1.3156864893633737E-2</v>
      </c>
      <c r="F322" s="49">
        <f t="shared" si="10"/>
        <v>-1.3357801297371096E-2</v>
      </c>
    </row>
    <row r="323" spans="2:6">
      <c r="B323" s="51">
        <v>42817</v>
      </c>
      <c r="C323" s="32">
        <v>26.023900000000001</v>
      </c>
      <c r="D323" s="7">
        <v>693.96</v>
      </c>
      <c r="E323" s="49">
        <f t="shared" si="9"/>
        <v>3.1998255145338557E-2</v>
      </c>
      <c r="F323" s="49">
        <f t="shared" si="10"/>
        <v>5.6230805830700047E-4</v>
      </c>
    </row>
    <row r="324" spans="2:6">
      <c r="B324" s="51">
        <v>42818</v>
      </c>
      <c r="C324" s="32">
        <v>27.436</v>
      </c>
      <c r="D324" s="7">
        <v>693.6</v>
      </c>
      <c r="E324" s="49">
        <f t="shared" si="9"/>
        <v>5.4261659474559874E-2</v>
      </c>
      <c r="F324" s="49">
        <f t="shared" si="10"/>
        <v>-5.1876188829329305E-4</v>
      </c>
    </row>
    <row r="325" spans="2:6">
      <c r="B325" s="51">
        <v>42821</v>
      </c>
      <c r="C325" s="32">
        <v>27.234300000000001</v>
      </c>
      <c r="D325" s="7">
        <v>679.76</v>
      </c>
      <c r="E325" s="49">
        <f t="shared" si="9"/>
        <v>-7.3516547601690805E-3</v>
      </c>
      <c r="F325" s="49">
        <f t="shared" si="10"/>
        <v>-1.9953863898500623E-2</v>
      </c>
    </row>
    <row r="326" spans="2:6">
      <c r="B326" s="51">
        <v>42822</v>
      </c>
      <c r="C326" s="32">
        <v>26.898099999999999</v>
      </c>
      <c r="D326" s="7">
        <v>685.64</v>
      </c>
      <c r="E326" s="49">
        <f t="shared" si="9"/>
        <v>-1.2344727053752129E-2</v>
      </c>
      <c r="F326" s="49">
        <f t="shared" si="10"/>
        <v>8.6501118041661697E-3</v>
      </c>
    </row>
    <row r="327" spans="2:6">
      <c r="B327" s="51">
        <v>42823</v>
      </c>
      <c r="C327" s="32">
        <v>26.8308</v>
      </c>
      <c r="D327" s="7">
        <v>686.39</v>
      </c>
      <c r="E327" s="49">
        <f t="shared" si="9"/>
        <v>-2.5020354597536433E-3</v>
      </c>
      <c r="F327" s="49">
        <f t="shared" si="10"/>
        <v>1.0938685024210956E-3</v>
      </c>
    </row>
    <row r="328" spans="2:6">
      <c r="B328" s="51">
        <v>42824</v>
      </c>
      <c r="C328" s="32">
        <v>26.965299999999999</v>
      </c>
      <c r="D328" s="7">
        <v>691.7</v>
      </c>
      <c r="E328" s="49">
        <f t="shared" si="9"/>
        <v>5.012895627413241E-3</v>
      </c>
      <c r="F328" s="49">
        <f t="shared" si="10"/>
        <v>7.7361266918225197E-3</v>
      </c>
    </row>
    <row r="329" spans="2:6">
      <c r="B329" s="51">
        <v>42825</v>
      </c>
      <c r="C329" s="32">
        <v>27.032599999999999</v>
      </c>
      <c r="D329" s="7">
        <v>687.85</v>
      </c>
      <c r="E329" s="49">
        <f t="shared" si="9"/>
        <v>2.4958001579807928E-3</v>
      </c>
      <c r="F329" s="49">
        <f t="shared" si="10"/>
        <v>-5.5659968194304212E-3</v>
      </c>
    </row>
    <row r="330" spans="2:6">
      <c r="B330" s="51">
        <v>42828</v>
      </c>
      <c r="C330" s="32">
        <v>26.898099999999999</v>
      </c>
      <c r="D330" s="7">
        <v>692.01</v>
      </c>
      <c r="E330" s="49">
        <f t="shared" si="9"/>
        <v>-4.9754740572493647E-3</v>
      </c>
      <c r="F330" s="49">
        <f t="shared" si="10"/>
        <v>6.0478301955367714E-3</v>
      </c>
    </row>
    <row r="331" spans="2:6">
      <c r="B331" s="51">
        <v>42829</v>
      </c>
      <c r="C331" s="32">
        <v>28.780899999999999</v>
      </c>
      <c r="D331" s="7">
        <v>687.04</v>
      </c>
      <c r="E331" s="49">
        <f t="shared" si="9"/>
        <v>6.9997509117744355E-2</v>
      </c>
      <c r="F331" s="49">
        <f t="shared" si="10"/>
        <v>-7.1819771390587237E-3</v>
      </c>
    </row>
    <row r="332" spans="2:6">
      <c r="B332" s="51">
        <v>42830</v>
      </c>
      <c r="C332" s="32">
        <v>27.301600000000001</v>
      </c>
      <c r="D332" s="7">
        <v>693.09</v>
      </c>
      <c r="E332" s="49">
        <f t="shared" si="9"/>
        <v>-5.1398670646157642E-2</v>
      </c>
      <c r="F332" s="49">
        <f t="shared" si="10"/>
        <v>8.8058919422450924E-3</v>
      </c>
    </row>
    <row r="333" spans="2:6">
      <c r="B333" s="51">
        <v>42831</v>
      </c>
      <c r="C333" s="32">
        <v>26.898099999999999</v>
      </c>
      <c r="D333" s="7">
        <v>691.98</v>
      </c>
      <c r="E333" s="49">
        <f t="shared" si="9"/>
        <v>-1.4779353590998369E-2</v>
      </c>
      <c r="F333" s="49">
        <f t="shared" si="10"/>
        <v>-1.601523611652186E-3</v>
      </c>
    </row>
    <row r="334" spans="2:6">
      <c r="B334" s="51">
        <v>42832</v>
      </c>
      <c r="C334" s="32">
        <v>27.234300000000001</v>
      </c>
      <c r="D334" s="7">
        <v>692.45</v>
      </c>
      <c r="E334" s="49">
        <f t="shared" si="9"/>
        <v>1.2499024094638714E-2</v>
      </c>
      <c r="F334" s="49">
        <f t="shared" si="10"/>
        <v>6.7921038180298167E-4</v>
      </c>
    </row>
    <row r="335" spans="2:6">
      <c r="B335" s="51">
        <v>42835</v>
      </c>
      <c r="C335" s="32">
        <v>26.965299999999999</v>
      </c>
      <c r="D335" s="7">
        <v>694.49</v>
      </c>
      <c r="E335" s="49">
        <f t="shared" ref="E335:E398" si="11">(C335-C334)/C334</f>
        <v>-9.87725037911758E-3</v>
      </c>
      <c r="F335" s="49">
        <f t="shared" ref="F335:F398" si="12">(D335-D334)/D334</f>
        <v>2.9460610874430838E-3</v>
      </c>
    </row>
    <row r="336" spans="2:6">
      <c r="B336" s="51">
        <v>42836</v>
      </c>
      <c r="C336" s="32">
        <v>27.099799999999998</v>
      </c>
      <c r="D336" s="7">
        <v>692.9</v>
      </c>
      <c r="E336" s="49">
        <f t="shared" si="11"/>
        <v>4.9878918461874772E-3</v>
      </c>
      <c r="F336" s="49">
        <f t="shared" si="12"/>
        <v>-2.2894498120923723E-3</v>
      </c>
    </row>
    <row r="337" spans="2:6">
      <c r="B337" s="51">
        <v>42837</v>
      </c>
      <c r="C337" s="32">
        <v>27.436</v>
      </c>
      <c r="D337" s="7">
        <v>696.87</v>
      </c>
      <c r="E337" s="49">
        <f t="shared" si="11"/>
        <v>1.240599561620387E-2</v>
      </c>
      <c r="F337" s="49">
        <f t="shared" si="12"/>
        <v>5.7295425025256563E-3</v>
      </c>
    </row>
    <row r="338" spans="2:6">
      <c r="B338" s="51">
        <v>42838</v>
      </c>
      <c r="C338" s="32">
        <v>27.436</v>
      </c>
      <c r="D338" s="7">
        <v>685.38</v>
      </c>
      <c r="E338" s="49">
        <f t="shared" si="11"/>
        <v>0</v>
      </c>
      <c r="F338" s="49">
        <f t="shared" si="12"/>
        <v>-1.6488010676309797E-2</v>
      </c>
    </row>
    <row r="339" spans="2:6">
      <c r="B339" s="51">
        <v>42843</v>
      </c>
      <c r="C339" s="32">
        <v>26.898099999999999</v>
      </c>
      <c r="D339" s="7">
        <v>682.45</v>
      </c>
      <c r="E339" s="49">
        <f t="shared" si="11"/>
        <v>-1.9605627642513505E-2</v>
      </c>
      <c r="F339" s="49">
        <f t="shared" si="12"/>
        <v>-4.2750007295222362E-3</v>
      </c>
    </row>
    <row r="340" spans="2:6">
      <c r="B340" s="51">
        <v>42844</v>
      </c>
      <c r="C340" s="32">
        <v>27.032599999999999</v>
      </c>
      <c r="D340" s="7">
        <v>683.46</v>
      </c>
      <c r="E340" s="49">
        <f t="shared" si="11"/>
        <v>5.0003531847974091E-3</v>
      </c>
      <c r="F340" s="49">
        <f t="shared" si="12"/>
        <v>1.4799619019708269E-3</v>
      </c>
    </row>
    <row r="341" spans="2:6">
      <c r="B341" s="51">
        <v>42845</v>
      </c>
      <c r="C341" s="32">
        <v>27.234300000000001</v>
      </c>
      <c r="D341" s="7">
        <v>683.02</v>
      </c>
      <c r="E341" s="49">
        <f t="shared" si="11"/>
        <v>7.4613614672655402E-3</v>
      </c>
      <c r="F341" s="49">
        <f t="shared" si="12"/>
        <v>-6.4378310361989661E-4</v>
      </c>
    </row>
    <row r="342" spans="2:6">
      <c r="B342" s="51">
        <v>42846</v>
      </c>
      <c r="C342" s="32">
        <v>26.965299999999999</v>
      </c>
      <c r="D342" s="7">
        <v>691.44</v>
      </c>
      <c r="E342" s="49">
        <f t="shared" si="11"/>
        <v>-9.87725037911758E-3</v>
      </c>
      <c r="F342" s="49">
        <f t="shared" si="12"/>
        <v>1.2327603876899759E-2</v>
      </c>
    </row>
    <row r="343" spans="2:6">
      <c r="B343" s="51">
        <v>42849</v>
      </c>
      <c r="C343" s="32">
        <v>27.234300000000001</v>
      </c>
      <c r="D343" s="7">
        <v>698.52</v>
      </c>
      <c r="E343" s="49">
        <f t="shared" si="11"/>
        <v>9.9757836923750863E-3</v>
      </c>
      <c r="F343" s="49">
        <f t="shared" si="12"/>
        <v>1.0239500173550744E-2</v>
      </c>
    </row>
    <row r="344" spans="2:6">
      <c r="B344" s="51">
        <v>42850</v>
      </c>
      <c r="C344" s="32">
        <v>27.772300000000001</v>
      </c>
      <c r="D344" s="7">
        <v>698.5</v>
      </c>
      <c r="E344" s="49">
        <f t="shared" si="11"/>
        <v>1.9754500758235028E-2</v>
      </c>
      <c r="F344" s="49">
        <f t="shared" si="12"/>
        <v>-2.863196472539342E-5</v>
      </c>
    </row>
    <row r="345" spans="2:6">
      <c r="B345" s="51">
        <v>42851</v>
      </c>
      <c r="C345" s="32">
        <v>27.301600000000001</v>
      </c>
      <c r="D345" s="7">
        <v>698.73</v>
      </c>
      <c r="E345" s="49">
        <f t="shared" si="11"/>
        <v>-1.6948542252532228E-2</v>
      </c>
      <c r="F345" s="49">
        <f t="shared" si="12"/>
        <v>3.2927702219043406E-4</v>
      </c>
    </row>
    <row r="346" spans="2:6">
      <c r="B346" s="51">
        <v>42852</v>
      </c>
      <c r="C346" s="32">
        <v>27.301600000000001</v>
      </c>
      <c r="D346" s="7">
        <v>697.66</v>
      </c>
      <c r="E346" s="49">
        <f t="shared" si="11"/>
        <v>0</v>
      </c>
      <c r="F346" s="49">
        <f t="shared" si="12"/>
        <v>-1.531349734518412E-3</v>
      </c>
    </row>
    <row r="347" spans="2:6">
      <c r="B347" s="51">
        <v>42853</v>
      </c>
      <c r="C347" s="32">
        <v>27.637799999999999</v>
      </c>
      <c r="D347" s="7">
        <v>704.89</v>
      </c>
      <c r="E347" s="49">
        <f t="shared" si="11"/>
        <v>1.231429659800151E-2</v>
      </c>
      <c r="F347" s="49">
        <f t="shared" si="12"/>
        <v>1.0363214173092937E-2</v>
      </c>
    </row>
    <row r="348" spans="2:6">
      <c r="B348" s="51">
        <v>42857</v>
      </c>
      <c r="C348" s="32">
        <v>26.898099999999999</v>
      </c>
      <c r="D348" s="7">
        <v>703.79</v>
      </c>
      <c r="E348" s="49">
        <f t="shared" si="11"/>
        <v>-2.6764069499019428E-2</v>
      </c>
      <c r="F348" s="49">
        <f t="shared" si="12"/>
        <v>-1.5605271744527837E-3</v>
      </c>
    </row>
    <row r="349" spans="2:6">
      <c r="B349" s="51">
        <v>42858</v>
      </c>
      <c r="C349" s="32">
        <v>26.561900000000001</v>
      </c>
      <c r="D349" s="7">
        <v>699.97</v>
      </c>
      <c r="E349" s="49">
        <f t="shared" si="11"/>
        <v>-1.2499024094638583E-2</v>
      </c>
      <c r="F349" s="49">
        <f t="shared" si="12"/>
        <v>-5.4277554384119363E-3</v>
      </c>
    </row>
    <row r="350" spans="2:6">
      <c r="B350" s="51">
        <v>42859</v>
      </c>
      <c r="C350" s="32">
        <v>26.696300000000001</v>
      </c>
      <c r="D350" s="7">
        <v>709.61</v>
      </c>
      <c r="E350" s="49">
        <f t="shared" si="11"/>
        <v>5.0598789996197336E-3</v>
      </c>
      <c r="F350" s="49">
        <f t="shared" si="12"/>
        <v>1.3772018800805729E-2</v>
      </c>
    </row>
    <row r="351" spans="2:6">
      <c r="B351" s="51">
        <v>42860</v>
      </c>
      <c r="C351" s="32">
        <v>26.494599999999998</v>
      </c>
      <c r="D351" s="7">
        <v>712.95</v>
      </c>
      <c r="E351" s="49">
        <f t="shared" si="11"/>
        <v>-7.5553541127423062E-3</v>
      </c>
      <c r="F351" s="49">
        <f t="shared" si="12"/>
        <v>4.7068107833881032E-3</v>
      </c>
    </row>
    <row r="352" spans="2:6">
      <c r="B352" s="51">
        <v>42863</v>
      </c>
      <c r="C352" s="32">
        <v>26.561900000000001</v>
      </c>
      <c r="D352" s="7">
        <v>719.5</v>
      </c>
      <c r="E352" s="49">
        <f t="shared" si="11"/>
        <v>2.540140254995472E-3</v>
      </c>
      <c r="F352" s="49">
        <f t="shared" si="12"/>
        <v>9.1871800266497706E-3</v>
      </c>
    </row>
    <row r="353" spans="2:6">
      <c r="B353" s="51">
        <v>42864</v>
      </c>
      <c r="C353" s="32">
        <v>26.8308</v>
      </c>
      <c r="D353" s="7">
        <v>719.18</v>
      </c>
      <c r="E353" s="49">
        <f t="shared" si="11"/>
        <v>1.0123522790161795E-2</v>
      </c>
      <c r="F353" s="49">
        <f t="shared" si="12"/>
        <v>-4.4475330090347465E-4</v>
      </c>
    </row>
    <row r="354" spans="2:6">
      <c r="B354" s="51">
        <v>42865</v>
      </c>
      <c r="C354" s="32">
        <v>26.965299999999999</v>
      </c>
      <c r="D354" s="7">
        <v>718.13</v>
      </c>
      <c r="E354" s="49">
        <f t="shared" si="11"/>
        <v>5.012895627413241E-3</v>
      </c>
      <c r="F354" s="49">
        <f t="shared" si="12"/>
        <v>-1.4599961066769857E-3</v>
      </c>
    </row>
    <row r="355" spans="2:6">
      <c r="B355" s="51">
        <v>42866</v>
      </c>
      <c r="C355" s="32">
        <v>27.9068</v>
      </c>
      <c r="D355" s="7">
        <v>721.14</v>
      </c>
      <c r="E355" s="49">
        <f t="shared" si="11"/>
        <v>3.4915242923312606E-2</v>
      </c>
      <c r="F355" s="49">
        <f t="shared" si="12"/>
        <v>4.1914416609805894E-3</v>
      </c>
    </row>
    <row r="356" spans="2:6">
      <c r="B356" s="51">
        <v>42867</v>
      </c>
      <c r="C356" s="32">
        <v>26.847000000000001</v>
      </c>
      <c r="D356" s="7">
        <v>724.66</v>
      </c>
      <c r="E356" s="49">
        <f t="shared" si="11"/>
        <v>-3.7976407183912132E-2</v>
      </c>
      <c r="F356" s="49">
        <f t="shared" si="12"/>
        <v>4.8811603849460324E-3</v>
      </c>
    </row>
    <row r="357" spans="2:6">
      <c r="B357" s="51">
        <v>42870</v>
      </c>
      <c r="C357" s="32">
        <v>27.3416</v>
      </c>
      <c r="D357" s="7">
        <v>728.29</v>
      </c>
      <c r="E357" s="49">
        <f t="shared" si="11"/>
        <v>1.8422915037061807E-2</v>
      </c>
      <c r="F357" s="49">
        <f t="shared" si="12"/>
        <v>5.0092457152319646E-3</v>
      </c>
    </row>
    <row r="358" spans="2:6">
      <c r="B358" s="51">
        <v>42871</v>
      </c>
      <c r="C358" s="32">
        <v>27.412199999999999</v>
      </c>
      <c r="D358" s="7">
        <v>712.67</v>
      </c>
      <c r="E358" s="49">
        <f t="shared" si="11"/>
        <v>2.5821458875851773E-3</v>
      </c>
      <c r="F358" s="49">
        <f t="shared" si="12"/>
        <v>-2.1447500308942873E-2</v>
      </c>
    </row>
    <row r="359" spans="2:6">
      <c r="B359" s="51">
        <v>42873</v>
      </c>
      <c r="C359" s="32">
        <v>28.048100000000002</v>
      </c>
      <c r="D359" s="7">
        <v>722.7</v>
      </c>
      <c r="E359" s="49">
        <f t="shared" si="11"/>
        <v>2.3197700294029778E-2</v>
      </c>
      <c r="F359" s="49">
        <f t="shared" si="12"/>
        <v>1.4073835014803608E-2</v>
      </c>
    </row>
    <row r="360" spans="2:6">
      <c r="B360" s="51">
        <v>42874</v>
      </c>
      <c r="C360" s="32">
        <v>28.3307</v>
      </c>
      <c r="D360" s="7">
        <v>723.76</v>
      </c>
      <c r="E360" s="49">
        <f t="shared" si="11"/>
        <v>1.0075548789401015E-2</v>
      </c>
      <c r="F360" s="49">
        <f t="shared" si="12"/>
        <v>1.4667220146671446E-3</v>
      </c>
    </row>
    <row r="361" spans="2:6">
      <c r="B361" s="51">
        <v>42877</v>
      </c>
      <c r="C361" s="32">
        <v>28.26</v>
      </c>
      <c r="D361" s="7">
        <v>721.49</v>
      </c>
      <c r="E361" s="49">
        <f t="shared" si="11"/>
        <v>-2.495526054774455E-3</v>
      </c>
      <c r="F361" s="49">
        <f t="shared" si="12"/>
        <v>-3.1363988062340854E-3</v>
      </c>
    </row>
    <row r="362" spans="2:6">
      <c r="B362" s="51">
        <v>42878</v>
      </c>
      <c r="C362" s="32">
        <v>27.5535</v>
      </c>
      <c r="D362" s="7">
        <v>725.95</v>
      </c>
      <c r="E362" s="49">
        <f t="shared" si="11"/>
        <v>-2.5000000000000067E-2</v>
      </c>
      <c r="F362" s="49">
        <f t="shared" si="12"/>
        <v>6.1816518593466804E-3</v>
      </c>
    </row>
    <row r="363" spans="2:6">
      <c r="B363" s="51">
        <v>42879</v>
      </c>
      <c r="C363" s="32">
        <v>28.1187</v>
      </c>
      <c r="D363" s="7">
        <v>718.74</v>
      </c>
      <c r="E363" s="49">
        <f t="shared" si="11"/>
        <v>2.0512820512820544E-2</v>
      </c>
      <c r="F363" s="49">
        <f t="shared" si="12"/>
        <v>-9.9318134857773067E-3</v>
      </c>
    </row>
    <row r="364" spans="2:6">
      <c r="B364" s="51">
        <v>42881</v>
      </c>
      <c r="C364" s="32">
        <v>27.977399999999999</v>
      </c>
      <c r="D364" s="7">
        <v>718.2</v>
      </c>
      <c r="E364" s="49">
        <f t="shared" si="11"/>
        <v>-5.0251256281407426E-3</v>
      </c>
      <c r="F364" s="49">
        <f t="shared" si="12"/>
        <v>-7.5131480090152717E-4</v>
      </c>
    </row>
    <row r="365" spans="2:6">
      <c r="B365" s="51">
        <v>42884</v>
      </c>
      <c r="C365" s="32">
        <v>28.472000000000001</v>
      </c>
      <c r="D365" s="7">
        <v>718.32</v>
      </c>
      <c r="E365" s="49">
        <f t="shared" si="11"/>
        <v>1.7678554833544288E-2</v>
      </c>
      <c r="F365" s="49">
        <f t="shared" si="12"/>
        <v>1.6708437761069972E-4</v>
      </c>
    </row>
    <row r="366" spans="2:6">
      <c r="B366" s="51">
        <v>42885</v>
      </c>
      <c r="C366" s="32">
        <v>28.26</v>
      </c>
      <c r="D366" s="7">
        <v>710.34</v>
      </c>
      <c r="E366" s="49">
        <f t="shared" si="11"/>
        <v>-7.4459117729699263E-3</v>
      </c>
      <c r="F366" s="49">
        <f t="shared" si="12"/>
        <v>-1.1109254928165745E-2</v>
      </c>
    </row>
    <row r="367" spans="2:6">
      <c r="B367" s="51">
        <v>42886</v>
      </c>
      <c r="C367" s="32">
        <v>28.3307</v>
      </c>
      <c r="D367" s="7">
        <v>713.19</v>
      </c>
      <c r="E367" s="49">
        <f t="shared" si="11"/>
        <v>2.5017692852087278E-3</v>
      </c>
      <c r="F367" s="49">
        <f t="shared" si="12"/>
        <v>4.0121631894586007E-3</v>
      </c>
    </row>
    <row r="368" spans="2:6">
      <c r="B368" s="51">
        <v>42887</v>
      </c>
      <c r="C368" s="32">
        <v>29.037199999999999</v>
      </c>
      <c r="D368" s="7">
        <v>712.08</v>
      </c>
      <c r="E368" s="49">
        <f t="shared" si="11"/>
        <v>2.4937611848630577E-2</v>
      </c>
      <c r="F368" s="49">
        <f t="shared" si="12"/>
        <v>-1.5563874984225992E-3</v>
      </c>
    </row>
    <row r="369" spans="2:6">
      <c r="B369" s="51">
        <v>42888</v>
      </c>
      <c r="C369" s="32">
        <v>30.238199999999999</v>
      </c>
      <c r="D369" s="7">
        <v>709.37</v>
      </c>
      <c r="E369" s="49">
        <f t="shared" si="11"/>
        <v>4.136073726116845E-2</v>
      </c>
      <c r="F369" s="49">
        <f t="shared" si="12"/>
        <v>-3.8057521626784015E-3</v>
      </c>
    </row>
    <row r="370" spans="2:6">
      <c r="B370" s="51">
        <v>42892</v>
      </c>
      <c r="C370" s="32">
        <v>28.9665</v>
      </c>
      <c r="D370" s="7">
        <v>711.06</v>
      </c>
      <c r="E370" s="49">
        <f t="shared" si="11"/>
        <v>-4.2056074766355117E-2</v>
      </c>
      <c r="F370" s="49">
        <f t="shared" si="12"/>
        <v>2.3823956468414804E-3</v>
      </c>
    </row>
    <row r="371" spans="2:6">
      <c r="B371" s="51">
        <v>42893</v>
      </c>
      <c r="C371" s="32">
        <v>28.9665</v>
      </c>
      <c r="D371" s="7">
        <v>704.95</v>
      </c>
      <c r="E371" s="49">
        <f t="shared" si="11"/>
        <v>0</v>
      </c>
      <c r="F371" s="49">
        <f t="shared" si="12"/>
        <v>-8.5928051078669881E-3</v>
      </c>
    </row>
    <row r="372" spans="2:6">
      <c r="B372" s="51">
        <v>42894</v>
      </c>
      <c r="C372" s="32">
        <v>29.461099999999998</v>
      </c>
      <c r="D372" s="7">
        <v>706.68</v>
      </c>
      <c r="E372" s="49">
        <f t="shared" si="11"/>
        <v>1.7074896863618263E-2</v>
      </c>
      <c r="F372" s="49">
        <f t="shared" si="12"/>
        <v>2.4540747570748343E-3</v>
      </c>
    </row>
    <row r="373" spans="2:6">
      <c r="B373" s="51">
        <v>42895</v>
      </c>
      <c r="C373" s="32">
        <v>29.461099999999998</v>
      </c>
      <c r="D373" s="7">
        <v>711.91</v>
      </c>
      <c r="E373" s="49">
        <f t="shared" si="11"/>
        <v>0</v>
      </c>
      <c r="F373" s="49">
        <f t="shared" si="12"/>
        <v>7.4008037584196787E-3</v>
      </c>
    </row>
    <row r="374" spans="2:6">
      <c r="B374" s="51">
        <v>42898</v>
      </c>
      <c r="C374" s="32">
        <v>29.319800000000001</v>
      </c>
      <c r="D374" s="7">
        <v>710.06</v>
      </c>
      <c r="E374" s="49">
        <f t="shared" si="11"/>
        <v>-4.7961549297208033E-3</v>
      </c>
      <c r="F374" s="49">
        <f t="shared" si="12"/>
        <v>-2.5986430869070847E-3</v>
      </c>
    </row>
    <row r="375" spans="2:6">
      <c r="B375" s="51">
        <v>42899</v>
      </c>
      <c r="C375" s="32">
        <v>29.3904</v>
      </c>
      <c r="D375" s="7">
        <v>708.31</v>
      </c>
      <c r="E375" s="49">
        <f t="shared" si="11"/>
        <v>2.4079291127497076E-3</v>
      </c>
      <c r="F375" s="49">
        <f t="shared" si="12"/>
        <v>-2.4645804579894659E-3</v>
      </c>
    </row>
    <row r="376" spans="2:6">
      <c r="B376" s="51">
        <v>42900</v>
      </c>
      <c r="C376" s="32">
        <v>29.3904</v>
      </c>
      <c r="D376" s="7">
        <v>696.79</v>
      </c>
      <c r="E376" s="49">
        <f t="shared" si="11"/>
        <v>0</v>
      </c>
      <c r="F376" s="49">
        <f t="shared" si="12"/>
        <v>-1.626406516920555E-2</v>
      </c>
    </row>
    <row r="377" spans="2:6">
      <c r="B377" s="51">
        <v>42901</v>
      </c>
      <c r="C377" s="32">
        <v>29.249099999999999</v>
      </c>
      <c r="D377" s="7">
        <v>699.16</v>
      </c>
      <c r="E377" s="49">
        <f t="shared" si="11"/>
        <v>-4.8076923076923453E-3</v>
      </c>
      <c r="F377" s="49">
        <f t="shared" si="12"/>
        <v>3.4013117295024391E-3</v>
      </c>
    </row>
    <row r="378" spans="2:6">
      <c r="B378" s="51">
        <v>42902</v>
      </c>
      <c r="C378" s="32">
        <v>28.9665</v>
      </c>
      <c r="D378" s="7">
        <v>705.14</v>
      </c>
      <c r="E378" s="49">
        <f t="shared" si="11"/>
        <v>-9.661835748792225E-3</v>
      </c>
      <c r="F378" s="49">
        <f t="shared" si="12"/>
        <v>8.5531208879226772E-3</v>
      </c>
    </row>
    <row r="379" spans="2:6">
      <c r="B379" s="51">
        <v>42905</v>
      </c>
      <c r="C379" s="32">
        <v>29.249099999999999</v>
      </c>
      <c r="D379" s="7">
        <v>704.07</v>
      </c>
      <c r="E379" s="49">
        <f t="shared" si="11"/>
        <v>9.7560975609755629E-3</v>
      </c>
      <c r="F379" s="49">
        <f t="shared" si="12"/>
        <v>-1.5174291630030013E-3</v>
      </c>
    </row>
    <row r="380" spans="2:6">
      <c r="B380" s="51">
        <v>42906</v>
      </c>
      <c r="C380" s="32">
        <v>29.319800000000001</v>
      </c>
      <c r="D380" s="7">
        <v>699.68</v>
      </c>
      <c r="E380" s="49">
        <f t="shared" si="11"/>
        <v>2.4171683915061391E-3</v>
      </c>
      <c r="F380" s="49">
        <f t="shared" si="12"/>
        <v>-6.2351754797109662E-3</v>
      </c>
    </row>
    <row r="381" spans="2:6">
      <c r="B381" s="51">
        <v>42907</v>
      </c>
      <c r="C381" s="32">
        <v>29.319800000000001</v>
      </c>
      <c r="D381" s="7">
        <v>693.74</v>
      </c>
      <c r="E381" s="49">
        <f t="shared" si="11"/>
        <v>0</v>
      </c>
      <c r="F381" s="49">
        <f t="shared" si="12"/>
        <v>-8.4895952435398193E-3</v>
      </c>
    </row>
    <row r="382" spans="2:6">
      <c r="B382" s="51">
        <v>42908</v>
      </c>
      <c r="C382" s="32">
        <v>29.319800000000001</v>
      </c>
      <c r="D382" s="7">
        <v>693.32</v>
      </c>
      <c r="E382" s="49">
        <f t="shared" si="11"/>
        <v>0</v>
      </c>
      <c r="F382" s="49">
        <f t="shared" si="12"/>
        <v>-6.054141320955388E-4</v>
      </c>
    </row>
    <row r="383" spans="2:6">
      <c r="B383" s="51">
        <v>42909</v>
      </c>
      <c r="C383" s="32">
        <v>29.531700000000001</v>
      </c>
      <c r="D383" s="7">
        <v>693.17</v>
      </c>
      <c r="E383" s="49">
        <f t="shared" si="11"/>
        <v>7.227198002714888E-3</v>
      </c>
      <c r="F383" s="49">
        <f t="shared" si="12"/>
        <v>-2.163503144292548E-4</v>
      </c>
    </row>
    <row r="384" spans="2:6">
      <c r="B384" s="51">
        <v>42912</v>
      </c>
      <c r="C384" s="32">
        <v>29.531700000000001</v>
      </c>
      <c r="D384" s="7">
        <v>693.76</v>
      </c>
      <c r="E384" s="49">
        <f t="shared" si="11"/>
        <v>0</v>
      </c>
      <c r="F384" s="49">
        <f t="shared" si="12"/>
        <v>8.5116205259897556E-4</v>
      </c>
    </row>
    <row r="385" spans="2:6">
      <c r="B385" s="51">
        <v>42913</v>
      </c>
      <c r="C385" s="32">
        <v>29.602399999999999</v>
      </c>
      <c r="D385" s="7">
        <v>698.87</v>
      </c>
      <c r="E385" s="49">
        <f t="shared" si="11"/>
        <v>2.3940375935011752E-3</v>
      </c>
      <c r="F385" s="49">
        <f t="shared" si="12"/>
        <v>7.3656595940959609E-3</v>
      </c>
    </row>
    <row r="386" spans="2:6">
      <c r="B386" s="51">
        <v>42914</v>
      </c>
      <c r="C386" s="32">
        <v>29.672999999999998</v>
      </c>
      <c r="D386" s="7">
        <v>695.01</v>
      </c>
      <c r="E386" s="49">
        <f t="shared" si="11"/>
        <v>2.3849417614787614E-3</v>
      </c>
      <c r="F386" s="49">
        <f t="shared" si="12"/>
        <v>-5.5232017399516557E-3</v>
      </c>
    </row>
    <row r="387" spans="2:6">
      <c r="B387" s="51">
        <v>42915</v>
      </c>
      <c r="C387" s="32">
        <v>31.085999999999999</v>
      </c>
      <c r="D387" s="7">
        <v>698.58</v>
      </c>
      <c r="E387" s="49">
        <f t="shared" si="11"/>
        <v>4.761904761904763E-2</v>
      </c>
      <c r="F387" s="49">
        <f t="shared" si="12"/>
        <v>5.1366167393275637E-3</v>
      </c>
    </row>
    <row r="388" spans="2:6">
      <c r="B388" s="51">
        <v>42916</v>
      </c>
      <c r="C388" s="32">
        <v>30.308900000000001</v>
      </c>
      <c r="D388" s="7">
        <v>705.06</v>
      </c>
      <c r="E388" s="49">
        <f t="shared" si="11"/>
        <v>-2.4998391558901024E-2</v>
      </c>
      <c r="F388" s="49">
        <f t="shared" si="12"/>
        <v>9.2759598041740454E-3</v>
      </c>
    </row>
    <row r="389" spans="2:6">
      <c r="B389" s="51">
        <v>42919</v>
      </c>
      <c r="C389" s="32">
        <v>31.085999999999999</v>
      </c>
      <c r="D389" s="7">
        <v>707.52</v>
      </c>
      <c r="E389" s="49">
        <f t="shared" si="11"/>
        <v>2.5639333661069758E-2</v>
      </c>
      <c r="F389" s="49">
        <f t="shared" si="12"/>
        <v>3.4890647604459714E-3</v>
      </c>
    </row>
    <row r="390" spans="2:6">
      <c r="B390" s="51">
        <v>42920</v>
      </c>
      <c r="C390" s="32">
        <v>31.933800000000002</v>
      </c>
      <c r="D390" s="7">
        <v>701.85</v>
      </c>
      <c r="E390" s="49">
        <f t="shared" si="11"/>
        <v>2.7272727272727372E-2</v>
      </c>
      <c r="F390" s="49">
        <f t="shared" si="12"/>
        <v>-8.0139077340569305E-3</v>
      </c>
    </row>
    <row r="391" spans="2:6">
      <c r="B391" s="51">
        <v>42921</v>
      </c>
      <c r="C391" s="32">
        <v>31.509899999999998</v>
      </c>
      <c r="D391" s="7">
        <v>701.8</v>
      </c>
      <c r="E391" s="49">
        <f t="shared" si="11"/>
        <v>-1.3274336283185943E-2</v>
      </c>
      <c r="F391" s="49">
        <f t="shared" si="12"/>
        <v>-7.1240293510106453E-5</v>
      </c>
    </row>
    <row r="392" spans="2:6">
      <c r="B392" s="51">
        <v>42922</v>
      </c>
      <c r="C392" s="32">
        <v>31.651199999999999</v>
      </c>
      <c r="D392" s="7">
        <v>696.64</v>
      </c>
      <c r="E392" s="49">
        <f t="shared" si="11"/>
        <v>4.4843049327354606E-3</v>
      </c>
      <c r="F392" s="49">
        <f t="shared" si="12"/>
        <v>-7.3525220860643607E-3</v>
      </c>
    </row>
    <row r="393" spans="2:6">
      <c r="B393" s="51">
        <v>42923</v>
      </c>
      <c r="C393" s="32">
        <v>32.075099999999999</v>
      </c>
      <c r="D393" s="7">
        <v>702.25</v>
      </c>
      <c r="E393" s="49">
        <f t="shared" si="11"/>
        <v>1.3392857142857135E-2</v>
      </c>
      <c r="F393" s="49">
        <f t="shared" si="12"/>
        <v>8.0529398254478839E-3</v>
      </c>
    </row>
    <row r="394" spans="2:6">
      <c r="B394" s="51">
        <v>42926</v>
      </c>
      <c r="C394" s="32">
        <v>31.7925</v>
      </c>
      <c r="D394" s="7">
        <v>702.38</v>
      </c>
      <c r="E394" s="49">
        <f t="shared" si="11"/>
        <v>-8.8105726872246271E-3</v>
      </c>
      <c r="F394" s="49">
        <f t="shared" si="12"/>
        <v>1.8511925952295543E-4</v>
      </c>
    </row>
    <row r="395" spans="2:6">
      <c r="B395" s="51">
        <v>42927</v>
      </c>
      <c r="C395" s="32">
        <v>31.933800000000002</v>
      </c>
      <c r="D395" s="7">
        <v>716.81</v>
      </c>
      <c r="E395" s="49">
        <f t="shared" si="11"/>
        <v>4.4444444444444791E-3</v>
      </c>
      <c r="F395" s="49">
        <f t="shared" si="12"/>
        <v>2.0544434636521471E-2</v>
      </c>
    </row>
    <row r="396" spans="2:6">
      <c r="B396" s="51">
        <v>42928</v>
      </c>
      <c r="C396" s="32">
        <v>32.710999999999999</v>
      </c>
      <c r="D396" s="7">
        <v>722</v>
      </c>
      <c r="E396" s="49">
        <f t="shared" si="11"/>
        <v>2.4337848924963424E-2</v>
      </c>
      <c r="F396" s="49">
        <f t="shared" si="12"/>
        <v>7.2404123826398277E-3</v>
      </c>
    </row>
    <row r="397" spans="2:6">
      <c r="B397" s="51">
        <v>42929</v>
      </c>
      <c r="C397" s="32">
        <v>33.134900000000002</v>
      </c>
      <c r="D397" s="7">
        <v>721.22</v>
      </c>
      <c r="E397" s="49">
        <f t="shared" si="11"/>
        <v>1.2958943474672229E-2</v>
      </c>
      <c r="F397" s="49">
        <f t="shared" si="12"/>
        <v>-1.0803324099722615E-3</v>
      </c>
    </row>
    <row r="398" spans="2:6">
      <c r="B398" s="51">
        <v>42930</v>
      </c>
      <c r="C398" s="32">
        <v>33.8414</v>
      </c>
      <c r="D398" s="7">
        <v>729.18</v>
      </c>
      <c r="E398" s="49">
        <f t="shared" si="11"/>
        <v>2.1321929445991938E-2</v>
      </c>
      <c r="F398" s="49">
        <f t="shared" si="12"/>
        <v>1.1036854219239514E-2</v>
      </c>
    </row>
    <row r="399" spans="2:6">
      <c r="B399" s="51">
        <v>42933</v>
      </c>
      <c r="C399" s="32">
        <v>33.346800000000002</v>
      </c>
      <c r="D399" s="7">
        <v>725.89</v>
      </c>
      <c r="E399" s="49">
        <f t="shared" ref="E399:E462" si="13">(C399-C398)/C398</f>
        <v>-1.4615234594313426E-2</v>
      </c>
      <c r="F399" s="49">
        <f t="shared" ref="F399:F462" si="14">(D399-D398)/D398</f>
        <v>-4.5119174963657313E-3</v>
      </c>
    </row>
    <row r="400" spans="2:6">
      <c r="B400" s="51">
        <v>42934</v>
      </c>
      <c r="C400" s="32">
        <v>32.569699999999997</v>
      </c>
      <c r="D400" s="7">
        <v>728.25</v>
      </c>
      <c r="E400" s="49">
        <f t="shared" si="13"/>
        <v>-2.3303585351518115E-2</v>
      </c>
      <c r="F400" s="49">
        <f t="shared" si="14"/>
        <v>3.2511813084627338E-3</v>
      </c>
    </row>
    <row r="401" spans="2:6">
      <c r="B401" s="51">
        <v>42935</v>
      </c>
      <c r="C401" s="32">
        <v>32.428400000000003</v>
      </c>
      <c r="D401" s="7">
        <v>734.09</v>
      </c>
      <c r="E401" s="49">
        <f t="shared" si="13"/>
        <v>-4.3383881337560369E-3</v>
      </c>
      <c r="F401" s="49">
        <f t="shared" si="14"/>
        <v>8.0192241675249316E-3</v>
      </c>
    </row>
    <row r="402" spans="2:6">
      <c r="B402" s="51">
        <v>42936</v>
      </c>
      <c r="C402" s="32">
        <v>32.781599999999997</v>
      </c>
      <c r="D402" s="7">
        <v>723.24</v>
      </c>
      <c r="E402" s="49">
        <f t="shared" si="13"/>
        <v>1.0891687533149768E-2</v>
      </c>
      <c r="F402" s="49">
        <f t="shared" si="14"/>
        <v>-1.4780204062172243E-2</v>
      </c>
    </row>
    <row r="403" spans="2:6">
      <c r="B403" s="51">
        <v>42937</v>
      </c>
      <c r="C403" s="32">
        <v>31.5806</v>
      </c>
      <c r="D403" s="7">
        <v>723.05</v>
      </c>
      <c r="E403" s="49">
        <f t="shared" si="13"/>
        <v>-3.6636405788613033E-2</v>
      </c>
      <c r="F403" s="49">
        <f t="shared" si="14"/>
        <v>-2.627067086998155E-4</v>
      </c>
    </row>
    <row r="404" spans="2:6">
      <c r="B404" s="51">
        <v>42940</v>
      </c>
      <c r="C404" s="32">
        <v>32.0045</v>
      </c>
      <c r="D404" s="7">
        <v>724.49</v>
      </c>
      <c r="E404" s="49">
        <f t="shared" si="13"/>
        <v>1.3422797540262051E-2</v>
      </c>
      <c r="F404" s="49">
        <f t="shared" si="14"/>
        <v>1.991563515662893E-3</v>
      </c>
    </row>
    <row r="405" spans="2:6">
      <c r="B405" s="51">
        <v>42941</v>
      </c>
      <c r="C405" s="32">
        <v>31.651199999999999</v>
      </c>
      <c r="D405" s="7">
        <v>732.54</v>
      </c>
      <c r="E405" s="49">
        <f t="shared" si="13"/>
        <v>-1.1039072630411375E-2</v>
      </c>
      <c r="F405" s="49">
        <f t="shared" si="14"/>
        <v>1.1111264475700084E-2</v>
      </c>
    </row>
    <row r="406" spans="2:6">
      <c r="B406" s="51">
        <v>42942</v>
      </c>
      <c r="C406" s="32">
        <v>31.651199999999999</v>
      </c>
      <c r="D406" s="7">
        <v>732.82</v>
      </c>
      <c r="E406" s="49">
        <f t="shared" si="13"/>
        <v>0</v>
      </c>
      <c r="F406" s="49">
        <f t="shared" si="14"/>
        <v>3.8223168700697081E-4</v>
      </c>
    </row>
    <row r="407" spans="2:6">
      <c r="B407" s="51">
        <v>42943</v>
      </c>
      <c r="C407" s="32">
        <v>31.439299999999999</v>
      </c>
      <c r="D407" s="7">
        <v>734.42</v>
      </c>
      <c r="E407" s="49">
        <f t="shared" si="13"/>
        <v>-6.6948488524921643E-3</v>
      </c>
      <c r="F407" s="49">
        <f t="shared" si="14"/>
        <v>2.1833465243851274E-3</v>
      </c>
    </row>
    <row r="408" spans="2:6">
      <c r="B408" s="51">
        <v>42944</v>
      </c>
      <c r="C408" s="32">
        <v>31.2273</v>
      </c>
      <c r="D408" s="7">
        <v>732.51</v>
      </c>
      <c r="E408" s="49">
        <f t="shared" si="13"/>
        <v>-6.7431526783357058E-3</v>
      </c>
      <c r="F408" s="49">
        <f t="shared" si="14"/>
        <v>-2.6006917022956457E-3</v>
      </c>
    </row>
    <row r="409" spans="2:6">
      <c r="B409" s="51">
        <v>42947</v>
      </c>
      <c r="C409" s="32">
        <v>31.439299999999999</v>
      </c>
      <c r="D409" s="7">
        <v>737.36</v>
      </c>
      <c r="E409" s="49">
        <f t="shared" si="13"/>
        <v>6.7889314798269384E-3</v>
      </c>
      <c r="F409" s="49">
        <f t="shared" si="14"/>
        <v>6.6210700195219489E-3</v>
      </c>
    </row>
    <row r="410" spans="2:6">
      <c r="B410" s="51">
        <v>42948</v>
      </c>
      <c r="C410" s="32">
        <v>31.156700000000001</v>
      </c>
      <c r="D410" s="7">
        <v>735.45</v>
      </c>
      <c r="E410" s="49">
        <f t="shared" si="13"/>
        <v>-8.9887497495172806E-3</v>
      </c>
      <c r="F410" s="49">
        <f t="shared" si="14"/>
        <v>-2.5903222306606923E-3</v>
      </c>
    </row>
    <row r="411" spans="2:6">
      <c r="B411" s="51">
        <v>42949</v>
      </c>
      <c r="C411" s="32">
        <v>30.944700000000001</v>
      </c>
      <c r="D411" s="7">
        <v>736.06</v>
      </c>
      <c r="E411" s="49">
        <f t="shared" si="13"/>
        <v>-6.804314962752786E-3</v>
      </c>
      <c r="F411" s="49">
        <f t="shared" si="14"/>
        <v>8.2942416207750348E-4</v>
      </c>
    </row>
    <row r="412" spans="2:6">
      <c r="B412" s="51">
        <v>42950</v>
      </c>
      <c r="C412" s="32">
        <v>30.5915</v>
      </c>
      <c r="D412" s="7">
        <v>738.06</v>
      </c>
      <c r="E412" s="49">
        <f t="shared" si="13"/>
        <v>-1.1413909328576494E-2</v>
      </c>
      <c r="F412" s="49">
        <f t="shared" si="14"/>
        <v>2.7171697959405485E-3</v>
      </c>
    </row>
    <row r="413" spans="2:6">
      <c r="B413" s="51">
        <v>42951</v>
      </c>
      <c r="C413" s="32">
        <v>30.874099999999999</v>
      </c>
      <c r="D413" s="7">
        <v>742.37</v>
      </c>
      <c r="E413" s="49">
        <f t="shared" si="13"/>
        <v>9.2378601899219918E-3</v>
      </c>
      <c r="F413" s="49">
        <f t="shared" si="14"/>
        <v>5.8396336341219679E-3</v>
      </c>
    </row>
    <row r="414" spans="2:6">
      <c r="B414" s="51">
        <v>42954</v>
      </c>
      <c r="C414" s="32">
        <v>32.2164</v>
      </c>
      <c r="D414" s="7">
        <v>742.51</v>
      </c>
      <c r="E414" s="49">
        <f t="shared" si="13"/>
        <v>4.3476570976967804E-2</v>
      </c>
      <c r="F414" s="49">
        <f t="shared" si="14"/>
        <v>1.8858520683754241E-4</v>
      </c>
    </row>
    <row r="415" spans="2:6">
      <c r="B415" s="51">
        <v>42955</v>
      </c>
      <c r="C415" s="32">
        <v>32.8523</v>
      </c>
      <c r="D415" s="7">
        <v>741.54</v>
      </c>
      <c r="E415" s="49">
        <f t="shared" si="13"/>
        <v>1.9738394109832243E-2</v>
      </c>
      <c r="F415" s="49">
        <f t="shared" si="14"/>
        <v>-1.3063797120577867E-3</v>
      </c>
    </row>
    <row r="416" spans="2:6">
      <c r="B416" s="51">
        <v>42956</v>
      </c>
      <c r="C416" s="32">
        <v>32.8523</v>
      </c>
      <c r="D416" s="7">
        <v>735.76</v>
      </c>
      <c r="E416" s="49">
        <f t="shared" si="13"/>
        <v>0</v>
      </c>
      <c r="F416" s="49">
        <f t="shared" si="14"/>
        <v>-7.794589637780798E-3</v>
      </c>
    </row>
    <row r="417" spans="2:6">
      <c r="B417" s="51">
        <v>42957</v>
      </c>
      <c r="C417" s="32">
        <v>33.205500000000001</v>
      </c>
      <c r="D417" s="7">
        <v>727.8</v>
      </c>
      <c r="E417" s="49">
        <f t="shared" si="13"/>
        <v>1.0751149843389993E-2</v>
      </c>
      <c r="F417" s="49">
        <f t="shared" si="14"/>
        <v>-1.0818745243014075E-2</v>
      </c>
    </row>
    <row r="418" spans="2:6">
      <c r="B418" s="51">
        <v>42958</v>
      </c>
      <c r="C418" s="32">
        <v>33.205500000000001</v>
      </c>
      <c r="D418" s="7">
        <v>735.75</v>
      </c>
      <c r="E418" s="49">
        <f t="shared" si="13"/>
        <v>0</v>
      </c>
      <c r="F418" s="49">
        <f t="shared" si="14"/>
        <v>1.0923330585325701E-2</v>
      </c>
    </row>
    <row r="419" spans="2:6">
      <c r="B419" s="51">
        <v>42961</v>
      </c>
      <c r="C419" s="32">
        <v>32.781599999999997</v>
      </c>
      <c r="D419" s="7">
        <v>730.54</v>
      </c>
      <c r="E419" s="49">
        <f t="shared" si="13"/>
        <v>-1.2765957446808609E-2</v>
      </c>
      <c r="F419" s="49">
        <f t="shared" si="14"/>
        <v>-7.0812096500170391E-3</v>
      </c>
    </row>
    <row r="420" spans="2:6">
      <c r="B420" s="51">
        <v>42962</v>
      </c>
      <c r="C420" s="32">
        <v>32.8523</v>
      </c>
      <c r="D420" s="7">
        <v>736.47</v>
      </c>
      <c r="E420" s="49">
        <f t="shared" si="13"/>
        <v>2.1566976596628052E-3</v>
      </c>
      <c r="F420" s="49">
        <f t="shared" si="14"/>
        <v>8.1172831056479638E-3</v>
      </c>
    </row>
    <row r="421" spans="2:6">
      <c r="B421" s="51">
        <v>42963</v>
      </c>
      <c r="C421" s="32">
        <v>32.428400000000003</v>
      </c>
      <c r="D421" s="7">
        <v>726.71</v>
      </c>
      <c r="E421" s="49">
        <f t="shared" si="13"/>
        <v>-1.2903206168213372E-2</v>
      </c>
      <c r="F421" s="49">
        <f t="shared" si="14"/>
        <v>-1.325240675112359E-2</v>
      </c>
    </row>
    <row r="422" spans="2:6">
      <c r="B422" s="51">
        <v>42964</v>
      </c>
      <c r="C422" s="32">
        <v>32.428400000000003</v>
      </c>
      <c r="D422" s="7">
        <v>726.46</v>
      </c>
      <c r="E422" s="49">
        <f t="shared" si="13"/>
        <v>0</v>
      </c>
      <c r="F422" s="49">
        <f t="shared" si="14"/>
        <v>-3.4401618252122578E-4</v>
      </c>
    </row>
    <row r="423" spans="2:6">
      <c r="B423" s="51">
        <v>42965</v>
      </c>
      <c r="C423" s="32">
        <v>32.2164</v>
      </c>
      <c r="D423" s="7">
        <v>725.72</v>
      </c>
      <c r="E423" s="49">
        <f t="shared" si="13"/>
        <v>-6.537479493283766E-3</v>
      </c>
      <c r="F423" s="49">
        <f t="shared" si="14"/>
        <v>-1.0186383283319234E-3</v>
      </c>
    </row>
    <row r="424" spans="2:6">
      <c r="B424" s="51">
        <v>42968</v>
      </c>
      <c r="C424" s="32">
        <v>31.5806</v>
      </c>
      <c r="D424" s="7">
        <v>730.54</v>
      </c>
      <c r="E424" s="49">
        <f t="shared" si="13"/>
        <v>-1.9735290100694046E-2</v>
      </c>
      <c r="F424" s="49">
        <f t="shared" si="14"/>
        <v>6.6416799867716697E-3</v>
      </c>
    </row>
    <row r="425" spans="2:6">
      <c r="B425" s="51">
        <v>42969</v>
      </c>
      <c r="C425" s="32">
        <v>31.863199999999999</v>
      </c>
      <c r="D425" s="7">
        <v>729.16</v>
      </c>
      <c r="E425" s="49">
        <f t="shared" si="13"/>
        <v>8.9485316935079967E-3</v>
      </c>
      <c r="F425" s="49">
        <f t="shared" si="14"/>
        <v>-1.8890136063733616E-3</v>
      </c>
    </row>
    <row r="426" spans="2:6">
      <c r="B426" s="51">
        <v>42970</v>
      </c>
      <c r="C426" s="32">
        <v>31.509899999999998</v>
      </c>
      <c r="D426" s="7">
        <v>730.5</v>
      </c>
      <c r="E426" s="49">
        <f t="shared" si="13"/>
        <v>-1.1088026312485904E-2</v>
      </c>
      <c r="F426" s="49">
        <f t="shared" si="14"/>
        <v>1.8377310878271325E-3</v>
      </c>
    </row>
    <row r="427" spans="2:6">
      <c r="B427" s="51">
        <v>42971</v>
      </c>
      <c r="C427" s="32">
        <v>31.7925</v>
      </c>
      <c r="D427" s="7">
        <v>730.42</v>
      </c>
      <c r="E427" s="49">
        <f t="shared" si="13"/>
        <v>8.9686098654709213E-3</v>
      </c>
      <c r="F427" s="49">
        <f t="shared" si="14"/>
        <v>-1.0951403148534007E-4</v>
      </c>
    </row>
    <row r="428" spans="2:6">
      <c r="B428" s="51">
        <v>42972</v>
      </c>
      <c r="C428" s="32">
        <v>31.7925</v>
      </c>
      <c r="D428" s="7">
        <v>728.6</v>
      </c>
      <c r="E428" s="49">
        <f t="shared" si="13"/>
        <v>0</v>
      </c>
      <c r="F428" s="49">
        <f t="shared" si="14"/>
        <v>-2.4917170942744399E-3</v>
      </c>
    </row>
    <row r="429" spans="2:6">
      <c r="B429" s="51">
        <v>42975</v>
      </c>
      <c r="C429" s="32">
        <v>31.7925</v>
      </c>
      <c r="D429" s="7">
        <v>723.18</v>
      </c>
      <c r="E429" s="49">
        <f t="shared" si="13"/>
        <v>0</v>
      </c>
      <c r="F429" s="49">
        <f t="shared" si="14"/>
        <v>-7.4389239637662266E-3</v>
      </c>
    </row>
    <row r="430" spans="2:6">
      <c r="B430" s="51">
        <v>42976</v>
      </c>
      <c r="C430" s="32">
        <v>31.721900000000002</v>
      </c>
      <c r="D430" s="7">
        <v>730.06</v>
      </c>
      <c r="E430" s="49">
        <f t="shared" si="13"/>
        <v>-2.2206495242588311E-3</v>
      </c>
      <c r="F430" s="49">
        <f t="shared" si="14"/>
        <v>9.5135374318980007E-3</v>
      </c>
    </row>
    <row r="431" spans="2:6">
      <c r="B431" s="51">
        <v>42977</v>
      </c>
      <c r="C431" s="32">
        <v>31.439299999999999</v>
      </c>
      <c r="D431" s="7">
        <v>739.87</v>
      </c>
      <c r="E431" s="49">
        <f t="shared" si="13"/>
        <v>-8.9086719269653517E-3</v>
      </c>
      <c r="F431" s="49">
        <f t="shared" si="14"/>
        <v>1.3437251732734377E-2</v>
      </c>
    </row>
    <row r="432" spans="2:6">
      <c r="B432" s="51">
        <v>42978</v>
      </c>
      <c r="C432" s="32">
        <v>31.7925</v>
      </c>
      <c r="D432" s="7">
        <v>747.27</v>
      </c>
      <c r="E432" s="49">
        <f t="shared" si="13"/>
        <v>1.1234346820698968E-2</v>
      </c>
      <c r="F432" s="49">
        <f t="shared" si="14"/>
        <v>1.0001757065430383E-2</v>
      </c>
    </row>
    <row r="433" spans="2:6">
      <c r="B433" s="51">
        <v>42979</v>
      </c>
      <c r="C433" s="32">
        <v>31.651199999999999</v>
      </c>
      <c r="D433" s="7">
        <v>745.87</v>
      </c>
      <c r="E433" s="49">
        <f t="shared" si="13"/>
        <v>-4.4444444444444791E-3</v>
      </c>
      <c r="F433" s="49">
        <f t="shared" si="14"/>
        <v>-1.873486156275479E-3</v>
      </c>
    </row>
    <row r="434" spans="2:6">
      <c r="B434" s="51">
        <v>42982</v>
      </c>
      <c r="C434" s="32">
        <v>31.7925</v>
      </c>
      <c r="D434" s="7">
        <v>748.81</v>
      </c>
      <c r="E434" s="49">
        <f t="shared" si="13"/>
        <v>4.4642857142857487E-3</v>
      </c>
      <c r="F434" s="49">
        <f t="shared" si="14"/>
        <v>3.9417056591630455E-3</v>
      </c>
    </row>
    <row r="435" spans="2:6">
      <c r="B435" s="51">
        <v>42983</v>
      </c>
      <c r="C435" s="32">
        <v>32.0045</v>
      </c>
      <c r="D435" s="7">
        <v>745.41</v>
      </c>
      <c r="E435" s="49">
        <f t="shared" si="13"/>
        <v>6.6682393646300148E-3</v>
      </c>
      <c r="F435" s="49">
        <f t="shared" si="14"/>
        <v>-4.5405376530761841E-3</v>
      </c>
    </row>
    <row r="436" spans="2:6">
      <c r="B436" s="51">
        <v>42984</v>
      </c>
      <c r="C436" s="32">
        <v>31.933800000000002</v>
      </c>
      <c r="D436" s="7">
        <v>747.4</v>
      </c>
      <c r="E436" s="49">
        <f t="shared" si="13"/>
        <v>-2.2090643503256935E-3</v>
      </c>
      <c r="F436" s="49">
        <f t="shared" si="14"/>
        <v>2.6696717242859756E-3</v>
      </c>
    </row>
    <row r="437" spans="2:6">
      <c r="B437" s="51">
        <v>42985</v>
      </c>
      <c r="C437" s="32">
        <v>31.368600000000001</v>
      </c>
      <c r="D437" s="7">
        <v>745.42</v>
      </c>
      <c r="E437" s="49">
        <f t="shared" si="13"/>
        <v>-1.7699115044247812E-2</v>
      </c>
      <c r="F437" s="49">
        <f t="shared" si="14"/>
        <v>-2.6491838373026736E-3</v>
      </c>
    </row>
    <row r="438" spans="2:6">
      <c r="B438" s="51">
        <v>42986</v>
      </c>
      <c r="C438" s="32">
        <v>31.439299999999999</v>
      </c>
      <c r="D438" s="7">
        <v>751.68</v>
      </c>
      <c r="E438" s="49">
        <f t="shared" si="13"/>
        <v>2.2538462028907458E-3</v>
      </c>
      <c r="F438" s="49">
        <f t="shared" si="14"/>
        <v>8.3979501489093288E-3</v>
      </c>
    </row>
    <row r="439" spans="2:6">
      <c r="B439" s="51">
        <v>42989</v>
      </c>
      <c r="C439" s="32">
        <v>31.7925</v>
      </c>
      <c r="D439" s="7">
        <v>756.34</v>
      </c>
      <c r="E439" s="49">
        <f t="shared" si="13"/>
        <v>1.1234346820698968E-2</v>
      </c>
      <c r="F439" s="49">
        <f t="shared" si="14"/>
        <v>6.1994465730099008E-3</v>
      </c>
    </row>
    <row r="440" spans="2:6">
      <c r="B440" s="51">
        <v>42990</v>
      </c>
      <c r="C440" s="32">
        <v>31.085999999999999</v>
      </c>
      <c r="D440" s="7">
        <v>761.44</v>
      </c>
      <c r="E440" s="49">
        <f t="shared" si="13"/>
        <v>-2.2222222222222282E-2</v>
      </c>
      <c r="F440" s="49">
        <f t="shared" si="14"/>
        <v>6.7429991802628745E-3</v>
      </c>
    </row>
    <row r="441" spans="2:6">
      <c r="B441" s="51">
        <v>42991</v>
      </c>
      <c r="C441" s="32">
        <v>30.874099999999999</v>
      </c>
      <c r="D441" s="7">
        <v>762.71</v>
      </c>
      <c r="E441" s="49">
        <f t="shared" si="13"/>
        <v>-6.8165733770829311E-3</v>
      </c>
      <c r="F441" s="49">
        <f t="shared" si="14"/>
        <v>1.6678924143727434E-3</v>
      </c>
    </row>
    <row r="442" spans="2:6">
      <c r="B442" s="51">
        <v>42992</v>
      </c>
      <c r="C442" s="32">
        <v>30.732800000000001</v>
      </c>
      <c r="D442" s="7">
        <v>758.88</v>
      </c>
      <c r="E442" s="49">
        <f t="shared" si="13"/>
        <v>-4.5766516270918847E-3</v>
      </c>
      <c r="F442" s="49">
        <f t="shared" si="14"/>
        <v>-5.0215678304991948E-3</v>
      </c>
    </row>
    <row r="443" spans="2:6">
      <c r="B443" s="51">
        <v>42993</v>
      </c>
      <c r="C443" s="32">
        <v>30.944700000000001</v>
      </c>
      <c r="D443" s="7">
        <v>762.49</v>
      </c>
      <c r="E443" s="49">
        <f t="shared" si="13"/>
        <v>6.8949135776759677E-3</v>
      </c>
      <c r="F443" s="49">
        <f t="shared" si="14"/>
        <v>4.7570103310141439E-3</v>
      </c>
    </row>
    <row r="444" spans="2:6">
      <c r="B444" s="51">
        <v>42996</v>
      </c>
      <c r="C444" s="32">
        <v>30.8034</v>
      </c>
      <c r="D444" s="7">
        <v>763.53</v>
      </c>
      <c r="E444" s="49">
        <f t="shared" si="13"/>
        <v>-4.5662100456621358E-3</v>
      </c>
      <c r="F444" s="49">
        <f t="shared" si="14"/>
        <v>1.3639523141286622E-3</v>
      </c>
    </row>
    <row r="445" spans="2:6">
      <c r="B445" s="51">
        <v>42997</v>
      </c>
      <c r="C445" s="32">
        <v>30.732800000000001</v>
      </c>
      <c r="D445" s="7">
        <v>765.38</v>
      </c>
      <c r="E445" s="49">
        <f t="shared" si="13"/>
        <v>-2.2919547842120964E-3</v>
      </c>
      <c r="F445" s="49">
        <f t="shared" si="14"/>
        <v>2.4229565308501603E-3</v>
      </c>
    </row>
    <row r="446" spans="2:6">
      <c r="B446" s="51">
        <v>42998</v>
      </c>
      <c r="C446" s="32">
        <v>30.662099999999999</v>
      </c>
      <c r="D446" s="7">
        <v>771.91</v>
      </c>
      <c r="E446" s="49">
        <f t="shared" si="13"/>
        <v>-2.3004737609330162E-3</v>
      </c>
      <c r="F446" s="49">
        <f t="shared" si="14"/>
        <v>8.5317097389531645E-3</v>
      </c>
    </row>
    <row r="447" spans="2:6">
      <c r="B447" s="51">
        <v>42999</v>
      </c>
      <c r="C447" s="32">
        <v>31.2273</v>
      </c>
      <c r="D447" s="7">
        <v>773.22</v>
      </c>
      <c r="E447" s="49">
        <f t="shared" si="13"/>
        <v>1.8433179723502332E-2</v>
      </c>
      <c r="F447" s="49">
        <f t="shared" si="14"/>
        <v>1.697089038877666E-3</v>
      </c>
    </row>
    <row r="448" spans="2:6">
      <c r="B448" s="51">
        <v>43000</v>
      </c>
      <c r="C448" s="32">
        <v>31.721900000000002</v>
      </c>
      <c r="D448" s="7">
        <v>777.92</v>
      </c>
      <c r="E448" s="49">
        <f t="shared" si="13"/>
        <v>1.5838705235483117E-2</v>
      </c>
      <c r="F448" s="49">
        <f t="shared" si="14"/>
        <v>6.0784770181836105E-3</v>
      </c>
    </row>
    <row r="449" spans="2:6">
      <c r="B449" s="51">
        <v>43003</v>
      </c>
      <c r="C449" s="32">
        <v>31.651199999999999</v>
      </c>
      <c r="D449" s="7">
        <v>773.96</v>
      </c>
      <c r="E449" s="49">
        <f t="shared" si="13"/>
        <v>-2.2287441798884114E-3</v>
      </c>
      <c r="F449" s="49">
        <f t="shared" si="14"/>
        <v>-5.0904977375564623E-3</v>
      </c>
    </row>
    <row r="450" spans="2:6">
      <c r="B450" s="51">
        <v>43004</v>
      </c>
      <c r="C450" s="32">
        <v>31.085999999999999</v>
      </c>
      <c r="D450" s="7">
        <v>778.98</v>
      </c>
      <c r="E450" s="49">
        <f t="shared" si="13"/>
        <v>-1.7857142857142884E-2</v>
      </c>
      <c r="F450" s="49">
        <f t="shared" si="14"/>
        <v>6.486123313866326E-3</v>
      </c>
    </row>
    <row r="451" spans="2:6">
      <c r="B451" s="51">
        <v>43005</v>
      </c>
      <c r="C451" s="32">
        <v>31.297999999999998</v>
      </c>
      <c r="D451" s="7">
        <v>782.6</v>
      </c>
      <c r="E451" s="49">
        <f t="shared" si="13"/>
        <v>6.8197902592806977E-3</v>
      </c>
      <c r="F451" s="49">
        <f t="shared" si="14"/>
        <v>4.6471026213766777E-3</v>
      </c>
    </row>
    <row r="452" spans="2:6">
      <c r="B452" s="51">
        <v>43006</v>
      </c>
      <c r="C452" s="32">
        <v>30.732800000000001</v>
      </c>
      <c r="D452" s="7">
        <v>783.09</v>
      </c>
      <c r="E452" s="49">
        <f t="shared" si="13"/>
        <v>-1.805866189532869E-2</v>
      </c>
      <c r="F452" s="49">
        <f t="shared" si="14"/>
        <v>6.2611806797854472E-4</v>
      </c>
    </row>
    <row r="453" spans="2:6">
      <c r="B453" s="51">
        <v>43007</v>
      </c>
      <c r="C453" s="32">
        <v>30.5915</v>
      </c>
      <c r="D453" s="7">
        <v>784.71</v>
      </c>
      <c r="E453" s="49">
        <f t="shared" si="13"/>
        <v>-4.597693669304492E-3</v>
      </c>
      <c r="F453" s="49">
        <f t="shared" si="14"/>
        <v>2.0687277324445523E-3</v>
      </c>
    </row>
    <row r="454" spans="2:6">
      <c r="B454" s="51">
        <v>43010</v>
      </c>
      <c r="C454" s="32">
        <v>30.8034</v>
      </c>
      <c r="D454" s="7">
        <v>788.82</v>
      </c>
      <c r="E454" s="49">
        <f t="shared" si="13"/>
        <v>6.9267607015020506E-3</v>
      </c>
      <c r="F454" s="49">
        <f t="shared" si="14"/>
        <v>5.2376037007302234E-3</v>
      </c>
    </row>
    <row r="455" spans="2:6">
      <c r="B455" s="51">
        <v>43011</v>
      </c>
      <c r="C455" s="32">
        <v>30.874099999999999</v>
      </c>
      <c r="D455" s="7">
        <v>783.95</v>
      </c>
      <c r="E455" s="49">
        <f t="shared" si="13"/>
        <v>2.2952011790905763E-3</v>
      </c>
      <c r="F455" s="49">
        <f t="shared" si="14"/>
        <v>-6.173778555310469E-3</v>
      </c>
    </row>
    <row r="456" spans="2:6">
      <c r="B456" s="51">
        <v>43012</v>
      </c>
      <c r="C456" s="32">
        <v>30.732800000000001</v>
      </c>
      <c r="D456" s="7">
        <v>789.24</v>
      </c>
      <c r="E456" s="49">
        <f t="shared" si="13"/>
        <v>-4.5766516270918847E-3</v>
      </c>
      <c r="F456" s="49">
        <f t="shared" si="14"/>
        <v>6.7478793290387954E-3</v>
      </c>
    </row>
    <row r="457" spans="2:6">
      <c r="B457" s="51">
        <v>43013</v>
      </c>
      <c r="C457" s="32">
        <v>31.2273</v>
      </c>
      <c r="D457" s="7">
        <v>784.79</v>
      </c>
      <c r="E457" s="49">
        <f t="shared" si="13"/>
        <v>1.6090300916284835E-2</v>
      </c>
      <c r="F457" s="49">
        <f t="shared" si="14"/>
        <v>-5.6383356140084703E-3</v>
      </c>
    </row>
    <row r="458" spans="2:6">
      <c r="B458" s="51">
        <v>43014</v>
      </c>
      <c r="C458" s="32">
        <v>31.368600000000001</v>
      </c>
      <c r="D458" s="7">
        <v>785.8</v>
      </c>
      <c r="E458" s="49">
        <f t="shared" si="13"/>
        <v>4.5248868778280894E-3</v>
      </c>
      <c r="F458" s="49">
        <f t="shared" si="14"/>
        <v>1.2869684883854164E-3</v>
      </c>
    </row>
    <row r="459" spans="2:6">
      <c r="B459" s="51">
        <v>43017</v>
      </c>
      <c r="C459" s="32">
        <v>31.439299999999999</v>
      </c>
      <c r="D459" s="7">
        <v>788.03</v>
      </c>
      <c r="E459" s="49">
        <f t="shared" si="13"/>
        <v>2.2538462028907458E-3</v>
      </c>
      <c r="F459" s="49">
        <f t="shared" si="14"/>
        <v>2.8378722321201555E-3</v>
      </c>
    </row>
    <row r="460" spans="2:6">
      <c r="B460" s="51">
        <v>43018</v>
      </c>
      <c r="C460" s="32">
        <v>31.085999999999999</v>
      </c>
      <c r="D460" s="7">
        <v>788.38</v>
      </c>
      <c r="E460" s="49">
        <f t="shared" si="13"/>
        <v>-1.1237527553094403E-2</v>
      </c>
      <c r="F460" s="49">
        <f t="shared" si="14"/>
        <v>4.4414552745456739E-4</v>
      </c>
    </row>
    <row r="461" spans="2:6">
      <c r="B461" s="51">
        <v>43019</v>
      </c>
      <c r="C461" s="32">
        <v>30.8034</v>
      </c>
      <c r="D461" s="7">
        <v>790.39</v>
      </c>
      <c r="E461" s="49">
        <f t="shared" si="13"/>
        <v>-9.0909090909090471E-3</v>
      </c>
      <c r="F461" s="49">
        <f t="shared" si="14"/>
        <v>2.5495319515969339E-3</v>
      </c>
    </row>
    <row r="462" spans="2:6">
      <c r="B462" s="51">
        <v>43020</v>
      </c>
      <c r="C462" s="32">
        <v>30.874099999999999</v>
      </c>
      <c r="D462" s="7">
        <v>792.44</v>
      </c>
      <c r="E462" s="49">
        <f t="shared" si="13"/>
        <v>2.2952011790905763E-3</v>
      </c>
      <c r="F462" s="49">
        <f t="shared" si="14"/>
        <v>2.5936562962588952E-3</v>
      </c>
    </row>
    <row r="463" spans="2:6">
      <c r="B463" s="51">
        <v>43021</v>
      </c>
      <c r="C463" s="32">
        <v>30.944700000000001</v>
      </c>
      <c r="D463" s="7">
        <v>790.87</v>
      </c>
      <c r="E463" s="49">
        <f t="shared" ref="E463:E526" si="15">(C463-C462)/C462</f>
        <v>2.2867063331401542E-3</v>
      </c>
      <c r="F463" s="49">
        <f t="shared" ref="F463:F526" si="16">(D463-D462)/D462</f>
        <v>-1.9812225531271135E-3</v>
      </c>
    </row>
    <row r="464" spans="2:6">
      <c r="B464" s="51">
        <v>43024</v>
      </c>
      <c r="C464" s="32">
        <v>30.450199999999999</v>
      </c>
      <c r="D464" s="7">
        <v>788.67</v>
      </c>
      <c r="E464" s="49">
        <f t="shared" si="15"/>
        <v>-1.5980119374238631E-2</v>
      </c>
      <c r="F464" s="49">
        <f t="shared" si="16"/>
        <v>-2.7817466840315669E-3</v>
      </c>
    </row>
    <row r="465" spans="2:6">
      <c r="B465" s="51">
        <v>43025</v>
      </c>
      <c r="C465" s="32">
        <v>30.026299999999999</v>
      </c>
      <c r="D465" s="7">
        <v>788.08</v>
      </c>
      <c r="E465" s="49">
        <f t="shared" si="15"/>
        <v>-1.3921090830273684E-2</v>
      </c>
      <c r="F465" s="49">
        <f t="shared" si="16"/>
        <v>-7.4809489393525583E-4</v>
      </c>
    </row>
    <row r="466" spans="2:6">
      <c r="B466" s="51">
        <v>43026</v>
      </c>
      <c r="C466" s="32">
        <v>29.672999999999998</v>
      </c>
      <c r="D466" s="7">
        <v>787.46</v>
      </c>
      <c r="E466" s="49">
        <f t="shared" si="15"/>
        <v>-1.1766351498519659E-2</v>
      </c>
      <c r="F466" s="49">
        <f t="shared" si="16"/>
        <v>-7.8672216018678875E-4</v>
      </c>
    </row>
    <row r="467" spans="2:6">
      <c r="B467" s="51">
        <v>43027</v>
      </c>
      <c r="C467" s="32">
        <v>29.602399999999999</v>
      </c>
      <c r="D467" s="7">
        <v>794.88</v>
      </c>
      <c r="E467" s="49">
        <f t="shared" si="15"/>
        <v>-2.3792673474201764E-3</v>
      </c>
      <c r="F467" s="49">
        <f t="shared" si="16"/>
        <v>9.4227008355979459E-3</v>
      </c>
    </row>
    <row r="468" spans="2:6">
      <c r="B468" s="51">
        <v>43028</v>
      </c>
      <c r="C468" s="32">
        <v>29.672999999999998</v>
      </c>
      <c r="D468" s="7">
        <v>791.83</v>
      </c>
      <c r="E468" s="49">
        <f t="shared" si="15"/>
        <v>2.3849417614787614E-3</v>
      </c>
      <c r="F468" s="49">
        <f t="shared" si="16"/>
        <v>-3.8370571658614566E-3</v>
      </c>
    </row>
    <row r="469" spans="2:6">
      <c r="B469" s="51">
        <v>43031</v>
      </c>
      <c r="C469" s="32">
        <v>30.096900000000002</v>
      </c>
      <c r="D469" s="7">
        <v>790.87</v>
      </c>
      <c r="E469" s="49">
        <f t="shared" si="15"/>
        <v>1.4285714285714396E-2</v>
      </c>
      <c r="F469" s="49">
        <f t="shared" si="16"/>
        <v>-1.2123814455123401E-3</v>
      </c>
    </row>
    <row r="470" spans="2:6">
      <c r="B470" s="51">
        <v>43032</v>
      </c>
      <c r="C470" s="32">
        <v>30.662099999999999</v>
      </c>
      <c r="D470" s="7">
        <v>798.1</v>
      </c>
      <c r="E470" s="49">
        <f t="shared" si="15"/>
        <v>1.8779342723004602E-2</v>
      </c>
      <c r="F470" s="49">
        <f t="shared" si="16"/>
        <v>9.1418311479763027E-3</v>
      </c>
    </row>
    <row r="471" spans="2:6">
      <c r="B471" s="51">
        <v>43033</v>
      </c>
      <c r="C471" s="32">
        <v>30.520800000000001</v>
      </c>
      <c r="D471" s="7">
        <v>795.49</v>
      </c>
      <c r="E471" s="49">
        <f t="shared" si="15"/>
        <v>-4.6082949308754962E-3</v>
      </c>
      <c r="F471" s="49">
        <f t="shared" si="16"/>
        <v>-3.2702668838491588E-3</v>
      </c>
    </row>
    <row r="472" spans="2:6">
      <c r="B472" s="51">
        <v>43034</v>
      </c>
      <c r="C472" s="32">
        <v>30.026299999999999</v>
      </c>
      <c r="D472" s="7">
        <v>801.53</v>
      </c>
      <c r="E472" s="49">
        <f t="shared" si="15"/>
        <v>-1.620206547665861E-2</v>
      </c>
      <c r="F472" s="49">
        <f t="shared" si="16"/>
        <v>7.5928044350022797E-3</v>
      </c>
    </row>
    <row r="473" spans="2:6">
      <c r="B473" s="51">
        <v>43035</v>
      </c>
      <c r="C473" s="32">
        <v>29.9556</v>
      </c>
      <c r="D473" s="7">
        <v>809.85</v>
      </c>
      <c r="E473" s="49">
        <f t="shared" si="15"/>
        <v>-2.3546024651721542E-3</v>
      </c>
      <c r="F473" s="49">
        <f t="shared" si="16"/>
        <v>1.0380147967013149E-2</v>
      </c>
    </row>
    <row r="474" spans="2:6">
      <c r="B474" s="51">
        <v>43038</v>
      </c>
      <c r="C474" s="32">
        <v>29.885000000000002</v>
      </c>
      <c r="D474" s="7">
        <v>806.95</v>
      </c>
      <c r="E474" s="49">
        <f t="shared" si="15"/>
        <v>-2.3568214290482876E-3</v>
      </c>
      <c r="F474" s="49">
        <f t="shared" si="16"/>
        <v>-3.5809100450700467E-3</v>
      </c>
    </row>
    <row r="475" spans="2:6">
      <c r="B475" s="51">
        <v>43039</v>
      </c>
      <c r="C475" s="32">
        <v>30.450199999999999</v>
      </c>
      <c r="D475" s="7">
        <v>815.41</v>
      </c>
      <c r="E475" s="49">
        <f t="shared" si="15"/>
        <v>1.8912497908649732E-2</v>
      </c>
      <c r="F475" s="49">
        <f t="shared" si="16"/>
        <v>1.0483920936860923E-2</v>
      </c>
    </row>
    <row r="476" spans="2:6">
      <c r="B476" s="51">
        <v>43040</v>
      </c>
      <c r="C476" s="32">
        <v>30.026299999999999</v>
      </c>
      <c r="D476" s="7">
        <v>809.02</v>
      </c>
      <c r="E476" s="49">
        <f t="shared" si="15"/>
        <v>-1.3921090830273684E-2</v>
      </c>
      <c r="F476" s="49">
        <f t="shared" si="16"/>
        <v>-7.8365484848113062E-3</v>
      </c>
    </row>
    <row r="477" spans="2:6">
      <c r="B477" s="51">
        <v>43041</v>
      </c>
      <c r="C477" s="32">
        <v>30.3795</v>
      </c>
      <c r="D477" s="7">
        <v>815.85</v>
      </c>
      <c r="E477" s="49">
        <f t="shared" si="15"/>
        <v>1.1763021084848986E-2</v>
      </c>
      <c r="F477" s="49">
        <f t="shared" si="16"/>
        <v>8.4423129218066818E-3</v>
      </c>
    </row>
    <row r="478" spans="2:6">
      <c r="B478" s="51">
        <v>43042</v>
      </c>
      <c r="C478" s="32">
        <v>30.520800000000001</v>
      </c>
      <c r="D478" s="7">
        <v>817.85</v>
      </c>
      <c r="E478" s="49">
        <f t="shared" si="15"/>
        <v>4.6511627906977099E-3</v>
      </c>
      <c r="F478" s="49">
        <f t="shared" si="16"/>
        <v>2.4514310228595944E-3</v>
      </c>
    </row>
    <row r="479" spans="2:6">
      <c r="B479" s="51">
        <v>43045</v>
      </c>
      <c r="C479" s="32">
        <v>30.8034</v>
      </c>
      <c r="D479" s="7">
        <v>819.4</v>
      </c>
      <c r="E479" s="49">
        <f t="shared" si="15"/>
        <v>9.2592592592592136E-3</v>
      </c>
      <c r="F479" s="49">
        <f t="shared" si="16"/>
        <v>1.8952130586292774E-3</v>
      </c>
    </row>
    <row r="480" spans="2:6">
      <c r="B480" s="51">
        <v>43046</v>
      </c>
      <c r="C480" s="32">
        <v>31.439299999999999</v>
      </c>
      <c r="D480" s="7">
        <v>822.17</v>
      </c>
      <c r="E480" s="49">
        <f t="shared" si="15"/>
        <v>2.064382503230161E-2</v>
      </c>
      <c r="F480" s="49">
        <f t="shared" si="16"/>
        <v>3.3805223334146717E-3</v>
      </c>
    </row>
    <row r="481" spans="2:6">
      <c r="B481" s="51">
        <v>43047</v>
      </c>
      <c r="C481" s="32">
        <v>32.0045</v>
      </c>
      <c r="D481" s="7">
        <v>811.19</v>
      </c>
      <c r="E481" s="49">
        <f t="shared" si="15"/>
        <v>1.7977499499034676E-2</v>
      </c>
      <c r="F481" s="49">
        <f t="shared" si="16"/>
        <v>-1.3354902270819789E-2</v>
      </c>
    </row>
    <row r="482" spans="2:6">
      <c r="B482" s="51">
        <v>43048</v>
      </c>
      <c r="C482" s="32">
        <v>31.509899999999998</v>
      </c>
      <c r="D482" s="7">
        <v>808.2</v>
      </c>
      <c r="E482" s="49">
        <f t="shared" si="15"/>
        <v>-1.5454076770454215E-2</v>
      </c>
      <c r="F482" s="49">
        <f t="shared" si="16"/>
        <v>-3.6859428740492473E-3</v>
      </c>
    </row>
    <row r="483" spans="2:6">
      <c r="B483" s="51">
        <v>43049</v>
      </c>
      <c r="C483" s="32">
        <v>32.2164</v>
      </c>
      <c r="D483" s="7">
        <v>805.95</v>
      </c>
      <c r="E483" s="49">
        <f t="shared" si="15"/>
        <v>2.2421524663677191E-2</v>
      </c>
      <c r="F483" s="49">
        <f t="shared" si="16"/>
        <v>-2.7839643652561247E-3</v>
      </c>
    </row>
    <row r="484" spans="2:6">
      <c r="B484" s="51">
        <v>43052</v>
      </c>
      <c r="C484" s="32">
        <v>32.993600000000001</v>
      </c>
      <c r="D484" s="7">
        <v>801.85</v>
      </c>
      <c r="E484" s="49">
        <f t="shared" si="15"/>
        <v>2.412435902211298E-2</v>
      </c>
      <c r="F484" s="49">
        <f t="shared" si="16"/>
        <v>-5.0871642161424684E-3</v>
      </c>
    </row>
    <row r="485" spans="2:6">
      <c r="B485" s="51">
        <v>43053</v>
      </c>
      <c r="C485" s="32">
        <v>32.710999999999999</v>
      </c>
      <c r="D485" s="7">
        <v>795.02</v>
      </c>
      <c r="E485" s="49">
        <f t="shared" si="15"/>
        <v>-8.5652975122448658E-3</v>
      </c>
      <c r="F485" s="49">
        <f t="shared" si="16"/>
        <v>-8.5178025815302628E-3</v>
      </c>
    </row>
    <row r="486" spans="2:6">
      <c r="B486" s="51">
        <v>43054</v>
      </c>
      <c r="C486" s="32">
        <v>33.346800000000002</v>
      </c>
      <c r="D486" s="7">
        <v>802.2</v>
      </c>
      <c r="E486" s="49">
        <f t="shared" si="15"/>
        <v>1.9436886674207555E-2</v>
      </c>
      <c r="F486" s="49">
        <f t="shared" si="16"/>
        <v>9.0312193403940325E-3</v>
      </c>
    </row>
    <row r="487" spans="2:6">
      <c r="B487" s="51">
        <v>43055</v>
      </c>
      <c r="C487" s="32">
        <v>33.558799999999998</v>
      </c>
      <c r="D487" s="7">
        <v>796.14</v>
      </c>
      <c r="E487" s="49">
        <f t="shared" si="15"/>
        <v>6.3574315976344413E-3</v>
      </c>
      <c r="F487" s="49">
        <f t="shared" si="16"/>
        <v>-7.5542258788332817E-3</v>
      </c>
    </row>
    <row r="488" spans="2:6">
      <c r="B488" s="51">
        <v>43056</v>
      </c>
      <c r="C488" s="32">
        <v>32.781599999999997</v>
      </c>
      <c r="D488" s="7">
        <v>800.22</v>
      </c>
      <c r="E488" s="49">
        <f t="shared" si="15"/>
        <v>-2.3159350155547893E-2</v>
      </c>
      <c r="F488" s="49">
        <f t="shared" si="16"/>
        <v>5.1247268068430694E-3</v>
      </c>
    </row>
    <row r="489" spans="2:6">
      <c r="B489" s="51">
        <v>43059</v>
      </c>
      <c r="C489" s="32">
        <v>33.417499999999997</v>
      </c>
      <c r="D489" s="7">
        <v>808.46</v>
      </c>
      <c r="E489" s="49">
        <f t="shared" si="15"/>
        <v>1.939807697000755E-2</v>
      </c>
      <c r="F489" s="49">
        <f t="shared" si="16"/>
        <v>1.0297168278723363E-2</v>
      </c>
    </row>
    <row r="490" spans="2:6">
      <c r="B490" s="51">
        <v>43060</v>
      </c>
      <c r="C490" s="32">
        <v>33.634</v>
      </c>
      <c r="D490" s="7">
        <v>807.07</v>
      </c>
      <c r="E490" s="49">
        <f t="shared" si="15"/>
        <v>6.4786414303883736E-3</v>
      </c>
      <c r="F490" s="49">
        <f t="shared" si="16"/>
        <v>-1.7193182099299734E-3</v>
      </c>
    </row>
    <row r="491" spans="2:6">
      <c r="B491" s="51">
        <v>43061</v>
      </c>
      <c r="C491" s="32">
        <v>33.273099999999999</v>
      </c>
      <c r="D491" s="7">
        <v>803.95</v>
      </c>
      <c r="E491" s="49">
        <f t="shared" si="15"/>
        <v>-1.0730213474460393E-2</v>
      </c>
      <c r="F491" s="49">
        <f t="shared" si="16"/>
        <v>-3.8658356772027264E-3</v>
      </c>
    </row>
    <row r="492" spans="2:6">
      <c r="B492" s="51">
        <v>43062</v>
      </c>
      <c r="C492" s="32">
        <v>33.200899999999997</v>
      </c>
      <c r="D492" s="7">
        <v>800.32</v>
      </c>
      <c r="E492" s="49">
        <f t="shared" si="15"/>
        <v>-2.1699210473325979E-3</v>
      </c>
      <c r="F492" s="49">
        <f t="shared" si="16"/>
        <v>-4.515206169537901E-3</v>
      </c>
    </row>
    <row r="493" spans="2:6">
      <c r="B493" s="51">
        <v>43063</v>
      </c>
      <c r="C493" s="32">
        <v>33.056600000000003</v>
      </c>
      <c r="D493" s="7">
        <v>792.93</v>
      </c>
      <c r="E493" s="49">
        <f t="shared" si="15"/>
        <v>-4.3462677216579704E-3</v>
      </c>
      <c r="F493" s="49">
        <f t="shared" si="16"/>
        <v>-9.2338064774091615E-3</v>
      </c>
    </row>
    <row r="494" spans="2:6">
      <c r="B494" s="51">
        <v>43066</v>
      </c>
      <c r="C494" s="32">
        <v>33.417499999999997</v>
      </c>
      <c r="D494" s="7">
        <v>795.19</v>
      </c>
      <c r="E494" s="49">
        <f t="shared" si="15"/>
        <v>1.0917638232606915E-2</v>
      </c>
      <c r="F494" s="49">
        <f t="shared" si="16"/>
        <v>2.85018854123328E-3</v>
      </c>
    </row>
    <row r="495" spans="2:6">
      <c r="B495" s="51">
        <v>43067</v>
      </c>
      <c r="C495" s="32">
        <v>32.695700000000002</v>
      </c>
      <c r="D495" s="7">
        <v>797.18</v>
      </c>
      <c r="E495" s="49">
        <f t="shared" si="15"/>
        <v>-2.1599461360065676E-2</v>
      </c>
      <c r="F495" s="49">
        <f t="shared" si="16"/>
        <v>2.5025465611990786E-3</v>
      </c>
    </row>
    <row r="496" spans="2:6">
      <c r="B496" s="51">
        <v>43068</v>
      </c>
      <c r="C496" s="32">
        <v>33.417499999999997</v>
      </c>
      <c r="D496" s="7">
        <v>796.83</v>
      </c>
      <c r="E496" s="49">
        <f t="shared" si="15"/>
        <v>2.2076297494777436E-2</v>
      </c>
      <c r="F496" s="49">
        <f t="shared" si="16"/>
        <v>-4.3904764294125425E-4</v>
      </c>
    </row>
    <row r="497" spans="2:6">
      <c r="B497" s="51">
        <v>43069</v>
      </c>
      <c r="C497" s="32">
        <v>32.551400000000001</v>
      </c>
      <c r="D497" s="7">
        <v>798.41</v>
      </c>
      <c r="E497" s="49">
        <f t="shared" si="15"/>
        <v>-2.5917558165631658E-2</v>
      </c>
      <c r="F497" s="49">
        <f t="shared" si="16"/>
        <v>1.9828570711443185E-3</v>
      </c>
    </row>
    <row r="498" spans="2:6">
      <c r="B498" s="51">
        <v>43070</v>
      </c>
      <c r="C498" s="32">
        <v>32.8401</v>
      </c>
      <c r="D498" s="7">
        <v>800.37</v>
      </c>
      <c r="E498" s="49">
        <f t="shared" si="15"/>
        <v>8.869050179101317E-3</v>
      </c>
      <c r="F498" s="49">
        <f t="shared" si="16"/>
        <v>2.4548790721559553E-3</v>
      </c>
    </row>
    <row r="499" spans="2:6">
      <c r="B499" s="51">
        <v>43073</v>
      </c>
      <c r="C499" s="32">
        <v>32.984400000000001</v>
      </c>
      <c r="D499" s="7">
        <v>792.07</v>
      </c>
      <c r="E499" s="49">
        <f t="shared" si="15"/>
        <v>4.3940182886166978E-3</v>
      </c>
      <c r="F499" s="49">
        <f t="shared" si="16"/>
        <v>-1.0370203780751345E-2</v>
      </c>
    </row>
    <row r="500" spans="2:6">
      <c r="B500" s="51">
        <v>43074</v>
      </c>
      <c r="C500" s="32">
        <v>33.056600000000003</v>
      </c>
      <c r="D500" s="7">
        <v>786.3</v>
      </c>
      <c r="E500" s="49">
        <f t="shared" si="15"/>
        <v>2.1889135470101705E-3</v>
      </c>
      <c r="F500" s="49">
        <f t="shared" si="16"/>
        <v>-7.2847096847502056E-3</v>
      </c>
    </row>
    <row r="501" spans="2:6">
      <c r="B501" s="51">
        <v>43075</v>
      </c>
      <c r="C501" s="32">
        <v>32.479199999999999</v>
      </c>
      <c r="D501" s="7">
        <v>782.59</v>
      </c>
      <c r="E501" s="49">
        <f t="shared" si="15"/>
        <v>-1.7467011126371262E-2</v>
      </c>
      <c r="F501" s="49">
        <f t="shared" si="16"/>
        <v>-4.7183009029631478E-3</v>
      </c>
    </row>
    <row r="502" spans="2:6">
      <c r="B502" s="51">
        <v>43076</v>
      </c>
      <c r="C502" s="32">
        <v>32.8401</v>
      </c>
      <c r="D502" s="7">
        <v>786.69</v>
      </c>
      <c r="E502" s="49">
        <f t="shared" si="15"/>
        <v>1.11117268898249E-2</v>
      </c>
      <c r="F502" s="49">
        <f t="shared" si="16"/>
        <v>5.2390140431132813E-3</v>
      </c>
    </row>
    <row r="503" spans="2:6">
      <c r="B503" s="51">
        <v>43077</v>
      </c>
      <c r="C503" s="32">
        <v>32.334800000000001</v>
      </c>
      <c r="D503" s="7">
        <v>791.88</v>
      </c>
      <c r="E503" s="49">
        <f t="shared" si="15"/>
        <v>-1.5386676654455934E-2</v>
      </c>
      <c r="F503" s="49">
        <f t="shared" si="16"/>
        <v>6.5972619456201812E-3</v>
      </c>
    </row>
    <row r="504" spans="2:6">
      <c r="B504" s="51">
        <v>43080</v>
      </c>
      <c r="C504" s="32">
        <v>32.695700000000002</v>
      </c>
      <c r="D504" s="7">
        <v>800.93</v>
      </c>
      <c r="E504" s="49">
        <f t="shared" si="15"/>
        <v>1.1161349382089911E-2</v>
      </c>
      <c r="F504" s="49">
        <f t="shared" si="16"/>
        <v>1.1428499267565735E-2</v>
      </c>
    </row>
    <row r="505" spans="2:6">
      <c r="B505" s="51">
        <v>43081</v>
      </c>
      <c r="C505" s="32">
        <v>31.757400000000001</v>
      </c>
      <c r="D505" s="7">
        <v>798.13</v>
      </c>
      <c r="E505" s="49">
        <f t="shared" si="15"/>
        <v>-2.8697963340745165E-2</v>
      </c>
      <c r="F505" s="49">
        <f t="shared" si="16"/>
        <v>-3.4959359744296688E-3</v>
      </c>
    </row>
    <row r="506" spans="2:6">
      <c r="B506" s="51">
        <v>43082</v>
      </c>
      <c r="C506" s="32">
        <v>32.046100000000003</v>
      </c>
      <c r="D506" s="7">
        <v>795.5</v>
      </c>
      <c r="E506" s="49">
        <f t="shared" si="15"/>
        <v>9.0907945864586569E-3</v>
      </c>
      <c r="F506" s="49">
        <f t="shared" si="16"/>
        <v>-3.2952025359277255E-3</v>
      </c>
    </row>
    <row r="507" spans="2:6">
      <c r="B507" s="51">
        <v>43083</v>
      </c>
      <c r="C507" s="32">
        <v>32.1905</v>
      </c>
      <c r="D507" s="7">
        <v>790.76</v>
      </c>
      <c r="E507" s="49">
        <f t="shared" si="15"/>
        <v>4.5060085314592851E-3</v>
      </c>
      <c r="F507" s="49">
        <f t="shared" si="16"/>
        <v>-5.9585166561910863E-3</v>
      </c>
    </row>
    <row r="508" spans="2:6">
      <c r="B508" s="51">
        <v>43084</v>
      </c>
      <c r="C508" s="32">
        <v>31.252199999999998</v>
      </c>
      <c r="D508" s="7">
        <v>799.22</v>
      </c>
      <c r="E508" s="49">
        <f t="shared" si="15"/>
        <v>-2.9148351221633763E-2</v>
      </c>
      <c r="F508" s="49">
        <f t="shared" si="16"/>
        <v>1.0698568465779802E-2</v>
      </c>
    </row>
    <row r="509" spans="2:6">
      <c r="B509" s="51">
        <v>43087</v>
      </c>
      <c r="C509" s="32">
        <v>30.602599999999999</v>
      </c>
      <c r="D509" s="7">
        <v>800.35</v>
      </c>
      <c r="E509" s="49">
        <f t="shared" si="15"/>
        <v>-2.0785736684137423E-2</v>
      </c>
      <c r="F509" s="49">
        <f t="shared" si="16"/>
        <v>1.4138785315682733E-3</v>
      </c>
    </row>
    <row r="510" spans="2:6">
      <c r="B510" s="51">
        <v>43088</v>
      </c>
      <c r="C510" s="32">
        <v>30.891300000000001</v>
      </c>
      <c r="D510" s="7">
        <v>799.13</v>
      </c>
      <c r="E510" s="49">
        <f t="shared" si="15"/>
        <v>9.4338389548601163E-3</v>
      </c>
      <c r="F510" s="49">
        <f t="shared" si="16"/>
        <v>-1.5243331042669173E-3</v>
      </c>
    </row>
    <row r="511" spans="2:6">
      <c r="B511" s="51">
        <v>43089</v>
      </c>
      <c r="C511" s="32">
        <v>30.674800000000001</v>
      </c>
      <c r="D511" s="7">
        <v>807.93</v>
      </c>
      <c r="E511" s="49">
        <f t="shared" si="15"/>
        <v>-7.0084457436236066E-3</v>
      </c>
      <c r="F511" s="49">
        <f t="shared" si="16"/>
        <v>1.1011975523381621E-2</v>
      </c>
    </row>
    <row r="512" spans="2:6">
      <c r="B512" s="51">
        <v>43090</v>
      </c>
      <c r="C512" s="32">
        <v>31.9739</v>
      </c>
      <c r="D512" s="7">
        <v>806.68</v>
      </c>
      <c r="E512" s="49">
        <f t="shared" si="15"/>
        <v>4.2350724373101022E-2</v>
      </c>
      <c r="F512" s="49">
        <f t="shared" si="16"/>
        <v>-1.5471637394328718E-3</v>
      </c>
    </row>
    <row r="513" spans="2:6">
      <c r="B513" s="51">
        <v>43091</v>
      </c>
      <c r="C513" s="32">
        <v>30.747</v>
      </c>
      <c r="D513" s="7">
        <v>815.01</v>
      </c>
      <c r="E513" s="49">
        <f t="shared" si="15"/>
        <v>-3.837192209896198E-2</v>
      </c>
      <c r="F513" s="49">
        <f t="shared" si="16"/>
        <v>1.0326275598750486E-2</v>
      </c>
    </row>
    <row r="514" spans="2:6">
      <c r="B514" s="51">
        <v>43096</v>
      </c>
      <c r="C514" s="32">
        <v>30.891300000000001</v>
      </c>
      <c r="D514" s="7">
        <v>818.03</v>
      </c>
      <c r="E514" s="49">
        <f t="shared" si="15"/>
        <v>4.6931407942238657E-3</v>
      </c>
      <c r="F514" s="49">
        <f t="shared" si="16"/>
        <v>3.7054760064293467E-3</v>
      </c>
    </row>
    <row r="515" spans="2:6">
      <c r="B515" s="51">
        <v>43097</v>
      </c>
      <c r="C515" s="32">
        <v>31.9739</v>
      </c>
      <c r="D515" s="7">
        <v>814.45</v>
      </c>
      <c r="E515" s="49">
        <f t="shared" si="15"/>
        <v>3.5045465875505381E-2</v>
      </c>
      <c r="F515" s="49">
        <f t="shared" si="16"/>
        <v>-4.3763676148795613E-3</v>
      </c>
    </row>
    <row r="516" spans="2:6">
      <c r="B516" s="51">
        <v>43102</v>
      </c>
      <c r="C516" s="32">
        <v>31.901800000000001</v>
      </c>
      <c r="D516" s="7">
        <v>817.59</v>
      </c>
      <c r="E516" s="49">
        <f t="shared" si="15"/>
        <v>-2.2549642051798166E-3</v>
      </c>
      <c r="F516" s="49">
        <f t="shared" si="16"/>
        <v>3.8553625145803746E-3</v>
      </c>
    </row>
    <row r="517" spans="2:6">
      <c r="B517" s="51">
        <v>43103</v>
      </c>
      <c r="C517" s="32">
        <v>32.406999999999996</v>
      </c>
      <c r="D517" s="7">
        <v>825.9</v>
      </c>
      <c r="E517" s="49">
        <f t="shared" si="15"/>
        <v>1.5836097022738371E-2</v>
      </c>
      <c r="F517" s="49">
        <f t="shared" si="16"/>
        <v>1.0164018640149642E-2</v>
      </c>
    </row>
    <row r="518" spans="2:6">
      <c r="B518" s="51">
        <v>43104</v>
      </c>
      <c r="C518" s="32">
        <v>31.9739</v>
      </c>
      <c r="D518" s="7">
        <v>832.67</v>
      </c>
      <c r="E518" s="49">
        <f t="shared" si="15"/>
        <v>-1.3364396580985469E-2</v>
      </c>
      <c r="F518" s="49">
        <f t="shared" si="16"/>
        <v>8.1971182951931006E-3</v>
      </c>
    </row>
    <row r="519" spans="2:6">
      <c r="B519" s="51">
        <v>43105</v>
      </c>
      <c r="C519" s="32">
        <v>32.1905</v>
      </c>
      <c r="D519" s="7">
        <v>834.73</v>
      </c>
      <c r="E519" s="49">
        <f t="shared" si="15"/>
        <v>6.774275268265669E-3</v>
      </c>
      <c r="F519" s="49">
        <f t="shared" si="16"/>
        <v>2.4739692795465902E-3</v>
      </c>
    </row>
    <row r="520" spans="2:6">
      <c r="B520" s="51">
        <v>43108</v>
      </c>
      <c r="C520" s="32">
        <v>31.468699999999998</v>
      </c>
      <c r="D520" s="7">
        <v>840.64</v>
      </c>
      <c r="E520" s="49">
        <f t="shared" si="15"/>
        <v>-2.2422764480203843E-2</v>
      </c>
      <c r="F520" s="49">
        <f t="shared" si="16"/>
        <v>7.0801336959255903E-3</v>
      </c>
    </row>
    <row r="521" spans="2:6">
      <c r="B521" s="51">
        <v>43109</v>
      </c>
      <c r="C521" s="32">
        <v>32.118299999999998</v>
      </c>
      <c r="D521" s="7">
        <v>840.22</v>
      </c>
      <c r="E521" s="49">
        <f t="shared" si="15"/>
        <v>2.0642733891136258E-2</v>
      </c>
      <c r="F521" s="49">
        <f t="shared" si="16"/>
        <v>-4.9961933764745804E-4</v>
      </c>
    </row>
    <row r="522" spans="2:6">
      <c r="B522" s="51">
        <v>43110</v>
      </c>
      <c r="C522" s="32">
        <v>31.468699999999998</v>
      </c>
      <c r="D522" s="7">
        <v>839.04</v>
      </c>
      <c r="E522" s="49">
        <f t="shared" si="15"/>
        <v>-2.0225229853385752E-2</v>
      </c>
      <c r="F522" s="49">
        <f t="shared" si="16"/>
        <v>-1.4043940872629354E-3</v>
      </c>
    </row>
    <row r="523" spans="2:6">
      <c r="B523" s="51">
        <v>43111</v>
      </c>
      <c r="C523" s="32">
        <v>31.107800000000001</v>
      </c>
      <c r="D523" s="7">
        <v>839.78</v>
      </c>
      <c r="E523" s="49">
        <f t="shared" si="15"/>
        <v>-1.1468538579604412E-2</v>
      </c>
      <c r="F523" s="49">
        <f t="shared" si="16"/>
        <v>8.8196033562167378E-4</v>
      </c>
    </row>
    <row r="524" spans="2:6">
      <c r="B524" s="51">
        <v>43112</v>
      </c>
      <c r="C524" s="32">
        <v>31.3965</v>
      </c>
      <c r="D524" s="7">
        <v>839.79</v>
      </c>
      <c r="E524" s="49">
        <f t="shared" si="15"/>
        <v>9.2806305813975479E-3</v>
      </c>
      <c r="F524" s="49">
        <f t="shared" si="16"/>
        <v>1.1907880635393682E-5</v>
      </c>
    </row>
    <row r="525" spans="2:6">
      <c r="B525" s="51">
        <v>43115</v>
      </c>
      <c r="C525" s="32">
        <v>31.3965</v>
      </c>
      <c r="D525" s="7">
        <v>839.88</v>
      </c>
      <c r="E525" s="49">
        <f t="shared" si="15"/>
        <v>0</v>
      </c>
      <c r="F525" s="49">
        <f t="shared" si="16"/>
        <v>1.0716964955528386E-4</v>
      </c>
    </row>
    <row r="526" spans="2:6">
      <c r="B526" s="51">
        <v>43116</v>
      </c>
      <c r="C526" s="32">
        <v>31.3965</v>
      </c>
      <c r="D526" s="7">
        <v>835.05</v>
      </c>
      <c r="E526" s="49">
        <f t="shared" si="15"/>
        <v>0</v>
      </c>
      <c r="F526" s="49">
        <f t="shared" si="16"/>
        <v>-5.7508215459351822E-3</v>
      </c>
    </row>
    <row r="527" spans="2:6">
      <c r="B527" s="51">
        <v>43117</v>
      </c>
      <c r="C527" s="32">
        <v>31.252199999999998</v>
      </c>
      <c r="D527" s="7">
        <v>832.67</v>
      </c>
      <c r="E527" s="49">
        <f t="shared" ref="E527:E590" si="17">(C527-C526)/C526</f>
        <v>-4.5960537002532513E-3</v>
      </c>
      <c r="F527" s="49">
        <f t="shared" ref="F527:F590" si="18">(D527-D526)/D526</f>
        <v>-2.8501287348062939E-3</v>
      </c>
    </row>
    <row r="528" spans="2:6">
      <c r="B528" s="51">
        <v>43118</v>
      </c>
      <c r="C528" s="32">
        <v>31.252199999999998</v>
      </c>
      <c r="D528" s="7">
        <v>835.33</v>
      </c>
      <c r="E528" s="49">
        <f t="shared" si="17"/>
        <v>0</v>
      </c>
      <c r="F528" s="49">
        <f t="shared" si="18"/>
        <v>3.1945428561135649E-3</v>
      </c>
    </row>
    <row r="529" spans="2:6">
      <c r="B529" s="51">
        <v>43119</v>
      </c>
      <c r="C529" s="32">
        <v>31.3965</v>
      </c>
      <c r="D529" s="7">
        <v>840.13</v>
      </c>
      <c r="E529" s="49">
        <f t="shared" si="17"/>
        <v>4.6172749438439919E-3</v>
      </c>
      <c r="F529" s="49">
        <f t="shared" si="18"/>
        <v>5.7462320280607113E-3</v>
      </c>
    </row>
    <row r="530" spans="2:6">
      <c r="B530" s="51">
        <v>43122</v>
      </c>
      <c r="C530" s="32">
        <v>31.540900000000001</v>
      </c>
      <c r="D530" s="7">
        <v>839.47</v>
      </c>
      <c r="E530" s="49">
        <f t="shared" si="17"/>
        <v>4.599238768652588E-3</v>
      </c>
      <c r="F530" s="49">
        <f t="shared" si="18"/>
        <v>-7.8559270589071708E-4</v>
      </c>
    </row>
    <row r="531" spans="2:6">
      <c r="B531" s="51">
        <v>43123</v>
      </c>
      <c r="C531" s="32">
        <v>31.3965</v>
      </c>
      <c r="D531" s="7">
        <v>836.7</v>
      </c>
      <c r="E531" s="49">
        <f t="shared" si="17"/>
        <v>-4.5781826136857533E-3</v>
      </c>
      <c r="F531" s="49">
        <f t="shared" si="18"/>
        <v>-3.2997010018225568E-3</v>
      </c>
    </row>
    <row r="532" spans="2:6">
      <c r="B532" s="51">
        <v>43124</v>
      </c>
      <c r="C532" s="32">
        <v>31.468699999999998</v>
      </c>
      <c r="D532" s="7">
        <v>828.67</v>
      </c>
      <c r="E532" s="49">
        <f t="shared" si="17"/>
        <v>2.2996193843262372E-3</v>
      </c>
      <c r="F532" s="49">
        <f t="shared" si="18"/>
        <v>-9.5972272021036045E-3</v>
      </c>
    </row>
    <row r="533" spans="2:6">
      <c r="B533" s="51">
        <v>43125</v>
      </c>
      <c r="C533" s="32">
        <v>31.324400000000001</v>
      </c>
      <c r="D533" s="7">
        <v>823.12</v>
      </c>
      <c r="E533" s="49">
        <f t="shared" si="17"/>
        <v>-4.5855087753862616E-3</v>
      </c>
      <c r="F533" s="49">
        <f t="shared" si="18"/>
        <v>-6.6974790930043986E-3</v>
      </c>
    </row>
    <row r="534" spans="2:6">
      <c r="B534" s="51">
        <v>43126</v>
      </c>
      <c r="C534" s="32">
        <v>31.324400000000001</v>
      </c>
      <c r="D534" s="7">
        <v>817.67</v>
      </c>
      <c r="E534" s="49">
        <f t="shared" si="17"/>
        <v>0</v>
      </c>
      <c r="F534" s="49">
        <f t="shared" si="18"/>
        <v>-6.6211487996890436E-3</v>
      </c>
    </row>
    <row r="535" spans="2:6">
      <c r="B535" s="51">
        <v>43129</v>
      </c>
      <c r="C535" s="32">
        <v>30.674800000000001</v>
      </c>
      <c r="D535" s="7">
        <v>808.99</v>
      </c>
      <c r="E535" s="49">
        <f t="shared" si="17"/>
        <v>-2.0737827380572317E-2</v>
      </c>
      <c r="F535" s="49">
        <f t="shared" si="18"/>
        <v>-1.0615529492337924E-2</v>
      </c>
    </row>
    <row r="536" spans="2:6">
      <c r="B536" s="51">
        <v>43130</v>
      </c>
      <c r="C536" s="32">
        <v>30.169499999999999</v>
      </c>
      <c r="D536" s="7">
        <v>811.01</v>
      </c>
      <c r="E536" s="49">
        <f t="shared" si="17"/>
        <v>-1.6472805038663718E-2</v>
      </c>
      <c r="F536" s="49">
        <f t="shared" si="18"/>
        <v>2.4969406296740156E-3</v>
      </c>
    </row>
    <row r="537" spans="2:6">
      <c r="B537" s="51">
        <v>43131</v>
      </c>
      <c r="C537" s="32">
        <v>30.241700000000002</v>
      </c>
      <c r="D537" s="7">
        <v>818.15</v>
      </c>
      <c r="E537" s="49">
        <f t="shared" si="17"/>
        <v>2.393145395183953E-3</v>
      </c>
      <c r="F537" s="49">
        <f t="shared" si="18"/>
        <v>8.8038371906634764E-3</v>
      </c>
    </row>
    <row r="538" spans="2:6">
      <c r="B538" s="51">
        <v>43132</v>
      </c>
      <c r="C538" s="32">
        <v>28.581700000000001</v>
      </c>
      <c r="D538" s="7">
        <v>809.86</v>
      </c>
      <c r="E538" s="49">
        <f t="shared" si="17"/>
        <v>-5.4891094085319281E-2</v>
      </c>
      <c r="F538" s="49">
        <f t="shared" si="18"/>
        <v>-1.0132616268410393E-2</v>
      </c>
    </row>
    <row r="539" spans="2:6">
      <c r="B539" s="51">
        <v>43133</v>
      </c>
      <c r="C539" s="32">
        <v>28.6538</v>
      </c>
      <c r="D539" s="7">
        <v>803.05</v>
      </c>
      <c r="E539" s="49">
        <f t="shared" si="17"/>
        <v>2.5225931277705295E-3</v>
      </c>
      <c r="F539" s="49">
        <f t="shared" si="18"/>
        <v>-8.4088607907540306E-3</v>
      </c>
    </row>
    <row r="540" spans="2:6">
      <c r="B540" s="51">
        <v>43136</v>
      </c>
      <c r="C540" s="32">
        <v>28.509499999999999</v>
      </c>
      <c r="D540" s="7">
        <v>784.79</v>
      </c>
      <c r="E540" s="49">
        <f t="shared" si="17"/>
        <v>-5.0359812660101351E-3</v>
      </c>
      <c r="F540" s="49">
        <f t="shared" si="18"/>
        <v>-2.2738310192391496E-2</v>
      </c>
    </row>
    <row r="541" spans="2:6">
      <c r="B541" s="51">
        <v>43137</v>
      </c>
      <c r="C541" s="32">
        <v>27.498999999999999</v>
      </c>
      <c r="D541" s="7">
        <v>798.91</v>
      </c>
      <c r="E541" s="49">
        <f t="shared" si="17"/>
        <v>-3.5444325575685311E-2</v>
      </c>
      <c r="F541" s="49">
        <f t="shared" si="18"/>
        <v>1.7992074312873516E-2</v>
      </c>
    </row>
    <row r="542" spans="2:6">
      <c r="B542" s="51">
        <v>43138</v>
      </c>
      <c r="C542" s="32">
        <v>28.0764</v>
      </c>
      <c r="D542" s="7">
        <v>796.85</v>
      </c>
      <c r="E542" s="49">
        <f t="shared" si="17"/>
        <v>2.0997127168260694E-2</v>
      </c>
      <c r="F542" s="49">
        <f t="shared" si="18"/>
        <v>-2.5785132242679971E-3</v>
      </c>
    </row>
    <row r="543" spans="2:6">
      <c r="B543" s="51">
        <v>43139</v>
      </c>
      <c r="C543" s="32">
        <v>28.148599999999998</v>
      </c>
      <c r="D543" s="7">
        <v>787.54</v>
      </c>
      <c r="E543" s="49">
        <f t="shared" si="17"/>
        <v>2.5715547577324269E-3</v>
      </c>
      <c r="F543" s="49">
        <f t="shared" si="18"/>
        <v>-1.1683503796197602E-2</v>
      </c>
    </row>
    <row r="544" spans="2:6">
      <c r="B544" s="51">
        <v>43140</v>
      </c>
      <c r="C544" s="32">
        <v>27.498999999999999</v>
      </c>
      <c r="D544" s="7">
        <v>798.4</v>
      </c>
      <c r="E544" s="49">
        <f t="shared" si="17"/>
        <v>-2.3077524281847037E-2</v>
      </c>
      <c r="F544" s="49">
        <f t="shared" si="18"/>
        <v>1.3789775757421864E-2</v>
      </c>
    </row>
    <row r="545" spans="2:6">
      <c r="B545" s="51">
        <v>43143</v>
      </c>
      <c r="C545" s="32">
        <v>27.787700000000001</v>
      </c>
      <c r="D545" s="7">
        <v>799.12</v>
      </c>
      <c r="E545" s="49">
        <f t="shared" si="17"/>
        <v>1.0498563584130411E-2</v>
      </c>
      <c r="F545" s="49">
        <f t="shared" si="18"/>
        <v>9.0180360721446302E-4</v>
      </c>
    </row>
    <row r="546" spans="2:6">
      <c r="B546" s="51">
        <v>43144</v>
      </c>
      <c r="C546" s="32">
        <v>28.798200000000001</v>
      </c>
      <c r="D546" s="7">
        <v>794.49</v>
      </c>
      <c r="E546" s="49">
        <f t="shared" si="17"/>
        <v>3.6365010418278602E-2</v>
      </c>
      <c r="F546" s="49">
        <f t="shared" si="18"/>
        <v>-5.7938732605866397E-3</v>
      </c>
    </row>
    <row r="547" spans="2:6">
      <c r="B547" s="51">
        <v>43145</v>
      </c>
      <c r="C547" s="32">
        <v>28.6538</v>
      </c>
      <c r="D547" s="7">
        <v>801.65</v>
      </c>
      <c r="E547" s="49">
        <f t="shared" si="17"/>
        <v>-5.0142022765312056E-3</v>
      </c>
      <c r="F547" s="49">
        <f t="shared" si="18"/>
        <v>9.0120706365089155E-3</v>
      </c>
    </row>
    <row r="548" spans="2:6">
      <c r="B548" s="51">
        <v>43146</v>
      </c>
      <c r="C548" s="32">
        <v>29.0869</v>
      </c>
      <c r="D548" s="7">
        <v>809.9</v>
      </c>
      <c r="E548" s="49">
        <f t="shared" si="17"/>
        <v>1.5114923675044831E-2</v>
      </c>
      <c r="F548" s="49">
        <f t="shared" si="18"/>
        <v>1.029127424686584E-2</v>
      </c>
    </row>
    <row r="549" spans="2:6">
      <c r="B549" s="51">
        <v>43147</v>
      </c>
      <c r="C549" s="32">
        <v>30.241700000000002</v>
      </c>
      <c r="D549" s="7">
        <v>807.58</v>
      </c>
      <c r="E549" s="49">
        <f t="shared" si="17"/>
        <v>3.9701721393479592E-2</v>
      </c>
      <c r="F549" s="49">
        <f t="shared" si="18"/>
        <v>-2.8645511791578421E-3</v>
      </c>
    </row>
    <row r="550" spans="2:6">
      <c r="B550" s="51">
        <v>43150</v>
      </c>
      <c r="C550" s="32">
        <v>30.169499999999999</v>
      </c>
      <c r="D550" s="7">
        <v>809.96</v>
      </c>
      <c r="E550" s="49">
        <f t="shared" si="17"/>
        <v>-2.3874319234699856E-3</v>
      </c>
      <c r="F550" s="49">
        <f t="shared" si="18"/>
        <v>2.9470764506302725E-3</v>
      </c>
    </row>
    <row r="551" spans="2:6">
      <c r="B551" s="51">
        <v>43151</v>
      </c>
      <c r="C551" s="32">
        <v>29.375599999999999</v>
      </c>
      <c r="D551" s="7">
        <v>812.28</v>
      </c>
      <c r="E551" s="49">
        <f t="shared" si="17"/>
        <v>-2.6314655529591169E-2</v>
      </c>
      <c r="F551" s="49">
        <f t="shared" si="18"/>
        <v>2.8643389797026225E-3</v>
      </c>
    </row>
    <row r="552" spans="2:6">
      <c r="B552" s="51">
        <v>43152</v>
      </c>
      <c r="C552" s="32">
        <v>29.592099999999999</v>
      </c>
      <c r="D552" s="7">
        <v>812.39</v>
      </c>
      <c r="E552" s="49">
        <f t="shared" si="17"/>
        <v>7.3700622285161809E-3</v>
      </c>
      <c r="F552" s="49">
        <f t="shared" si="18"/>
        <v>1.3542128330134147E-4</v>
      </c>
    </row>
    <row r="553" spans="2:6">
      <c r="B553" s="51">
        <v>43153</v>
      </c>
      <c r="C553" s="32">
        <v>28.8704</v>
      </c>
      <c r="D553" s="7">
        <v>822.48</v>
      </c>
      <c r="E553" s="49">
        <f t="shared" si="17"/>
        <v>-2.4388265787152603E-2</v>
      </c>
      <c r="F553" s="49">
        <f t="shared" si="18"/>
        <v>1.2420143034749359E-2</v>
      </c>
    </row>
    <row r="554" spans="2:6">
      <c r="B554" s="51">
        <v>43154</v>
      </c>
      <c r="C554" s="32">
        <v>29.952999999999999</v>
      </c>
      <c r="D554" s="7">
        <v>820.08</v>
      </c>
      <c r="E554" s="49">
        <f t="shared" si="17"/>
        <v>3.7498614497894017E-2</v>
      </c>
      <c r="F554" s="49">
        <f t="shared" si="18"/>
        <v>-2.9180040852056915E-3</v>
      </c>
    </row>
    <row r="555" spans="2:6">
      <c r="B555" s="51">
        <v>43157</v>
      </c>
      <c r="C555" s="32">
        <v>29.52</v>
      </c>
      <c r="D555" s="7">
        <v>818.88</v>
      </c>
      <c r="E555" s="49">
        <f t="shared" si="17"/>
        <v>-1.4455981036957895E-2</v>
      </c>
      <c r="F555" s="49">
        <f t="shared" si="18"/>
        <v>-1.4632718759146003E-3</v>
      </c>
    </row>
    <row r="556" spans="2:6">
      <c r="B556" s="51">
        <v>43158</v>
      </c>
      <c r="C556" s="32">
        <v>29.231300000000001</v>
      </c>
      <c r="D556" s="7">
        <v>819.77</v>
      </c>
      <c r="E556" s="49">
        <f t="shared" si="17"/>
        <v>-9.7798102981029346E-3</v>
      </c>
      <c r="F556" s="49">
        <f t="shared" si="18"/>
        <v>1.0868503321609837E-3</v>
      </c>
    </row>
    <row r="557" spans="2:6">
      <c r="B557" s="51">
        <v>43159</v>
      </c>
      <c r="C557" s="32">
        <v>28.725999999999999</v>
      </c>
      <c r="D557" s="7">
        <v>810.11</v>
      </c>
      <c r="E557" s="49">
        <f t="shared" si="17"/>
        <v>-1.7286265065187038E-2</v>
      </c>
      <c r="F557" s="49">
        <f t="shared" si="18"/>
        <v>-1.1783793015113956E-2</v>
      </c>
    </row>
    <row r="558" spans="2:6">
      <c r="B558" s="51">
        <v>43160</v>
      </c>
      <c r="C558" s="32">
        <v>28.292999999999999</v>
      </c>
      <c r="D558" s="7">
        <v>793.98</v>
      </c>
      <c r="E558" s="49">
        <f t="shared" si="17"/>
        <v>-1.5073452621318661E-2</v>
      </c>
      <c r="F558" s="49">
        <f t="shared" si="18"/>
        <v>-1.9910876300749274E-2</v>
      </c>
    </row>
    <row r="559" spans="2:6">
      <c r="B559" s="51">
        <v>43161</v>
      </c>
      <c r="C559" s="32">
        <v>28.148599999999998</v>
      </c>
      <c r="D559" s="7">
        <v>801.36</v>
      </c>
      <c r="E559" s="49">
        <f t="shared" si="17"/>
        <v>-5.1037359064079798E-3</v>
      </c>
      <c r="F559" s="49">
        <f t="shared" si="18"/>
        <v>9.2949444570392149E-3</v>
      </c>
    </row>
    <row r="560" spans="2:6">
      <c r="B560" s="51">
        <v>43164</v>
      </c>
      <c r="C560" s="32">
        <v>28.148599999999998</v>
      </c>
      <c r="D560" s="7">
        <v>816.73</v>
      </c>
      <c r="E560" s="49">
        <f t="shared" si="17"/>
        <v>0</v>
      </c>
      <c r="F560" s="49">
        <f t="shared" si="18"/>
        <v>1.9179894179894186E-2</v>
      </c>
    </row>
    <row r="561" spans="2:6">
      <c r="B561" s="51">
        <v>43165</v>
      </c>
      <c r="C561" s="32">
        <v>28.148599999999998</v>
      </c>
      <c r="D561" s="7">
        <v>811.89</v>
      </c>
      <c r="E561" s="49">
        <f t="shared" si="17"/>
        <v>0</v>
      </c>
      <c r="F561" s="49">
        <f t="shared" si="18"/>
        <v>-5.926071039388821E-3</v>
      </c>
    </row>
    <row r="562" spans="2:6">
      <c r="B562" s="51">
        <v>43166</v>
      </c>
      <c r="C562" s="32">
        <v>28.148599999999998</v>
      </c>
      <c r="D562" s="7">
        <v>815.38</v>
      </c>
      <c r="E562" s="49">
        <f t="shared" si="17"/>
        <v>0</v>
      </c>
      <c r="F562" s="49">
        <f t="shared" si="18"/>
        <v>4.2986118809198405E-3</v>
      </c>
    </row>
    <row r="563" spans="2:6">
      <c r="B563" s="51">
        <v>43167</v>
      </c>
      <c r="C563" s="32">
        <v>28.148599999999998</v>
      </c>
      <c r="D563" s="7">
        <v>818.29</v>
      </c>
      <c r="E563" s="49">
        <f t="shared" si="17"/>
        <v>0</v>
      </c>
      <c r="F563" s="49">
        <f t="shared" si="18"/>
        <v>3.5688881257818052E-3</v>
      </c>
    </row>
    <row r="564" spans="2:6">
      <c r="B564" s="51">
        <v>43168</v>
      </c>
      <c r="C564" s="32">
        <v>28.6538</v>
      </c>
      <c r="D564" s="7">
        <v>817.31</v>
      </c>
      <c r="E564" s="49">
        <f t="shared" si="17"/>
        <v>1.7947606630525217E-2</v>
      </c>
      <c r="F564" s="49">
        <f t="shared" si="18"/>
        <v>-1.1976194258759342E-3</v>
      </c>
    </row>
    <row r="565" spans="2:6">
      <c r="B565" s="51">
        <v>43171</v>
      </c>
      <c r="C565" s="32">
        <v>28.6538</v>
      </c>
      <c r="D565" s="7">
        <v>816.98</v>
      </c>
      <c r="E565" s="49">
        <f t="shared" si="17"/>
        <v>0</v>
      </c>
      <c r="F565" s="49">
        <f t="shared" si="18"/>
        <v>-4.0376356584396041E-4</v>
      </c>
    </row>
    <row r="566" spans="2:6">
      <c r="B566" s="51">
        <v>43172</v>
      </c>
      <c r="C566" s="32">
        <v>28.6538</v>
      </c>
      <c r="D566" s="7">
        <v>810.63</v>
      </c>
      <c r="E566" s="49">
        <f t="shared" si="17"/>
        <v>0</v>
      </c>
      <c r="F566" s="49">
        <f t="shared" si="18"/>
        <v>-7.7725280912629719E-3</v>
      </c>
    </row>
    <row r="567" spans="2:6">
      <c r="B567" s="51">
        <v>43173</v>
      </c>
      <c r="C567" s="32">
        <v>28.8704</v>
      </c>
      <c r="D567" s="7">
        <v>806.71</v>
      </c>
      <c r="E567" s="49">
        <f t="shared" si="17"/>
        <v>7.5592068067760537E-3</v>
      </c>
      <c r="F567" s="49">
        <f t="shared" si="18"/>
        <v>-4.8357450378100474E-3</v>
      </c>
    </row>
    <row r="568" spans="2:6">
      <c r="B568" s="51">
        <v>43174</v>
      </c>
      <c r="C568" s="32">
        <v>28.8704</v>
      </c>
      <c r="D568" s="7">
        <v>806.72</v>
      </c>
      <c r="E568" s="49">
        <f t="shared" si="17"/>
        <v>0</v>
      </c>
      <c r="F568" s="49">
        <f t="shared" si="18"/>
        <v>1.2396028312517391E-5</v>
      </c>
    </row>
    <row r="569" spans="2:6">
      <c r="B569" s="51">
        <v>43175</v>
      </c>
      <c r="C569" s="32">
        <v>28.581700000000001</v>
      </c>
      <c r="D569" s="7">
        <v>798.08</v>
      </c>
      <c r="E569" s="49">
        <f t="shared" si="17"/>
        <v>-9.9998614497893556E-3</v>
      </c>
      <c r="F569" s="49">
        <f t="shared" si="18"/>
        <v>-1.0710035700118983E-2</v>
      </c>
    </row>
    <row r="570" spans="2:6">
      <c r="B570" s="51">
        <v>43178</v>
      </c>
      <c r="C570" s="32">
        <v>28.365100000000002</v>
      </c>
      <c r="D570" s="7">
        <v>802.48</v>
      </c>
      <c r="E570" s="49">
        <f t="shared" si="17"/>
        <v>-7.5782756099182225E-3</v>
      </c>
      <c r="F570" s="49">
        <f t="shared" si="18"/>
        <v>5.5132317562148871E-3</v>
      </c>
    </row>
    <row r="571" spans="2:6">
      <c r="B571" s="51">
        <v>43179</v>
      </c>
      <c r="C571" s="32">
        <v>28.148599999999998</v>
      </c>
      <c r="D571" s="7">
        <v>805.07</v>
      </c>
      <c r="E571" s="49">
        <f t="shared" si="17"/>
        <v>-7.632618957803902E-3</v>
      </c>
      <c r="F571" s="49">
        <f t="shared" si="18"/>
        <v>3.227494766224743E-3</v>
      </c>
    </row>
    <row r="572" spans="2:6">
      <c r="B572" s="51">
        <v>43180</v>
      </c>
      <c r="C572" s="32">
        <v>28.148599999999998</v>
      </c>
      <c r="D572" s="7">
        <v>795.08</v>
      </c>
      <c r="E572" s="49">
        <f t="shared" si="17"/>
        <v>0</v>
      </c>
      <c r="F572" s="49">
        <f t="shared" si="18"/>
        <v>-1.2408858856993813E-2</v>
      </c>
    </row>
    <row r="573" spans="2:6">
      <c r="B573" s="51">
        <v>43181</v>
      </c>
      <c r="C573" s="32">
        <v>28.148599999999998</v>
      </c>
      <c r="D573" s="7">
        <v>800.29</v>
      </c>
      <c r="E573" s="49">
        <f t="shared" si="17"/>
        <v>0</v>
      </c>
      <c r="F573" s="49">
        <f t="shared" si="18"/>
        <v>6.5527997182672467E-3</v>
      </c>
    </row>
    <row r="574" spans="2:6">
      <c r="B574" s="51">
        <v>43182</v>
      </c>
      <c r="C574" s="32">
        <v>27.8599</v>
      </c>
      <c r="D574" s="7">
        <v>798.85</v>
      </c>
      <c r="E574" s="49">
        <f t="shared" si="17"/>
        <v>-1.0256282728093001E-2</v>
      </c>
      <c r="F574" s="49">
        <f t="shared" si="18"/>
        <v>-1.7993477364454647E-3</v>
      </c>
    </row>
    <row r="575" spans="2:6">
      <c r="B575" s="51">
        <v>43185</v>
      </c>
      <c r="C575" s="32">
        <v>27.787700000000001</v>
      </c>
      <c r="D575" s="7">
        <v>805.99</v>
      </c>
      <c r="E575" s="49">
        <f t="shared" si="17"/>
        <v>-2.5915383759453087E-3</v>
      </c>
      <c r="F575" s="49">
        <f t="shared" si="18"/>
        <v>8.9378481567252751E-3</v>
      </c>
    </row>
    <row r="576" spans="2:6">
      <c r="B576" s="51">
        <v>43186</v>
      </c>
      <c r="C576" s="32">
        <v>27.571200000000001</v>
      </c>
      <c r="D576" s="7">
        <v>805.32</v>
      </c>
      <c r="E576" s="49">
        <f t="shared" si="17"/>
        <v>-7.7912169772957063E-3</v>
      </c>
      <c r="F576" s="49">
        <f t="shared" si="18"/>
        <v>-8.3127582228062263E-4</v>
      </c>
    </row>
    <row r="577" spans="2:6">
      <c r="B577" s="51">
        <v>43187</v>
      </c>
      <c r="C577" s="32">
        <v>27.498999999999999</v>
      </c>
      <c r="D577" s="7">
        <v>811.58</v>
      </c>
      <c r="E577" s="49">
        <f t="shared" si="17"/>
        <v>-2.618674558960156E-3</v>
      </c>
      <c r="F577" s="49">
        <f t="shared" si="18"/>
        <v>7.7733075050911322E-3</v>
      </c>
    </row>
    <row r="578" spans="2:6">
      <c r="B578" s="51">
        <v>43193</v>
      </c>
      <c r="C578" s="32">
        <v>27.498999999999999</v>
      </c>
      <c r="D578" s="7">
        <v>800.7</v>
      </c>
      <c r="E578" s="49">
        <f t="shared" si="17"/>
        <v>0</v>
      </c>
      <c r="F578" s="49">
        <f t="shared" si="18"/>
        <v>-1.3405948889819851E-2</v>
      </c>
    </row>
    <row r="579" spans="2:6">
      <c r="B579" s="51">
        <v>43194</v>
      </c>
      <c r="C579" s="32">
        <v>26.705100000000002</v>
      </c>
      <c r="D579" s="7">
        <v>817.16</v>
      </c>
      <c r="E579" s="49">
        <f t="shared" si="17"/>
        <v>-2.8870140732390168E-2</v>
      </c>
      <c r="F579" s="49">
        <f t="shared" si="18"/>
        <v>2.0557012613962686E-2</v>
      </c>
    </row>
    <row r="580" spans="2:6">
      <c r="B580" s="51">
        <v>43195</v>
      </c>
      <c r="C580" s="32">
        <v>26.127700000000001</v>
      </c>
      <c r="D580" s="7">
        <v>813.47</v>
      </c>
      <c r="E580" s="49">
        <f t="shared" si="17"/>
        <v>-2.1621338246252616E-2</v>
      </c>
      <c r="F580" s="49">
        <f t="shared" si="18"/>
        <v>-4.5156395320377169E-3</v>
      </c>
    </row>
    <row r="581" spans="2:6">
      <c r="B581" s="51">
        <v>43196</v>
      </c>
      <c r="C581" s="32">
        <v>27.4269</v>
      </c>
      <c r="D581" s="7">
        <v>815.01</v>
      </c>
      <c r="E581" s="49">
        <f t="shared" si="17"/>
        <v>4.9725004497142837E-2</v>
      </c>
      <c r="F581" s="49">
        <f t="shared" si="18"/>
        <v>1.893124515962437E-3</v>
      </c>
    </row>
    <row r="582" spans="2:6">
      <c r="B582" s="51">
        <v>43199</v>
      </c>
      <c r="C582" s="32">
        <v>27.4269</v>
      </c>
      <c r="D582" s="7">
        <v>829.83</v>
      </c>
      <c r="E582" s="49">
        <f t="shared" si="17"/>
        <v>0</v>
      </c>
      <c r="F582" s="49">
        <f t="shared" si="18"/>
        <v>1.818382596532564E-2</v>
      </c>
    </row>
    <row r="583" spans="2:6">
      <c r="B583" s="51">
        <v>43200</v>
      </c>
      <c r="C583" s="32">
        <v>28.004300000000001</v>
      </c>
      <c r="D583" s="7">
        <v>831.61</v>
      </c>
      <c r="E583" s="49">
        <f t="shared" si="17"/>
        <v>2.1052324542693516E-2</v>
      </c>
      <c r="F583" s="49">
        <f t="shared" si="18"/>
        <v>2.145017654218301E-3</v>
      </c>
    </row>
    <row r="584" spans="2:6">
      <c r="B584" s="51">
        <v>43201</v>
      </c>
      <c r="C584" s="32">
        <v>28.365100000000002</v>
      </c>
      <c r="D584" s="7">
        <v>834.42</v>
      </c>
      <c r="E584" s="49">
        <f t="shared" si="17"/>
        <v>1.2883735712015695E-2</v>
      </c>
      <c r="F584" s="49">
        <f t="shared" si="18"/>
        <v>3.3789877466600276E-3</v>
      </c>
    </row>
    <row r="585" spans="2:6">
      <c r="B585" s="51">
        <v>43202</v>
      </c>
      <c r="C585" s="32">
        <v>27.8599</v>
      </c>
      <c r="D585" s="7">
        <v>838.58</v>
      </c>
      <c r="E585" s="49">
        <f t="shared" si="17"/>
        <v>-1.7810619387909864E-2</v>
      </c>
      <c r="F585" s="49">
        <f t="shared" si="18"/>
        <v>4.9854989094222117E-3</v>
      </c>
    </row>
    <row r="586" spans="2:6">
      <c r="B586" s="51">
        <v>43203</v>
      </c>
      <c r="C586" s="32">
        <v>28.365100000000002</v>
      </c>
      <c r="D586" s="7">
        <v>836.17</v>
      </c>
      <c r="E586" s="49">
        <f t="shared" si="17"/>
        <v>1.8133589854952892E-2</v>
      </c>
      <c r="F586" s="49">
        <f t="shared" si="18"/>
        <v>-2.873905888525939E-3</v>
      </c>
    </row>
    <row r="587" spans="2:6">
      <c r="B587" s="51">
        <v>43206</v>
      </c>
      <c r="C587" s="32">
        <v>29.3034</v>
      </c>
      <c r="D587" s="7">
        <v>837.79</v>
      </c>
      <c r="E587" s="49">
        <f t="shared" si="17"/>
        <v>3.3079382762620194E-2</v>
      </c>
      <c r="F587" s="49">
        <f t="shared" si="18"/>
        <v>1.9374050731310673E-3</v>
      </c>
    </row>
    <row r="588" spans="2:6">
      <c r="B588" s="51">
        <v>43207</v>
      </c>
      <c r="C588" s="32">
        <v>30.241700000000002</v>
      </c>
      <c r="D588" s="7">
        <v>849.31</v>
      </c>
      <c r="E588" s="49">
        <f t="shared" si="17"/>
        <v>3.2020175133261046E-2</v>
      </c>
      <c r="F588" s="49">
        <f t="shared" si="18"/>
        <v>1.3750462526408744E-2</v>
      </c>
    </row>
    <row r="589" spans="2:6">
      <c r="B589" s="51">
        <v>43208</v>
      </c>
      <c r="C589" s="32">
        <v>30.241700000000002</v>
      </c>
      <c r="D589" s="7">
        <v>850.86</v>
      </c>
      <c r="E589" s="49">
        <f t="shared" si="17"/>
        <v>0</v>
      </c>
      <c r="F589" s="49">
        <f t="shared" si="18"/>
        <v>1.8250108911941085E-3</v>
      </c>
    </row>
    <row r="590" spans="2:6">
      <c r="B590" s="51">
        <v>43209</v>
      </c>
      <c r="C590" s="32">
        <v>29.014700000000001</v>
      </c>
      <c r="D590" s="7">
        <v>846.17</v>
      </c>
      <c r="E590" s="49">
        <f t="shared" si="17"/>
        <v>-4.0573115929329377E-2</v>
      </c>
      <c r="F590" s="49">
        <f t="shared" si="18"/>
        <v>-5.5120701407987849E-3</v>
      </c>
    </row>
    <row r="591" spans="2:6">
      <c r="B591" s="51">
        <v>43210</v>
      </c>
      <c r="C591" s="32">
        <v>29.159099999999999</v>
      </c>
      <c r="D591" s="7">
        <v>851.21</v>
      </c>
      <c r="E591" s="49">
        <f t="shared" ref="E591:E654" si="19">(C591-C590)/C590</f>
        <v>4.9767876283400283E-3</v>
      </c>
      <c r="F591" s="49">
        <f t="shared" ref="F591:F654" si="20">(D591-D590)/D590</f>
        <v>5.9562499261378654E-3</v>
      </c>
    </row>
    <row r="592" spans="2:6">
      <c r="B592" s="51">
        <v>43213</v>
      </c>
      <c r="C592" s="32">
        <v>29.592099999999999</v>
      </c>
      <c r="D592" s="7">
        <v>852.36</v>
      </c>
      <c r="E592" s="49">
        <f t="shared" si="19"/>
        <v>1.4849566687586375E-2</v>
      </c>
      <c r="F592" s="49">
        <f t="shared" si="20"/>
        <v>1.3510179626648855E-3</v>
      </c>
    </row>
    <row r="593" spans="2:6">
      <c r="B593" s="51">
        <v>43214</v>
      </c>
      <c r="C593" s="32">
        <v>29.3034</v>
      </c>
      <c r="D593" s="7">
        <v>840.67</v>
      </c>
      <c r="E593" s="49">
        <f t="shared" si="19"/>
        <v>-9.7559821709171917E-3</v>
      </c>
      <c r="F593" s="49">
        <f t="shared" si="20"/>
        <v>-1.3714862264770818E-2</v>
      </c>
    </row>
    <row r="594" spans="2:6">
      <c r="B594" s="51">
        <v>43215</v>
      </c>
      <c r="C594" s="32">
        <v>28.798200000000001</v>
      </c>
      <c r="D594" s="7">
        <v>863.02</v>
      </c>
      <c r="E594" s="49">
        <f t="shared" si="19"/>
        <v>-1.7240320235877016E-2</v>
      </c>
      <c r="F594" s="49">
        <f t="shared" si="20"/>
        <v>2.6585937407068199E-2</v>
      </c>
    </row>
    <row r="595" spans="2:6">
      <c r="B595" s="51">
        <v>43216</v>
      </c>
      <c r="C595" s="32">
        <v>29.231300000000001</v>
      </c>
      <c r="D595" s="7">
        <v>862.73</v>
      </c>
      <c r="E595" s="49">
        <f t="shared" si="19"/>
        <v>1.5039134390343826E-2</v>
      </c>
      <c r="F595" s="49">
        <f t="shared" si="20"/>
        <v>-3.3602929248448894E-4</v>
      </c>
    </row>
    <row r="596" spans="2:6">
      <c r="B596" s="51">
        <v>43217</v>
      </c>
      <c r="C596" s="32">
        <v>28.292999999999999</v>
      </c>
      <c r="D596" s="7">
        <v>859.96</v>
      </c>
      <c r="E596" s="49">
        <f t="shared" si="19"/>
        <v>-3.2099153989046045E-2</v>
      </c>
      <c r="F596" s="49">
        <f t="shared" si="20"/>
        <v>-3.2107380060969037E-3</v>
      </c>
    </row>
    <row r="597" spans="2:6">
      <c r="B597" s="51">
        <v>43220</v>
      </c>
      <c r="C597" s="32">
        <v>28.292999999999999</v>
      </c>
      <c r="D597" s="7">
        <v>869.5</v>
      </c>
      <c r="E597" s="49">
        <f t="shared" si="19"/>
        <v>0</v>
      </c>
      <c r="F597" s="49">
        <f t="shared" si="20"/>
        <v>1.1093539234382952E-2</v>
      </c>
    </row>
    <row r="598" spans="2:6">
      <c r="B598" s="51">
        <v>43222</v>
      </c>
      <c r="C598" s="32">
        <v>29.592099999999999</v>
      </c>
      <c r="D598" s="7">
        <v>864.56</v>
      </c>
      <c r="E598" s="49">
        <f t="shared" si="19"/>
        <v>4.5915950941929073E-2</v>
      </c>
      <c r="F598" s="49">
        <f t="shared" si="20"/>
        <v>-5.6814261069580846E-3</v>
      </c>
    </row>
    <row r="599" spans="2:6">
      <c r="B599" s="51">
        <v>43223</v>
      </c>
      <c r="C599" s="32">
        <v>29.231300000000001</v>
      </c>
      <c r="D599" s="7">
        <v>864.77</v>
      </c>
      <c r="E599" s="49">
        <f t="shared" si="19"/>
        <v>-1.2192443253435801E-2</v>
      </c>
      <c r="F599" s="49">
        <f t="shared" si="20"/>
        <v>2.4289812158790182E-4</v>
      </c>
    </row>
    <row r="600" spans="2:6">
      <c r="B600" s="51">
        <v>43224</v>
      </c>
      <c r="C600" s="32">
        <v>29.231300000000001</v>
      </c>
      <c r="D600" s="7">
        <v>873.66</v>
      </c>
      <c r="E600" s="49">
        <f t="shared" si="19"/>
        <v>0</v>
      </c>
      <c r="F600" s="49">
        <f t="shared" si="20"/>
        <v>1.0280190108352495E-2</v>
      </c>
    </row>
    <row r="601" spans="2:6">
      <c r="B601" s="51">
        <v>43227</v>
      </c>
      <c r="C601" s="32">
        <v>29.231300000000001</v>
      </c>
      <c r="D601" s="7">
        <v>875.27</v>
      </c>
      <c r="E601" s="49">
        <f t="shared" si="19"/>
        <v>0</v>
      </c>
      <c r="F601" s="49">
        <f t="shared" si="20"/>
        <v>1.8428221504933427E-3</v>
      </c>
    </row>
    <row r="602" spans="2:6">
      <c r="B602" s="51">
        <v>43228</v>
      </c>
      <c r="C602" s="32">
        <v>29.0869</v>
      </c>
      <c r="D602" s="7">
        <v>878.57</v>
      </c>
      <c r="E602" s="49">
        <f t="shared" si="19"/>
        <v>-4.9399103016287667E-3</v>
      </c>
      <c r="F602" s="49">
        <f t="shared" si="20"/>
        <v>3.7702651753174087E-3</v>
      </c>
    </row>
    <row r="603" spans="2:6">
      <c r="B603" s="51">
        <v>43229</v>
      </c>
      <c r="C603" s="32">
        <v>29.459800000000001</v>
      </c>
      <c r="D603" s="7">
        <v>878.81</v>
      </c>
      <c r="E603" s="49">
        <f t="shared" si="19"/>
        <v>1.2820204284402991E-2</v>
      </c>
      <c r="F603" s="49">
        <f t="shared" si="20"/>
        <v>2.7317117588797183E-4</v>
      </c>
    </row>
    <row r="604" spans="2:6">
      <c r="B604" s="51">
        <v>43231</v>
      </c>
      <c r="C604" s="32">
        <v>29.758099999999999</v>
      </c>
      <c r="D604" s="7">
        <v>876.05</v>
      </c>
      <c r="E604" s="49">
        <f t="shared" si="19"/>
        <v>1.0125662767567925E-2</v>
      </c>
      <c r="F604" s="49">
        <f t="shared" si="20"/>
        <v>-3.1406105984228571E-3</v>
      </c>
    </row>
    <row r="605" spans="2:6">
      <c r="B605" s="51">
        <v>43234</v>
      </c>
      <c r="C605" s="32">
        <v>29.385200000000001</v>
      </c>
      <c r="D605" s="7">
        <v>880.57</v>
      </c>
      <c r="E605" s="49">
        <f t="shared" si="19"/>
        <v>-1.2531041968405167E-2</v>
      </c>
      <c r="F605" s="49">
        <f t="shared" si="20"/>
        <v>5.1595228582844536E-3</v>
      </c>
    </row>
    <row r="606" spans="2:6">
      <c r="B606" s="51">
        <v>43235</v>
      </c>
      <c r="C606" s="32">
        <v>29.0869</v>
      </c>
      <c r="D606" s="7">
        <v>883.89</v>
      </c>
      <c r="E606" s="49">
        <f t="shared" si="19"/>
        <v>-1.0151368716224532E-2</v>
      </c>
      <c r="F606" s="49">
        <f t="shared" si="20"/>
        <v>3.7702851562055671E-3</v>
      </c>
    </row>
    <row r="607" spans="2:6">
      <c r="B607" s="51">
        <v>43236</v>
      </c>
      <c r="C607" s="32">
        <v>29.609000000000002</v>
      </c>
      <c r="D607" s="7">
        <v>891.68</v>
      </c>
      <c r="E607" s="49">
        <f t="shared" si="19"/>
        <v>1.794966118768249E-2</v>
      </c>
      <c r="F607" s="49">
        <f t="shared" si="20"/>
        <v>8.8133138738982954E-3</v>
      </c>
    </row>
    <row r="608" spans="2:6">
      <c r="B608" s="51">
        <v>43238</v>
      </c>
      <c r="C608" s="32">
        <v>29.1615</v>
      </c>
      <c r="D608" s="7">
        <v>888.21</v>
      </c>
      <c r="E608" s="49">
        <f t="shared" si="19"/>
        <v>-1.5113647877334647E-2</v>
      </c>
      <c r="F608" s="49">
        <f t="shared" si="20"/>
        <v>-3.8915305939349475E-3</v>
      </c>
    </row>
    <row r="609" spans="2:6">
      <c r="B609" s="51">
        <v>43242</v>
      </c>
      <c r="C609" s="32">
        <v>30.578499999999998</v>
      </c>
      <c r="D609" s="7">
        <v>879.87</v>
      </c>
      <c r="E609" s="49">
        <f t="shared" si="19"/>
        <v>4.8591464773759856E-2</v>
      </c>
      <c r="F609" s="49">
        <f t="shared" si="20"/>
        <v>-9.3896713615023823E-3</v>
      </c>
    </row>
    <row r="610" spans="2:6">
      <c r="B610" s="51">
        <v>43243</v>
      </c>
      <c r="C610" s="32">
        <v>29.2361</v>
      </c>
      <c r="D610" s="7">
        <v>873.29</v>
      </c>
      <c r="E610" s="49">
        <f t="shared" si="19"/>
        <v>-4.3900125905456382E-2</v>
      </c>
      <c r="F610" s="49">
        <f t="shared" si="20"/>
        <v>-7.4783774875834394E-3</v>
      </c>
    </row>
    <row r="611" spans="2:6">
      <c r="B611" s="51">
        <v>43244</v>
      </c>
      <c r="C611" s="32">
        <v>30.578499999999998</v>
      </c>
      <c r="D611" s="7">
        <v>863.98</v>
      </c>
      <c r="E611" s="49">
        <f t="shared" si="19"/>
        <v>4.5915836927633909E-2</v>
      </c>
      <c r="F611" s="49">
        <f t="shared" si="20"/>
        <v>-1.0660834316206467E-2</v>
      </c>
    </row>
    <row r="612" spans="2:6">
      <c r="B612" s="51">
        <v>43245</v>
      </c>
      <c r="C612" s="32">
        <v>29.534400000000002</v>
      </c>
      <c r="D612" s="7">
        <v>868.46</v>
      </c>
      <c r="E612" s="49">
        <f t="shared" si="19"/>
        <v>-3.4144905734421138E-2</v>
      </c>
      <c r="F612" s="49">
        <f t="shared" si="20"/>
        <v>5.1853052153985257E-3</v>
      </c>
    </row>
    <row r="613" spans="2:6">
      <c r="B613" s="51">
        <v>43248</v>
      </c>
      <c r="C613" s="32">
        <v>28.788599999999999</v>
      </c>
      <c r="D613" s="7">
        <v>867.58</v>
      </c>
      <c r="E613" s="49">
        <f t="shared" si="19"/>
        <v>-2.5251909637575256E-2</v>
      </c>
      <c r="F613" s="49">
        <f t="shared" si="20"/>
        <v>-1.0132878889067953E-3</v>
      </c>
    </row>
    <row r="614" spans="2:6">
      <c r="B614" s="51">
        <v>43249</v>
      </c>
      <c r="C614" s="32">
        <v>29.0869</v>
      </c>
      <c r="D614" s="7">
        <v>870.62</v>
      </c>
      <c r="E614" s="49">
        <f t="shared" si="19"/>
        <v>1.0361740411135002E-2</v>
      </c>
      <c r="F614" s="49">
        <f t="shared" si="20"/>
        <v>3.5039996311578914E-3</v>
      </c>
    </row>
    <row r="615" spans="2:6">
      <c r="B615" s="51">
        <v>43250</v>
      </c>
      <c r="C615" s="32">
        <v>29.0869</v>
      </c>
      <c r="D615" s="7">
        <v>875.52</v>
      </c>
      <c r="E615" s="49">
        <f t="shared" si="19"/>
        <v>0</v>
      </c>
      <c r="F615" s="49">
        <f t="shared" si="20"/>
        <v>5.628173026119291E-3</v>
      </c>
    </row>
    <row r="616" spans="2:6">
      <c r="B616" s="51">
        <v>43251</v>
      </c>
      <c r="C616" s="32">
        <v>29.310600000000001</v>
      </c>
      <c r="D616" s="7">
        <v>880.53</v>
      </c>
      <c r="E616" s="49">
        <f t="shared" si="19"/>
        <v>7.6907473811234917E-3</v>
      </c>
      <c r="F616" s="49">
        <f t="shared" si="20"/>
        <v>5.7223135964912181E-3</v>
      </c>
    </row>
    <row r="617" spans="2:6">
      <c r="B617" s="51">
        <v>43252</v>
      </c>
      <c r="C617" s="32">
        <v>29.1615</v>
      </c>
      <c r="D617" s="7">
        <v>882.09</v>
      </c>
      <c r="E617" s="49">
        <f t="shared" si="19"/>
        <v>-5.0868968905447409E-3</v>
      </c>
      <c r="F617" s="49">
        <f t="shared" si="20"/>
        <v>1.7716602500767256E-3</v>
      </c>
    </row>
    <row r="618" spans="2:6">
      <c r="B618" s="51">
        <v>43255</v>
      </c>
      <c r="C618" s="32">
        <v>28.713999999999999</v>
      </c>
      <c r="D618" s="7">
        <v>879</v>
      </c>
      <c r="E618" s="49">
        <f t="shared" si="19"/>
        <v>-1.5345575501946113E-2</v>
      </c>
      <c r="F618" s="49">
        <f t="shared" si="20"/>
        <v>-3.5030439070843473E-3</v>
      </c>
    </row>
    <row r="619" spans="2:6">
      <c r="B619" s="51">
        <v>43256</v>
      </c>
      <c r="C619" s="32">
        <v>28.788599999999999</v>
      </c>
      <c r="D619" s="7">
        <v>882.99</v>
      </c>
      <c r="E619" s="49">
        <f t="shared" si="19"/>
        <v>2.5980358013512651E-3</v>
      </c>
      <c r="F619" s="49">
        <f t="shared" si="20"/>
        <v>4.5392491467576897E-3</v>
      </c>
    </row>
    <row r="620" spans="2:6">
      <c r="B620" s="51">
        <v>43257</v>
      </c>
      <c r="C620" s="32">
        <v>28.9377</v>
      </c>
      <c r="D620" s="7">
        <v>892.05</v>
      </c>
      <c r="E620" s="49">
        <f t="shared" si="19"/>
        <v>5.1791334069736178E-3</v>
      </c>
      <c r="F620" s="49">
        <f t="shared" si="20"/>
        <v>1.0260591852682301E-2</v>
      </c>
    </row>
    <row r="621" spans="2:6">
      <c r="B621" s="51">
        <v>43258</v>
      </c>
      <c r="C621" s="32">
        <v>29.0869</v>
      </c>
      <c r="D621" s="7">
        <v>893.87</v>
      </c>
      <c r="E621" s="49">
        <f t="shared" si="19"/>
        <v>5.1559038900811207E-3</v>
      </c>
      <c r="F621" s="49">
        <f t="shared" si="20"/>
        <v>2.0402443809204081E-3</v>
      </c>
    </row>
    <row r="622" spans="2:6">
      <c r="B622" s="51">
        <v>43259</v>
      </c>
      <c r="C622" s="32">
        <v>29.0869</v>
      </c>
      <c r="D622" s="7">
        <v>899.91</v>
      </c>
      <c r="E622" s="49">
        <f t="shared" si="19"/>
        <v>0</v>
      </c>
      <c r="F622" s="49">
        <f t="shared" si="20"/>
        <v>6.7571347063890312E-3</v>
      </c>
    </row>
    <row r="623" spans="2:6">
      <c r="B623" s="51">
        <v>43262</v>
      </c>
      <c r="C623" s="32">
        <v>28.713999999999999</v>
      </c>
      <c r="D623" s="7">
        <v>898.17</v>
      </c>
      <c r="E623" s="49">
        <f t="shared" si="19"/>
        <v>-1.2820204284402991E-2</v>
      </c>
      <c r="F623" s="49">
        <f t="shared" si="20"/>
        <v>-1.9335266860019437E-3</v>
      </c>
    </row>
    <row r="624" spans="2:6">
      <c r="B624" s="51">
        <v>43263</v>
      </c>
      <c r="C624" s="32">
        <v>28.415700000000001</v>
      </c>
      <c r="D624" s="7">
        <v>896</v>
      </c>
      <c r="E624" s="49">
        <f t="shared" si="19"/>
        <v>-1.0388660583687316E-2</v>
      </c>
      <c r="F624" s="49">
        <f t="shared" si="20"/>
        <v>-2.4160236926193917E-3</v>
      </c>
    </row>
    <row r="625" spans="2:6">
      <c r="B625" s="51">
        <v>43264</v>
      </c>
      <c r="C625" s="32">
        <v>28.341100000000001</v>
      </c>
      <c r="D625" s="7">
        <v>898.23</v>
      </c>
      <c r="E625" s="49">
        <f t="shared" si="19"/>
        <v>-2.6253092480565399E-3</v>
      </c>
      <c r="F625" s="49">
        <f t="shared" si="20"/>
        <v>2.488839285714306E-3</v>
      </c>
    </row>
    <row r="626" spans="2:6">
      <c r="B626" s="51">
        <v>43265</v>
      </c>
      <c r="C626" s="32">
        <v>27.9682</v>
      </c>
      <c r="D626" s="7">
        <v>895.41</v>
      </c>
      <c r="E626" s="49">
        <f t="shared" si="19"/>
        <v>-1.3157569748527803E-2</v>
      </c>
      <c r="F626" s="49">
        <f t="shared" si="20"/>
        <v>-3.1395076984737204E-3</v>
      </c>
    </row>
    <row r="627" spans="2:6">
      <c r="B627" s="51">
        <v>43266</v>
      </c>
      <c r="C627" s="32">
        <v>27.9682</v>
      </c>
      <c r="D627" s="7">
        <v>888.66</v>
      </c>
      <c r="E627" s="49">
        <f t="shared" si="19"/>
        <v>0</v>
      </c>
      <c r="F627" s="49">
        <f t="shared" si="20"/>
        <v>-7.5384460749824108E-3</v>
      </c>
    </row>
    <row r="628" spans="2:6">
      <c r="B628" s="51">
        <v>43269</v>
      </c>
      <c r="C628" s="32">
        <v>27.595300000000002</v>
      </c>
      <c r="D628" s="7">
        <v>884.99</v>
      </c>
      <c r="E628" s="49">
        <f t="shared" si="19"/>
        <v>-1.3332999620998055E-2</v>
      </c>
      <c r="F628" s="49">
        <f t="shared" si="20"/>
        <v>-4.1298134269573961E-3</v>
      </c>
    </row>
    <row r="629" spans="2:6">
      <c r="B629" s="51">
        <v>43270</v>
      </c>
      <c r="C629" s="32">
        <v>26.849399999999999</v>
      </c>
      <c r="D629" s="7">
        <v>880.91</v>
      </c>
      <c r="E629" s="49">
        <f t="shared" si="19"/>
        <v>-2.7029965247705311E-2</v>
      </c>
      <c r="F629" s="49">
        <f t="shared" si="20"/>
        <v>-4.6102215844247294E-3</v>
      </c>
    </row>
    <row r="630" spans="2:6">
      <c r="B630" s="51">
        <v>43271</v>
      </c>
      <c r="C630" s="32">
        <v>27.595300000000002</v>
      </c>
      <c r="D630" s="7">
        <v>871.57</v>
      </c>
      <c r="E630" s="49">
        <f t="shared" si="19"/>
        <v>2.7780881509456543E-2</v>
      </c>
      <c r="F630" s="49">
        <f t="shared" si="20"/>
        <v>-1.0602672236664265E-2</v>
      </c>
    </row>
    <row r="631" spans="2:6">
      <c r="B631" s="51">
        <v>43272</v>
      </c>
      <c r="C631" s="32">
        <v>27.2224</v>
      </c>
      <c r="D631" s="7">
        <v>881.72</v>
      </c>
      <c r="E631" s="49">
        <f t="shared" si="19"/>
        <v>-1.3513170721101106E-2</v>
      </c>
      <c r="F631" s="49">
        <f t="shared" si="20"/>
        <v>1.1645650951730757E-2</v>
      </c>
    </row>
    <row r="632" spans="2:6">
      <c r="B632" s="51">
        <v>43273</v>
      </c>
      <c r="C632" s="32">
        <v>26.849399999999999</v>
      </c>
      <c r="D632" s="7">
        <v>869.62</v>
      </c>
      <c r="E632" s="49">
        <f t="shared" si="19"/>
        <v>-1.370195133419541E-2</v>
      </c>
      <c r="F632" s="49">
        <f t="shared" si="20"/>
        <v>-1.3723177425940232E-2</v>
      </c>
    </row>
    <row r="633" spans="2:6">
      <c r="B633" s="51">
        <v>43276</v>
      </c>
      <c r="C633" s="32">
        <v>27.595300000000002</v>
      </c>
      <c r="D633" s="7">
        <v>870.66</v>
      </c>
      <c r="E633" s="49">
        <f t="shared" si="19"/>
        <v>2.7780881509456543E-2</v>
      </c>
      <c r="F633" s="49">
        <f t="shared" si="20"/>
        <v>1.195924656746583E-3</v>
      </c>
    </row>
    <row r="634" spans="2:6">
      <c r="B634" s="51">
        <v>43277</v>
      </c>
      <c r="C634" s="32">
        <v>26.849399999999999</v>
      </c>
      <c r="D634" s="7">
        <v>882.52</v>
      </c>
      <c r="E634" s="49">
        <f t="shared" si="19"/>
        <v>-2.7029965247705311E-2</v>
      </c>
      <c r="F634" s="49">
        <f t="shared" si="20"/>
        <v>1.362185009073578E-2</v>
      </c>
    </row>
    <row r="635" spans="2:6">
      <c r="B635" s="51">
        <v>43278</v>
      </c>
      <c r="C635" s="32">
        <v>25.805299999999999</v>
      </c>
      <c r="D635" s="7">
        <v>875.19</v>
      </c>
      <c r="E635" s="49">
        <f t="shared" si="19"/>
        <v>-3.8887274948415991E-2</v>
      </c>
      <c r="F635" s="49">
        <f t="shared" si="20"/>
        <v>-8.3057607759596686E-3</v>
      </c>
    </row>
    <row r="636" spans="2:6">
      <c r="B636" s="51">
        <v>43279</v>
      </c>
      <c r="C636" s="32">
        <v>25.656099999999999</v>
      </c>
      <c r="D636" s="7">
        <v>879.14</v>
      </c>
      <c r="E636" s="49">
        <f t="shared" si="19"/>
        <v>-5.7817580109512561E-3</v>
      </c>
      <c r="F636" s="49">
        <f t="shared" si="20"/>
        <v>4.513305682194645E-3</v>
      </c>
    </row>
    <row r="637" spans="2:6">
      <c r="B637" s="51">
        <v>43280</v>
      </c>
      <c r="C637" s="32">
        <v>27.595300000000002</v>
      </c>
      <c r="D637" s="7">
        <v>872.73</v>
      </c>
      <c r="E637" s="49">
        <f t="shared" si="19"/>
        <v>7.5584363952432496E-2</v>
      </c>
      <c r="F637" s="49">
        <f t="shared" si="20"/>
        <v>-7.2912164160429151E-3</v>
      </c>
    </row>
    <row r="638" spans="2:6">
      <c r="B638" s="51">
        <v>43283</v>
      </c>
      <c r="C638" s="32">
        <v>27.1478</v>
      </c>
      <c r="D638" s="7">
        <v>877.98</v>
      </c>
      <c r="E638" s="49">
        <f t="shared" si="19"/>
        <v>-1.6216529626421946E-2</v>
      </c>
      <c r="F638" s="49">
        <f t="shared" si="20"/>
        <v>6.0156062012306213E-3</v>
      </c>
    </row>
    <row r="639" spans="2:6">
      <c r="B639" s="51">
        <v>43284</v>
      </c>
      <c r="C639" s="32">
        <v>26.551100000000002</v>
      </c>
      <c r="D639" s="7">
        <v>879.43</v>
      </c>
      <c r="E639" s="49">
        <f t="shared" si="19"/>
        <v>-2.1979681594825308E-2</v>
      </c>
      <c r="F639" s="49">
        <f t="shared" si="20"/>
        <v>1.6515182578190071E-3</v>
      </c>
    </row>
    <row r="640" spans="2:6">
      <c r="B640" s="51">
        <v>43285</v>
      </c>
      <c r="C640" s="32">
        <v>26.402000000000001</v>
      </c>
      <c r="D640" s="7">
        <v>883.39</v>
      </c>
      <c r="E640" s="49">
        <f t="shared" si="19"/>
        <v>-5.615586548203301E-3</v>
      </c>
      <c r="F640" s="49">
        <f t="shared" si="20"/>
        <v>4.5029166619287913E-3</v>
      </c>
    </row>
    <row r="641" spans="2:6">
      <c r="B641" s="51">
        <v>43286</v>
      </c>
      <c r="C641" s="32">
        <v>26.327400000000001</v>
      </c>
      <c r="D641" s="7">
        <v>877.34</v>
      </c>
      <c r="E641" s="49">
        <f t="shared" si="19"/>
        <v>-2.8255435194303544E-3</v>
      </c>
      <c r="F641" s="49">
        <f t="shared" si="20"/>
        <v>-6.8486172585154404E-3</v>
      </c>
    </row>
    <row r="642" spans="2:6">
      <c r="B642" s="51">
        <v>43287</v>
      </c>
      <c r="C642" s="32">
        <v>26.252800000000001</v>
      </c>
      <c r="D642" s="7">
        <v>888.66</v>
      </c>
      <c r="E642" s="49">
        <f t="shared" si="19"/>
        <v>-2.8335498378115657E-3</v>
      </c>
      <c r="F642" s="49">
        <f t="shared" si="20"/>
        <v>1.2902637517951919E-2</v>
      </c>
    </row>
    <row r="643" spans="2:6">
      <c r="B643" s="51">
        <v>43290</v>
      </c>
      <c r="C643" s="32">
        <v>25.954499999999999</v>
      </c>
      <c r="D643" s="7">
        <v>899.13</v>
      </c>
      <c r="E643" s="49">
        <f t="shared" si="19"/>
        <v>-1.1362597513408136E-2</v>
      </c>
      <c r="F643" s="49">
        <f t="shared" si="20"/>
        <v>1.1781783809330934E-2</v>
      </c>
    </row>
    <row r="644" spans="2:6">
      <c r="B644" s="51">
        <v>43291</v>
      </c>
      <c r="C644" s="32">
        <v>25.432400000000001</v>
      </c>
      <c r="D644" s="7">
        <v>891.04</v>
      </c>
      <c r="E644" s="49">
        <f t="shared" si="19"/>
        <v>-2.0115972182087816E-2</v>
      </c>
      <c r="F644" s="49">
        <f t="shared" si="20"/>
        <v>-8.9975865558929533E-3</v>
      </c>
    </row>
    <row r="645" spans="2:6">
      <c r="B645" s="51">
        <v>43292</v>
      </c>
      <c r="C645" s="32">
        <v>25.357800000000001</v>
      </c>
      <c r="D645" s="7">
        <v>884.99</v>
      </c>
      <c r="E645" s="49">
        <f t="shared" si="19"/>
        <v>-2.9332662273320732E-3</v>
      </c>
      <c r="F645" s="49">
        <f t="shared" si="20"/>
        <v>-6.7898186388938263E-3</v>
      </c>
    </row>
    <row r="646" spans="2:6">
      <c r="B646" s="51">
        <v>43293</v>
      </c>
      <c r="C646" s="32">
        <v>25.1341</v>
      </c>
      <c r="D646" s="7">
        <v>874.36</v>
      </c>
      <c r="E646" s="49">
        <f t="shared" si="19"/>
        <v>-8.8217432111618865E-3</v>
      </c>
      <c r="F646" s="49">
        <f t="shared" si="20"/>
        <v>-1.2011435157459401E-2</v>
      </c>
    </row>
    <row r="647" spans="2:6">
      <c r="B647" s="51">
        <v>43294</v>
      </c>
      <c r="C647" s="32">
        <v>25.208600000000001</v>
      </c>
      <c r="D647" s="7">
        <v>868.03</v>
      </c>
      <c r="E647" s="49">
        <f t="shared" si="19"/>
        <v>2.9641005645716558E-3</v>
      </c>
      <c r="F647" s="49">
        <f t="shared" si="20"/>
        <v>-7.2395809506382277E-3</v>
      </c>
    </row>
    <row r="648" spans="2:6">
      <c r="B648" s="51">
        <v>43297</v>
      </c>
      <c r="C648" s="32">
        <v>25.357800000000001</v>
      </c>
      <c r="D648" s="7">
        <v>871.47</v>
      </c>
      <c r="E648" s="49">
        <f t="shared" si="19"/>
        <v>5.9186150758074804E-3</v>
      </c>
      <c r="F648" s="49">
        <f t="shared" si="20"/>
        <v>3.9629966706220465E-3</v>
      </c>
    </row>
    <row r="649" spans="2:6">
      <c r="B649" s="51">
        <v>43298</v>
      </c>
      <c r="C649" s="32">
        <v>25.357800000000001</v>
      </c>
      <c r="D649" s="7">
        <v>874.1</v>
      </c>
      <c r="E649" s="49">
        <f t="shared" si="19"/>
        <v>0</v>
      </c>
      <c r="F649" s="49">
        <f t="shared" si="20"/>
        <v>3.0178893134588632E-3</v>
      </c>
    </row>
    <row r="650" spans="2:6">
      <c r="B650" s="51">
        <v>43299</v>
      </c>
      <c r="C650" s="32">
        <v>25.0595</v>
      </c>
      <c r="D650" s="7">
        <v>875.7</v>
      </c>
      <c r="E650" s="49">
        <f t="shared" si="19"/>
        <v>-1.1763638801473358E-2</v>
      </c>
      <c r="F650" s="49">
        <f t="shared" si="20"/>
        <v>1.8304541814437966E-3</v>
      </c>
    </row>
    <row r="651" spans="2:6">
      <c r="B651" s="51">
        <v>43300</v>
      </c>
      <c r="C651" s="32">
        <v>24.313700000000001</v>
      </c>
      <c r="D651" s="7">
        <v>876.82</v>
      </c>
      <c r="E651" s="49">
        <f t="shared" si="19"/>
        <v>-2.9761168419162359E-2</v>
      </c>
      <c r="F651" s="49">
        <f t="shared" si="20"/>
        <v>1.278976818545169E-3</v>
      </c>
    </row>
    <row r="652" spans="2:6">
      <c r="B652" s="51">
        <v>43301</v>
      </c>
      <c r="C652" s="32">
        <v>24.313700000000001</v>
      </c>
      <c r="D652" s="7">
        <v>878.3</v>
      </c>
      <c r="E652" s="49">
        <f t="shared" si="19"/>
        <v>0</v>
      </c>
      <c r="F652" s="49">
        <f t="shared" si="20"/>
        <v>1.6879177026070395E-3</v>
      </c>
    </row>
    <row r="653" spans="2:6">
      <c r="B653" s="51">
        <v>43304</v>
      </c>
      <c r="C653" s="32">
        <v>24.388200000000001</v>
      </c>
      <c r="D653" s="7">
        <v>882.7</v>
      </c>
      <c r="E653" s="49">
        <f t="shared" si="19"/>
        <v>3.0641161156056236E-3</v>
      </c>
      <c r="F653" s="49">
        <f t="shared" si="20"/>
        <v>5.0096777866333727E-3</v>
      </c>
    </row>
    <row r="654" spans="2:6">
      <c r="B654" s="51">
        <v>43305</v>
      </c>
      <c r="C654" s="32">
        <v>24.388200000000001</v>
      </c>
      <c r="D654" s="7">
        <v>885.2</v>
      </c>
      <c r="E654" s="49">
        <f t="shared" si="19"/>
        <v>0</v>
      </c>
      <c r="F654" s="49">
        <f t="shared" si="20"/>
        <v>2.8322193270646878E-3</v>
      </c>
    </row>
    <row r="655" spans="2:6">
      <c r="B655" s="51">
        <v>43306</v>
      </c>
      <c r="C655" s="32">
        <v>24.388200000000001</v>
      </c>
      <c r="D655" s="7">
        <v>883.35</v>
      </c>
      <c r="E655" s="49">
        <f t="shared" ref="E655:E718" si="21">(C655-C654)/C654</f>
        <v>0</v>
      </c>
      <c r="F655" s="49">
        <f t="shared" ref="F655:F718" si="22">(D655-D654)/D654</f>
        <v>-2.0899231812020139E-3</v>
      </c>
    </row>
    <row r="656" spans="2:6">
      <c r="B656" s="51">
        <v>43307</v>
      </c>
      <c r="C656" s="32">
        <v>25.208600000000001</v>
      </c>
      <c r="D656" s="7">
        <v>892.82</v>
      </c>
      <c r="E656" s="49">
        <f t="shared" si="21"/>
        <v>3.3639218966549367E-2</v>
      </c>
      <c r="F656" s="49">
        <f t="shared" si="22"/>
        <v>1.0720552442406777E-2</v>
      </c>
    </row>
    <row r="657" spans="2:6">
      <c r="B657" s="51">
        <v>43308</v>
      </c>
      <c r="C657" s="32">
        <v>24.835699999999999</v>
      </c>
      <c r="D657" s="7">
        <v>891.5</v>
      </c>
      <c r="E657" s="49">
        <f t="shared" si="21"/>
        <v>-1.4792570789333851E-2</v>
      </c>
      <c r="F657" s="49">
        <f t="shared" si="22"/>
        <v>-1.4784615039986223E-3</v>
      </c>
    </row>
    <row r="658" spans="2:6">
      <c r="B658" s="51">
        <v>43311</v>
      </c>
      <c r="C658" s="32">
        <v>25.0595</v>
      </c>
      <c r="D658" s="7">
        <v>896.4</v>
      </c>
      <c r="E658" s="49">
        <f t="shared" si="21"/>
        <v>9.0112217493366672E-3</v>
      </c>
      <c r="F658" s="49">
        <f t="shared" si="22"/>
        <v>5.4963544587773158E-3</v>
      </c>
    </row>
    <row r="659" spans="2:6">
      <c r="B659" s="51">
        <v>43312</v>
      </c>
      <c r="C659" s="32">
        <v>24.910299999999999</v>
      </c>
      <c r="D659" s="7">
        <v>894.47</v>
      </c>
      <c r="E659" s="49">
        <f t="shared" si="21"/>
        <v>-5.9538298848740177E-3</v>
      </c>
      <c r="F659" s="49">
        <f t="shared" si="22"/>
        <v>-2.1530566711289046E-3</v>
      </c>
    </row>
    <row r="660" spans="2:6">
      <c r="B660" s="51">
        <v>43313</v>
      </c>
      <c r="C660" s="32">
        <v>24.537400000000002</v>
      </c>
      <c r="D660" s="7">
        <v>892.46</v>
      </c>
      <c r="E660" s="49">
        <f t="shared" si="21"/>
        <v>-1.4969711324231253E-2</v>
      </c>
      <c r="F660" s="49">
        <f t="shared" si="22"/>
        <v>-2.2471407649222344E-3</v>
      </c>
    </row>
    <row r="661" spans="2:6">
      <c r="B661" s="51">
        <v>43314</v>
      </c>
      <c r="C661" s="32">
        <v>23.269500000000001</v>
      </c>
      <c r="D661" s="7">
        <v>891.83</v>
      </c>
      <c r="E661" s="49">
        <f t="shared" si="21"/>
        <v>-5.1672141302664537E-2</v>
      </c>
      <c r="F661" s="49">
        <f t="shared" si="22"/>
        <v>-7.0591399054298841E-4</v>
      </c>
    </row>
    <row r="662" spans="2:6">
      <c r="B662" s="51">
        <v>43315</v>
      </c>
      <c r="C662" s="32">
        <v>24.239100000000001</v>
      </c>
      <c r="D662" s="7">
        <v>892.64</v>
      </c>
      <c r="E662" s="49">
        <f t="shared" si="21"/>
        <v>4.1668278218268538E-2</v>
      </c>
      <c r="F662" s="49">
        <f t="shared" si="22"/>
        <v>9.0824484486947668E-4</v>
      </c>
    </row>
    <row r="663" spans="2:6">
      <c r="B663" s="51">
        <v>43318</v>
      </c>
      <c r="C663" s="32">
        <v>23.866199999999999</v>
      </c>
      <c r="D663" s="7">
        <v>905.36</v>
      </c>
      <c r="E663" s="49">
        <f t="shared" si="21"/>
        <v>-1.5384234563164529E-2</v>
      </c>
      <c r="F663" s="49">
        <f t="shared" si="22"/>
        <v>1.4249865567306E-2</v>
      </c>
    </row>
    <row r="664" spans="2:6">
      <c r="B664" s="51">
        <v>43319</v>
      </c>
      <c r="C664" s="32">
        <v>23.493300000000001</v>
      </c>
      <c r="D664" s="7">
        <v>906.86</v>
      </c>
      <c r="E664" s="49">
        <f t="shared" si="21"/>
        <v>-1.5624607185056599E-2</v>
      </c>
      <c r="F664" s="49">
        <f t="shared" si="22"/>
        <v>1.6567995051692144E-3</v>
      </c>
    </row>
    <row r="665" spans="2:6">
      <c r="B665" s="51">
        <v>43320</v>
      </c>
      <c r="C665" s="32">
        <v>24.239100000000001</v>
      </c>
      <c r="D665" s="7">
        <v>908.71</v>
      </c>
      <c r="E665" s="49">
        <f t="shared" si="21"/>
        <v>3.174522097789579E-2</v>
      </c>
      <c r="F665" s="49">
        <f t="shared" si="22"/>
        <v>2.0400061751538524E-3</v>
      </c>
    </row>
    <row r="666" spans="2:6">
      <c r="B666" s="51">
        <v>43321</v>
      </c>
      <c r="C666" s="32">
        <v>25.0595</v>
      </c>
      <c r="D666" s="7">
        <v>898.23</v>
      </c>
      <c r="E666" s="49">
        <f t="shared" si="21"/>
        <v>3.3846141152105456E-2</v>
      </c>
      <c r="F666" s="49">
        <f t="shared" si="22"/>
        <v>-1.1532832256715583E-2</v>
      </c>
    </row>
    <row r="667" spans="2:6">
      <c r="B667" s="51">
        <v>43322</v>
      </c>
      <c r="C667" s="32">
        <v>26.1036</v>
      </c>
      <c r="D667" s="7">
        <v>897.17</v>
      </c>
      <c r="E667" s="49">
        <f t="shared" si="21"/>
        <v>4.1664837686306598E-2</v>
      </c>
      <c r="F667" s="49">
        <f t="shared" si="22"/>
        <v>-1.1800986384334293E-3</v>
      </c>
    </row>
    <row r="668" spans="2:6">
      <c r="B668" s="51">
        <v>43325</v>
      </c>
      <c r="C668" s="32">
        <v>25.0595</v>
      </c>
      <c r="D668" s="7">
        <v>895.81</v>
      </c>
      <c r="E668" s="49">
        <f t="shared" si="21"/>
        <v>-3.9998314408740569E-2</v>
      </c>
      <c r="F668" s="49">
        <f t="shared" si="22"/>
        <v>-1.515877704336986E-3</v>
      </c>
    </row>
    <row r="669" spans="2:6">
      <c r="B669" s="51">
        <v>43326</v>
      </c>
      <c r="C669" s="32">
        <v>25.1341</v>
      </c>
      <c r="D669" s="7">
        <v>882.73</v>
      </c>
      <c r="E669" s="49">
        <f t="shared" si="21"/>
        <v>2.9769149424370089E-3</v>
      </c>
      <c r="F669" s="49">
        <f t="shared" si="22"/>
        <v>-1.4601310545762972E-2</v>
      </c>
    </row>
    <row r="670" spans="2:6">
      <c r="B670" s="51">
        <v>43327</v>
      </c>
      <c r="C670" s="32">
        <v>25.357800000000001</v>
      </c>
      <c r="D670" s="7">
        <v>887.97</v>
      </c>
      <c r="E670" s="49">
        <f t="shared" si="21"/>
        <v>8.9002590106668188E-3</v>
      </c>
      <c r="F670" s="49">
        <f t="shared" si="22"/>
        <v>5.9361299604635724E-3</v>
      </c>
    </row>
    <row r="671" spans="2:6">
      <c r="B671" s="51">
        <v>43328</v>
      </c>
      <c r="C671" s="32">
        <v>25.581600000000002</v>
      </c>
      <c r="D671" s="7">
        <v>889.88</v>
      </c>
      <c r="E671" s="49">
        <f t="shared" si="21"/>
        <v>8.8256867709344128E-3</v>
      </c>
      <c r="F671" s="49">
        <f t="shared" si="22"/>
        <v>2.1509735689268423E-3</v>
      </c>
    </row>
    <row r="672" spans="2:6">
      <c r="B672" s="51">
        <v>43329</v>
      </c>
      <c r="C672" s="32">
        <v>26.1036</v>
      </c>
      <c r="D672" s="7">
        <v>902.33</v>
      </c>
      <c r="E672" s="49">
        <f t="shared" si="21"/>
        <v>2.040529130312406E-2</v>
      </c>
      <c r="F672" s="49">
        <f t="shared" si="22"/>
        <v>1.3990650424776426E-2</v>
      </c>
    </row>
    <row r="673" spans="2:6">
      <c r="B673" s="51">
        <v>43332</v>
      </c>
      <c r="C673" s="32">
        <v>26.476500000000001</v>
      </c>
      <c r="D673" s="7">
        <v>904.31</v>
      </c>
      <c r="E673" s="49">
        <f t="shared" si="21"/>
        <v>1.428538592378068E-2</v>
      </c>
      <c r="F673" s="49">
        <f t="shared" si="22"/>
        <v>2.1943191515298222E-3</v>
      </c>
    </row>
    <row r="674" spans="2:6">
      <c r="B674" s="51">
        <v>43333</v>
      </c>
      <c r="C674" s="32">
        <v>26.923999999999999</v>
      </c>
      <c r="D674" s="7">
        <v>906.99</v>
      </c>
      <c r="E674" s="49">
        <f t="shared" si="21"/>
        <v>1.6901780824504675E-2</v>
      </c>
      <c r="F674" s="49">
        <f t="shared" si="22"/>
        <v>2.9635854961241872E-3</v>
      </c>
    </row>
    <row r="675" spans="2:6">
      <c r="B675" s="51">
        <v>43334</v>
      </c>
      <c r="C675" s="32">
        <v>26.923999999999999</v>
      </c>
      <c r="D675" s="7">
        <v>906.37</v>
      </c>
      <c r="E675" s="49">
        <f t="shared" si="21"/>
        <v>0</v>
      </c>
      <c r="F675" s="49">
        <f t="shared" si="22"/>
        <v>-6.8357975280874603E-4</v>
      </c>
    </row>
    <row r="676" spans="2:6">
      <c r="B676" s="51">
        <v>43335</v>
      </c>
      <c r="C676" s="32">
        <v>26.1036</v>
      </c>
      <c r="D676" s="7">
        <v>907.41</v>
      </c>
      <c r="E676" s="49">
        <f t="shared" si="21"/>
        <v>-3.047095528153318E-2</v>
      </c>
      <c r="F676" s="49">
        <f t="shared" si="22"/>
        <v>1.1474342707723816E-3</v>
      </c>
    </row>
    <row r="677" spans="2:6">
      <c r="B677" s="51">
        <v>43336</v>
      </c>
      <c r="C677" s="32">
        <v>26.1036</v>
      </c>
      <c r="D677" s="7">
        <v>912.45</v>
      </c>
      <c r="E677" s="49">
        <f t="shared" si="21"/>
        <v>0</v>
      </c>
      <c r="F677" s="49">
        <f t="shared" si="22"/>
        <v>5.5542698449433858E-3</v>
      </c>
    </row>
    <row r="678" spans="2:6">
      <c r="B678" s="51">
        <v>43339</v>
      </c>
      <c r="C678" s="32">
        <v>26.9986</v>
      </c>
      <c r="D678" s="7">
        <v>914.51</v>
      </c>
      <c r="E678" s="49">
        <f t="shared" si="21"/>
        <v>3.4286458572763891E-2</v>
      </c>
      <c r="F678" s="49">
        <f t="shared" si="22"/>
        <v>2.2576579538604257E-3</v>
      </c>
    </row>
    <row r="679" spans="2:6">
      <c r="B679" s="51">
        <v>43340</v>
      </c>
      <c r="C679" s="32">
        <v>26.849399999999999</v>
      </c>
      <c r="D679" s="7">
        <v>915.09</v>
      </c>
      <c r="E679" s="49">
        <f t="shared" si="21"/>
        <v>-5.5262124702762528E-3</v>
      </c>
      <c r="F679" s="49">
        <f t="shared" si="22"/>
        <v>6.3421941804905457E-4</v>
      </c>
    </row>
    <row r="680" spans="2:6">
      <c r="B680" s="51">
        <v>43341</v>
      </c>
      <c r="C680" s="32">
        <v>26.774899999999999</v>
      </c>
      <c r="D680" s="7">
        <v>912.41</v>
      </c>
      <c r="E680" s="49">
        <f t="shared" si="21"/>
        <v>-2.7747361207326963E-3</v>
      </c>
      <c r="F680" s="49">
        <f t="shared" si="22"/>
        <v>-2.9286736823701098E-3</v>
      </c>
    </row>
    <row r="681" spans="2:6">
      <c r="B681" s="51">
        <v>43342</v>
      </c>
      <c r="C681" s="32">
        <v>26.700299999999999</v>
      </c>
      <c r="D681" s="7">
        <v>906.69</v>
      </c>
      <c r="E681" s="49">
        <f t="shared" si="21"/>
        <v>-2.7861915450664698E-3</v>
      </c>
      <c r="F681" s="49">
        <f t="shared" si="22"/>
        <v>-6.2691114740083004E-3</v>
      </c>
    </row>
    <row r="682" spans="2:6">
      <c r="B682" s="51">
        <v>43343</v>
      </c>
      <c r="C682" s="32">
        <v>26.700299999999999</v>
      </c>
      <c r="D682" s="7">
        <v>908.59</v>
      </c>
      <c r="E682" s="49">
        <f t="shared" si="21"/>
        <v>0</v>
      </c>
      <c r="F682" s="49">
        <f t="shared" si="22"/>
        <v>2.0955343061023913E-3</v>
      </c>
    </row>
    <row r="683" spans="2:6">
      <c r="B683" s="51">
        <v>43346</v>
      </c>
      <c r="C683" s="32">
        <v>25.208600000000001</v>
      </c>
      <c r="D683" s="7">
        <v>904.9</v>
      </c>
      <c r="E683" s="49">
        <f t="shared" si="21"/>
        <v>-5.5868286124125872E-2</v>
      </c>
      <c r="F683" s="49">
        <f t="shared" si="22"/>
        <v>-4.0612377419958993E-3</v>
      </c>
    </row>
    <row r="684" spans="2:6">
      <c r="B684" s="51">
        <v>43347</v>
      </c>
      <c r="C684" s="32">
        <v>25.730699999999999</v>
      </c>
      <c r="D684" s="7">
        <v>897.91</v>
      </c>
      <c r="E684" s="49">
        <f t="shared" si="21"/>
        <v>2.0711185865141191E-2</v>
      </c>
      <c r="F684" s="49">
        <f t="shared" si="22"/>
        <v>-7.7246104541938438E-3</v>
      </c>
    </row>
    <row r="685" spans="2:6">
      <c r="B685" s="51">
        <v>43348</v>
      </c>
      <c r="C685" s="32">
        <v>25.581600000000002</v>
      </c>
      <c r="D685" s="7">
        <v>899.22</v>
      </c>
      <c r="E685" s="49">
        <f t="shared" si="21"/>
        <v>-5.7946344250252475E-3</v>
      </c>
      <c r="F685" s="49">
        <f t="shared" si="22"/>
        <v>1.4589435466806908E-3</v>
      </c>
    </row>
    <row r="686" spans="2:6">
      <c r="B686" s="51">
        <v>43349</v>
      </c>
      <c r="C686" s="32">
        <v>26.1036</v>
      </c>
      <c r="D686" s="7">
        <v>892.97</v>
      </c>
      <c r="E686" s="49">
        <f t="shared" si="21"/>
        <v>2.040529130312406E-2</v>
      </c>
      <c r="F686" s="49">
        <f t="shared" si="22"/>
        <v>-6.9504681835368424E-3</v>
      </c>
    </row>
    <row r="687" spans="2:6">
      <c r="B687" s="51">
        <v>43350</v>
      </c>
      <c r="C687" s="32">
        <v>26.0291</v>
      </c>
      <c r="D687" s="7">
        <v>897.11</v>
      </c>
      <c r="E687" s="49">
        <f t="shared" si="21"/>
        <v>-2.8540124733753371E-3</v>
      </c>
      <c r="F687" s="49">
        <f t="shared" si="22"/>
        <v>4.6362139825525898E-3</v>
      </c>
    </row>
    <row r="688" spans="2:6">
      <c r="B688" s="51">
        <v>43353</v>
      </c>
      <c r="C688" s="32">
        <v>25.730699999999999</v>
      </c>
      <c r="D688" s="7">
        <v>899.96</v>
      </c>
      <c r="E688" s="49">
        <f t="shared" si="21"/>
        <v>-1.146409211228974E-2</v>
      </c>
      <c r="F688" s="49">
        <f t="shared" si="22"/>
        <v>3.1768679426157579E-3</v>
      </c>
    </row>
    <row r="689" spans="2:6">
      <c r="B689" s="51">
        <v>43354</v>
      </c>
      <c r="C689" s="32">
        <v>26.1036</v>
      </c>
      <c r="D689" s="7">
        <v>906.2</v>
      </c>
      <c r="E689" s="49">
        <f t="shared" si="21"/>
        <v>1.4492415674661061E-2</v>
      </c>
      <c r="F689" s="49">
        <f t="shared" si="22"/>
        <v>6.9336414951775734E-3</v>
      </c>
    </row>
    <row r="690" spans="2:6">
      <c r="B690" s="51">
        <v>43355</v>
      </c>
      <c r="C690" s="32">
        <v>26.625699999999998</v>
      </c>
      <c r="D690" s="7">
        <v>905.82</v>
      </c>
      <c r="E690" s="49">
        <f t="shared" si="21"/>
        <v>2.0001072648983213E-2</v>
      </c>
      <c r="F690" s="49">
        <f t="shared" si="22"/>
        <v>-4.1933348046788285E-4</v>
      </c>
    </row>
    <row r="691" spans="2:6">
      <c r="B691" s="51">
        <v>43356</v>
      </c>
      <c r="C691" s="32">
        <v>26.700299999999999</v>
      </c>
      <c r="D691" s="7">
        <v>906.89</v>
      </c>
      <c r="E691" s="49">
        <f t="shared" si="21"/>
        <v>2.8018042718125804E-3</v>
      </c>
      <c r="F691" s="49">
        <f t="shared" si="22"/>
        <v>1.1812501379964411E-3</v>
      </c>
    </row>
    <row r="692" spans="2:6">
      <c r="B692" s="51">
        <v>43357</v>
      </c>
      <c r="C692" s="32">
        <v>26.700299999999999</v>
      </c>
      <c r="D692" s="7">
        <v>910.02</v>
      </c>
      <c r="E692" s="49">
        <f t="shared" si="21"/>
        <v>0</v>
      </c>
      <c r="F692" s="49">
        <f t="shared" si="22"/>
        <v>3.4513557322277183E-3</v>
      </c>
    </row>
    <row r="693" spans="2:6">
      <c r="B693" s="51">
        <v>43360</v>
      </c>
      <c r="C693" s="32">
        <v>26.476500000000001</v>
      </c>
      <c r="D693" s="7">
        <v>915.81</v>
      </c>
      <c r="E693" s="49">
        <f t="shared" si="21"/>
        <v>-8.3819282929404205E-3</v>
      </c>
      <c r="F693" s="49">
        <f t="shared" si="22"/>
        <v>6.3624975275268277E-3</v>
      </c>
    </row>
    <row r="694" spans="2:6">
      <c r="B694" s="51">
        <v>43361</v>
      </c>
      <c r="C694" s="32">
        <v>26.1036</v>
      </c>
      <c r="D694" s="7">
        <v>913.02</v>
      </c>
      <c r="E694" s="49">
        <f t="shared" si="21"/>
        <v>-1.4084187864710265E-2</v>
      </c>
      <c r="F694" s="49">
        <f t="shared" si="22"/>
        <v>-3.0464834408883545E-3</v>
      </c>
    </row>
    <row r="695" spans="2:6">
      <c r="B695" s="51">
        <v>43362</v>
      </c>
      <c r="C695" s="32">
        <v>26.1782</v>
      </c>
      <c r="D695" s="7">
        <v>917.97</v>
      </c>
      <c r="E695" s="49">
        <f t="shared" si="21"/>
        <v>2.8578433626013353E-3</v>
      </c>
      <c r="F695" s="49">
        <f t="shared" si="22"/>
        <v>5.42156798317676E-3</v>
      </c>
    </row>
    <row r="696" spans="2:6">
      <c r="B696" s="51">
        <v>43363</v>
      </c>
      <c r="C696" s="32">
        <v>26.774899999999999</v>
      </c>
      <c r="D696" s="7">
        <v>923.94</v>
      </c>
      <c r="E696" s="49">
        <f t="shared" si="21"/>
        <v>2.2793774973069135E-2</v>
      </c>
      <c r="F696" s="49">
        <f t="shared" si="22"/>
        <v>6.5034805058989155E-3</v>
      </c>
    </row>
    <row r="697" spans="2:6">
      <c r="B697" s="51">
        <v>43364</v>
      </c>
      <c r="C697" s="32">
        <v>26.774899999999999</v>
      </c>
      <c r="D697" s="7">
        <v>931.96</v>
      </c>
      <c r="E697" s="49">
        <f t="shared" si="21"/>
        <v>0</v>
      </c>
      <c r="F697" s="49">
        <f t="shared" si="22"/>
        <v>8.6802173301296411E-3</v>
      </c>
    </row>
    <row r="698" spans="2:6">
      <c r="B698" s="51">
        <v>43367</v>
      </c>
      <c r="C698" s="32">
        <v>26.625699999999998</v>
      </c>
      <c r="D698" s="7">
        <v>946.43</v>
      </c>
      <c r="E698" s="49">
        <f t="shared" si="21"/>
        <v>-5.5723830901329395E-3</v>
      </c>
      <c r="F698" s="49">
        <f t="shared" si="22"/>
        <v>1.5526417442808612E-2</v>
      </c>
    </row>
    <row r="699" spans="2:6">
      <c r="B699" s="51">
        <v>43368</v>
      </c>
      <c r="C699" s="32">
        <v>26.327400000000001</v>
      </c>
      <c r="D699" s="7">
        <v>941.54</v>
      </c>
      <c r="E699" s="49">
        <f t="shared" si="21"/>
        <v>-1.1203461317448839E-2</v>
      </c>
      <c r="F699" s="49">
        <f t="shared" si="22"/>
        <v>-5.1667846539099425E-3</v>
      </c>
    </row>
    <row r="700" spans="2:6">
      <c r="B700" s="51">
        <v>43369</v>
      </c>
      <c r="C700" s="32">
        <v>26.252800000000001</v>
      </c>
      <c r="D700" s="7">
        <v>941.6</v>
      </c>
      <c r="E700" s="49">
        <f t="shared" si="21"/>
        <v>-2.8335498378115657E-3</v>
      </c>
      <c r="F700" s="49">
        <f t="shared" si="22"/>
        <v>6.372538606969339E-5</v>
      </c>
    </row>
    <row r="701" spans="2:6">
      <c r="B701" s="51">
        <v>43370</v>
      </c>
      <c r="C701" s="32">
        <v>26.476500000000001</v>
      </c>
      <c r="D701" s="7">
        <v>938.26</v>
      </c>
      <c r="E701" s="49">
        <f t="shared" si="21"/>
        <v>8.5209958556801899E-3</v>
      </c>
      <c r="F701" s="49">
        <f t="shared" si="22"/>
        <v>-3.5471537807986744E-3</v>
      </c>
    </row>
    <row r="702" spans="2:6">
      <c r="B702" s="51">
        <v>43371</v>
      </c>
      <c r="C702" s="32">
        <v>26.849399999999999</v>
      </c>
      <c r="D702" s="7">
        <v>942.11</v>
      </c>
      <c r="E702" s="49">
        <f t="shared" si="21"/>
        <v>1.408418786471013E-2</v>
      </c>
      <c r="F702" s="49">
        <f t="shared" si="22"/>
        <v>4.1033402255238665E-3</v>
      </c>
    </row>
    <row r="703" spans="2:6">
      <c r="B703" s="51">
        <v>43374</v>
      </c>
      <c r="C703" s="32">
        <v>27.1478</v>
      </c>
      <c r="D703" s="7">
        <v>944.56</v>
      </c>
      <c r="E703" s="49">
        <f t="shared" si="21"/>
        <v>1.1113842394988376E-2</v>
      </c>
      <c r="F703" s="49">
        <f t="shared" si="22"/>
        <v>2.6005455838489472E-3</v>
      </c>
    </row>
    <row r="704" spans="2:6">
      <c r="B704" s="51">
        <v>43375</v>
      </c>
      <c r="C704" s="32">
        <v>27.1478</v>
      </c>
      <c r="D704" s="7">
        <v>940.3</v>
      </c>
      <c r="E704" s="49">
        <f t="shared" si="21"/>
        <v>0</v>
      </c>
      <c r="F704" s="49">
        <f t="shared" si="22"/>
        <v>-4.5100364190734221E-3</v>
      </c>
    </row>
    <row r="705" spans="2:6">
      <c r="B705" s="51">
        <v>43376</v>
      </c>
      <c r="C705" s="32">
        <v>26.625699999999998</v>
      </c>
      <c r="D705" s="7">
        <v>929.95</v>
      </c>
      <c r="E705" s="49">
        <f t="shared" si="21"/>
        <v>-1.9231760953005467E-2</v>
      </c>
      <c r="F705" s="49">
        <f t="shared" si="22"/>
        <v>-1.1007125385515164E-2</v>
      </c>
    </row>
    <row r="706" spans="2:6">
      <c r="B706" s="51">
        <v>43377</v>
      </c>
      <c r="C706" s="32">
        <v>26.402000000000001</v>
      </c>
      <c r="D706" s="7">
        <v>927.22</v>
      </c>
      <c r="E706" s="49">
        <f t="shared" si="21"/>
        <v>-8.4016570456362603E-3</v>
      </c>
      <c r="F706" s="49">
        <f t="shared" si="22"/>
        <v>-2.9356417011667489E-3</v>
      </c>
    </row>
    <row r="707" spans="2:6">
      <c r="B707" s="51">
        <v>43378</v>
      </c>
      <c r="C707" s="32">
        <v>25.805299999999999</v>
      </c>
      <c r="D707" s="7">
        <v>920.28</v>
      </c>
      <c r="E707" s="49">
        <f t="shared" si="21"/>
        <v>-2.2600560563593743E-2</v>
      </c>
      <c r="F707" s="49">
        <f t="shared" si="22"/>
        <v>-7.4847393283148057E-3</v>
      </c>
    </row>
    <row r="708" spans="2:6">
      <c r="B708" s="51">
        <v>43381</v>
      </c>
      <c r="C708" s="32">
        <v>26.1036</v>
      </c>
      <c r="D708" s="7">
        <v>923.91</v>
      </c>
      <c r="E708" s="49">
        <f t="shared" si="21"/>
        <v>1.155964084897293E-2</v>
      </c>
      <c r="F708" s="49">
        <f t="shared" si="22"/>
        <v>3.9444516886165031E-3</v>
      </c>
    </row>
    <row r="709" spans="2:6">
      <c r="B709" s="51">
        <v>43382</v>
      </c>
      <c r="C709" s="32">
        <v>26.252800000000001</v>
      </c>
      <c r="D709" s="7">
        <v>914.2</v>
      </c>
      <c r="E709" s="49">
        <f t="shared" si="21"/>
        <v>5.7156867252026707E-3</v>
      </c>
      <c r="F709" s="49">
        <f t="shared" si="22"/>
        <v>-1.0509681678951329E-2</v>
      </c>
    </row>
    <row r="710" spans="2:6">
      <c r="B710" s="51">
        <v>43383</v>
      </c>
      <c r="C710" s="32">
        <v>25.805299999999999</v>
      </c>
      <c r="D710" s="7">
        <v>890.91</v>
      </c>
      <c r="E710" s="49">
        <f t="shared" si="21"/>
        <v>-1.7045800828864029E-2</v>
      </c>
      <c r="F710" s="49">
        <f t="shared" si="22"/>
        <v>-2.5475825858674334E-2</v>
      </c>
    </row>
    <row r="711" spans="2:6">
      <c r="B711" s="51">
        <v>43384</v>
      </c>
      <c r="C711" s="32">
        <v>25.357800000000001</v>
      </c>
      <c r="D711" s="7">
        <v>893.54</v>
      </c>
      <c r="E711" s="49">
        <f t="shared" si="21"/>
        <v>-1.7341398859924046E-2</v>
      </c>
      <c r="F711" s="49">
        <f t="shared" si="22"/>
        <v>2.952037804043052E-3</v>
      </c>
    </row>
    <row r="712" spans="2:6">
      <c r="B712" s="51">
        <v>43385</v>
      </c>
      <c r="C712" s="32">
        <v>25.357800000000001</v>
      </c>
      <c r="D712" s="7">
        <v>893.81</v>
      </c>
      <c r="E712" s="49">
        <f t="shared" si="21"/>
        <v>0</v>
      </c>
      <c r="F712" s="49">
        <f t="shared" si="22"/>
        <v>3.0216890122432326E-4</v>
      </c>
    </row>
    <row r="713" spans="2:6">
      <c r="B713" s="51">
        <v>43388</v>
      </c>
      <c r="C713" s="32">
        <v>25.581600000000002</v>
      </c>
      <c r="D713" s="7">
        <v>904.42</v>
      </c>
      <c r="E713" s="49">
        <f t="shared" si="21"/>
        <v>8.8256867709344128E-3</v>
      </c>
      <c r="F713" s="49">
        <f t="shared" si="22"/>
        <v>1.1870531768496676E-2</v>
      </c>
    </row>
    <row r="714" spans="2:6">
      <c r="B714" s="51">
        <v>43389</v>
      </c>
      <c r="C714" s="32">
        <v>25.656099999999999</v>
      </c>
      <c r="D714" s="7">
        <v>903.39</v>
      </c>
      <c r="E714" s="49">
        <f t="shared" si="21"/>
        <v>2.912249429277172E-3</v>
      </c>
      <c r="F714" s="49">
        <f t="shared" si="22"/>
        <v>-1.1388514185886787E-3</v>
      </c>
    </row>
    <row r="715" spans="2:6">
      <c r="B715" s="51">
        <v>43390</v>
      </c>
      <c r="C715" s="32">
        <v>25.730699999999999</v>
      </c>
      <c r="D715" s="7">
        <v>890.53</v>
      </c>
      <c r="E715" s="49">
        <f t="shared" si="21"/>
        <v>2.9076905687146614E-3</v>
      </c>
      <c r="F715" s="49">
        <f t="shared" si="22"/>
        <v>-1.4235269374245912E-2</v>
      </c>
    </row>
    <row r="716" spans="2:6">
      <c r="B716" s="51">
        <v>43391</v>
      </c>
      <c r="C716" s="32">
        <v>25.954499999999999</v>
      </c>
      <c r="D716" s="7">
        <v>900.55</v>
      </c>
      <c r="E716" s="49">
        <f t="shared" si="21"/>
        <v>8.6977812496356749E-3</v>
      </c>
      <c r="F716" s="49">
        <f t="shared" si="22"/>
        <v>1.1251726499949448E-2</v>
      </c>
    </row>
    <row r="717" spans="2:6">
      <c r="B717" s="51">
        <v>43392</v>
      </c>
      <c r="C717" s="32">
        <v>25.357800000000001</v>
      </c>
      <c r="D717" s="7">
        <v>882.97</v>
      </c>
      <c r="E717" s="49">
        <f t="shared" si="21"/>
        <v>-2.2990232907588219E-2</v>
      </c>
      <c r="F717" s="49">
        <f t="shared" si="22"/>
        <v>-1.9521403586696937E-2</v>
      </c>
    </row>
    <row r="718" spans="2:6">
      <c r="B718" s="51">
        <v>43395</v>
      </c>
      <c r="C718" s="32">
        <v>25.507000000000001</v>
      </c>
      <c r="D718" s="7">
        <v>863.83</v>
      </c>
      <c r="E718" s="49">
        <f t="shared" si="21"/>
        <v>5.8837911806229421E-3</v>
      </c>
      <c r="F718" s="49">
        <f t="shared" si="22"/>
        <v>-2.167684066276316E-2</v>
      </c>
    </row>
    <row r="719" spans="2:6">
      <c r="B719" s="51">
        <v>43396</v>
      </c>
      <c r="C719" s="32">
        <v>25.357800000000001</v>
      </c>
      <c r="D719" s="7">
        <v>869.73</v>
      </c>
      <c r="E719" s="49">
        <f t="shared" ref="E719:E782" si="23">(C719-C718)/C718</f>
        <v>-5.8493746814600083E-3</v>
      </c>
      <c r="F719" s="49">
        <f t="shared" ref="F719:F782" si="24">(D719-D718)/D718</f>
        <v>6.8300475788059881E-3</v>
      </c>
    </row>
    <row r="720" spans="2:6">
      <c r="B720" s="51">
        <v>43397</v>
      </c>
      <c r="C720" s="32">
        <v>25.357800000000001</v>
      </c>
      <c r="D720" s="7">
        <v>873.48</v>
      </c>
      <c r="E720" s="49">
        <f t="shared" si="23"/>
        <v>0</v>
      </c>
      <c r="F720" s="49">
        <f t="shared" si="24"/>
        <v>4.3116829360836124E-3</v>
      </c>
    </row>
    <row r="721" spans="2:6">
      <c r="B721" s="51">
        <v>43398</v>
      </c>
      <c r="C721" s="32">
        <v>26.252800000000001</v>
      </c>
      <c r="D721" s="7">
        <v>862.8</v>
      </c>
      <c r="E721" s="49">
        <f t="shared" si="23"/>
        <v>3.529485996419246E-2</v>
      </c>
      <c r="F721" s="49">
        <f t="shared" si="24"/>
        <v>-1.2226954251957758E-2</v>
      </c>
    </row>
    <row r="722" spans="2:6">
      <c r="B722" s="51">
        <v>43399</v>
      </c>
      <c r="C722" s="32">
        <v>26.252800000000001</v>
      </c>
      <c r="D722" s="7">
        <v>875.78</v>
      </c>
      <c r="E722" s="49">
        <f t="shared" si="23"/>
        <v>0</v>
      </c>
      <c r="F722" s="49">
        <f t="shared" si="24"/>
        <v>1.5044042651831268E-2</v>
      </c>
    </row>
    <row r="723" spans="2:6">
      <c r="B723" s="51">
        <v>43402</v>
      </c>
      <c r="C723" s="32">
        <v>26.252800000000001</v>
      </c>
      <c r="D723" s="7">
        <v>868.85</v>
      </c>
      <c r="E723" s="49">
        <f t="shared" si="23"/>
        <v>0</v>
      </c>
      <c r="F723" s="49">
        <f t="shared" si="24"/>
        <v>-7.9129461736965334E-3</v>
      </c>
    </row>
    <row r="724" spans="2:6">
      <c r="B724" s="51">
        <v>43403</v>
      </c>
      <c r="C724" s="32">
        <v>28.341100000000001</v>
      </c>
      <c r="D724" s="7">
        <v>889.66</v>
      </c>
      <c r="E724" s="49">
        <f t="shared" si="23"/>
        <v>7.9545800828863977E-2</v>
      </c>
      <c r="F724" s="49">
        <f t="shared" si="24"/>
        <v>2.3951199861886339E-2</v>
      </c>
    </row>
    <row r="725" spans="2:6">
      <c r="B725" s="51">
        <v>43404</v>
      </c>
      <c r="C725" s="32">
        <v>27.818999999999999</v>
      </c>
      <c r="D725" s="7">
        <v>884.96</v>
      </c>
      <c r="E725" s="49">
        <f t="shared" si="23"/>
        <v>-1.8422009025761237E-2</v>
      </c>
      <c r="F725" s="49">
        <f t="shared" si="24"/>
        <v>-5.2829170694421827E-3</v>
      </c>
    </row>
    <row r="726" spans="2:6">
      <c r="B726" s="51">
        <v>43405</v>
      </c>
      <c r="C726" s="32">
        <v>27.744399999999999</v>
      </c>
      <c r="D726" s="7">
        <v>889.02</v>
      </c>
      <c r="E726" s="49">
        <f t="shared" si="23"/>
        <v>-2.6816204752147894E-3</v>
      </c>
      <c r="F726" s="49">
        <f t="shared" si="24"/>
        <v>4.5877779786656402E-3</v>
      </c>
    </row>
    <row r="727" spans="2:6">
      <c r="B727" s="51">
        <v>43406</v>
      </c>
      <c r="C727" s="32">
        <v>26.476500000000001</v>
      </c>
      <c r="D727" s="7">
        <v>893.59</v>
      </c>
      <c r="E727" s="49">
        <f t="shared" si="23"/>
        <v>-4.5699312293651956E-2</v>
      </c>
      <c r="F727" s="49">
        <f t="shared" si="24"/>
        <v>5.140491777462881E-3</v>
      </c>
    </row>
    <row r="728" spans="2:6">
      <c r="B728" s="51">
        <v>43409</v>
      </c>
      <c r="C728" s="32">
        <v>27.520700000000001</v>
      </c>
      <c r="D728" s="7">
        <v>890.91</v>
      </c>
      <c r="E728" s="49">
        <f t="shared" si="23"/>
        <v>3.9438747568598567E-2</v>
      </c>
      <c r="F728" s="49">
        <f t="shared" si="24"/>
        <v>-2.999138307277458E-3</v>
      </c>
    </row>
    <row r="729" spans="2:6">
      <c r="B729" s="51">
        <v>43410</v>
      </c>
      <c r="C729" s="32">
        <v>27.371500000000001</v>
      </c>
      <c r="D729" s="7">
        <v>895.61</v>
      </c>
      <c r="E729" s="49">
        <f t="shared" si="23"/>
        <v>-5.4213737295926495E-3</v>
      </c>
      <c r="F729" s="49">
        <f t="shared" si="24"/>
        <v>5.2755048209134989E-3</v>
      </c>
    </row>
    <row r="730" spans="2:6">
      <c r="B730" s="51">
        <v>43411</v>
      </c>
      <c r="C730" s="32">
        <v>27.0732</v>
      </c>
      <c r="D730" s="7">
        <v>892.49</v>
      </c>
      <c r="E730" s="49">
        <f t="shared" si="23"/>
        <v>-1.089819702975727E-2</v>
      </c>
      <c r="F730" s="49">
        <f t="shared" si="24"/>
        <v>-3.4836591820100317E-3</v>
      </c>
    </row>
    <row r="731" spans="2:6">
      <c r="B731" s="51">
        <v>43412</v>
      </c>
      <c r="C731" s="32">
        <v>26.476500000000001</v>
      </c>
      <c r="D731" s="7">
        <v>886.44</v>
      </c>
      <c r="E731" s="49">
        <f t="shared" si="23"/>
        <v>-2.2040246442976762E-2</v>
      </c>
      <c r="F731" s="49">
        <f t="shared" si="24"/>
        <v>-6.7787874373942056E-3</v>
      </c>
    </row>
    <row r="732" spans="2:6">
      <c r="B732" s="51">
        <v>43413</v>
      </c>
      <c r="C732" s="32">
        <v>27.0732</v>
      </c>
      <c r="D732" s="7">
        <v>886.62</v>
      </c>
      <c r="E732" s="49">
        <f t="shared" si="23"/>
        <v>2.2536966744093761E-2</v>
      </c>
      <c r="F732" s="49">
        <f t="shared" si="24"/>
        <v>2.0305942872608408E-4</v>
      </c>
    </row>
    <row r="733" spans="2:6">
      <c r="B733" s="51">
        <v>43416</v>
      </c>
      <c r="C733" s="32">
        <v>27.0732</v>
      </c>
      <c r="D733" s="7">
        <v>875.43</v>
      </c>
      <c r="E733" s="49">
        <f t="shared" si="23"/>
        <v>0</v>
      </c>
      <c r="F733" s="49">
        <f t="shared" si="24"/>
        <v>-1.2620965013196244E-2</v>
      </c>
    </row>
    <row r="734" spans="2:6">
      <c r="B734" s="51">
        <v>43417</v>
      </c>
      <c r="C734" s="32">
        <v>27.0732</v>
      </c>
      <c r="D734" s="7">
        <v>871.08</v>
      </c>
      <c r="E734" s="49">
        <f t="shared" si="23"/>
        <v>0</v>
      </c>
      <c r="F734" s="49">
        <f t="shared" si="24"/>
        <v>-4.9689866694080731E-3</v>
      </c>
    </row>
    <row r="735" spans="2:6">
      <c r="B735" s="51">
        <v>43418</v>
      </c>
      <c r="C735" s="32">
        <v>27.371500000000001</v>
      </c>
      <c r="D735" s="7">
        <v>864.74</v>
      </c>
      <c r="E735" s="49">
        <f t="shared" si="23"/>
        <v>1.1018276376638193E-2</v>
      </c>
      <c r="F735" s="49">
        <f t="shared" si="24"/>
        <v>-7.2783211645314223E-3</v>
      </c>
    </row>
    <row r="736" spans="2:6">
      <c r="B736" s="51">
        <v>43419</v>
      </c>
      <c r="C736" s="32">
        <v>27.0732</v>
      </c>
      <c r="D736" s="7">
        <v>872.61</v>
      </c>
      <c r="E736" s="49">
        <f t="shared" si="23"/>
        <v>-1.089819702975727E-2</v>
      </c>
      <c r="F736" s="49">
        <f t="shared" si="24"/>
        <v>9.1010014570853722E-3</v>
      </c>
    </row>
    <row r="737" spans="2:6">
      <c r="B737" s="51">
        <v>43420</v>
      </c>
      <c r="C737" s="32">
        <v>28.0428</v>
      </c>
      <c r="D737" s="7">
        <v>865.36</v>
      </c>
      <c r="E737" s="49">
        <f t="shared" si="23"/>
        <v>3.5814015336199628E-2</v>
      </c>
      <c r="F737" s="49">
        <f t="shared" si="24"/>
        <v>-8.3084081090063142E-3</v>
      </c>
    </row>
    <row r="738" spans="2:6">
      <c r="B738" s="51">
        <v>43423</v>
      </c>
      <c r="C738" s="32">
        <v>28.0428</v>
      </c>
      <c r="D738" s="7">
        <v>841.26</v>
      </c>
      <c r="E738" s="49">
        <f t="shared" si="23"/>
        <v>0</v>
      </c>
      <c r="F738" s="49">
        <f t="shared" si="24"/>
        <v>-2.7849681057594552E-2</v>
      </c>
    </row>
    <row r="739" spans="2:6">
      <c r="B739" s="51">
        <v>43424</v>
      </c>
      <c r="C739" s="32">
        <v>29.660599999999999</v>
      </c>
      <c r="D739" s="7">
        <v>854.87</v>
      </c>
      <c r="E739" s="49">
        <f t="shared" si="23"/>
        <v>5.7690387550458549E-2</v>
      </c>
      <c r="F739" s="49">
        <f t="shared" si="24"/>
        <v>1.6178113781708407E-2</v>
      </c>
    </row>
    <row r="740" spans="2:6">
      <c r="B740" s="51">
        <v>43425</v>
      </c>
      <c r="C740" s="32">
        <v>29.0245</v>
      </c>
      <c r="D740" s="7">
        <v>849.04</v>
      </c>
      <c r="E740" s="49">
        <f t="shared" si="23"/>
        <v>-2.1445958611761025E-2</v>
      </c>
      <c r="F740" s="49">
        <f t="shared" si="24"/>
        <v>-6.8197503714015478E-3</v>
      </c>
    </row>
    <row r="741" spans="2:6">
      <c r="B741" s="51">
        <v>43426</v>
      </c>
      <c r="C741" s="32">
        <v>28.626899999999999</v>
      </c>
      <c r="D741" s="7">
        <v>837.14</v>
      </c>
      <c r="E741" s="49">
        <f t="shared" si="23"/>
        <v>-1.3698771727333825E-2</v>
      </c>
      <c r="F741" s="49">
        <f t="shared" si="24"/>
        <v>-1.4015829642890769E-2</v>
      </c>
    </row>
    <row r="742" spans="2:6">
      <c r="B742" s="51">
        <v>43427</v>
      </c>
      <c r="C742" s="32">
        <v>29.342500000000001</v>
      </c>
      <c r="D742" s="7">
        <v>852.84</v>
      </c>
      <c r="E742" s="49">
        <f t="shared" si="23"/>
        <v>2.4997467417009946E-2</v>
      </c>
      <c r="F742" s="49">
        <f t="shared" si="24"/>
        <v>1.8754330219557119E-2</v>
      </c>
    </row>
    <row r="743" spans="2:6">
      <c r="B743" s="51">
        <v>43430</v>
      </c>
      <c r="C743" s="32">
        <v>29.5016</v>
      </c>
      <c r="D743" s="7">
        <v>856.77</v>
      </c>
      <c r="E743" s="49">
        <f t="shared" si="23"/>
        <v>5.4221692084859396E-3</v>
      </c>
      <c r="F743" s="49">
        <f t="shared" si="24"/>
        <v>4.6081328267904295E-3</v>
      </c>
    </row>
    <row r="744" spans="2:6">
      <c r="B744" s="51">
        <v>43431</v>
      </c>
      <c r="C744" s="32">
        <v>29.103999999999999</v>
      </c>
      <c r="D744" s="7">
        <v>854.46</v>
      </c>
      <c r="E744" s="49">
        <f t="shared" si="23"/>
        <v>-1.3477235133009757E-2</v>
      </c>
      <c r="F744" s="49">
        <f t="shared" si="24"/>
        <v>-2.6961728351832413E-3</v>
      </c>
    </row>
    <row r="745" spans="2:6">
      <c r="B745" s="51">
        <v>43432</v>
      </c>
      <c r="C745" s="32">
        <v>28.626899999999999</v>
      </c>
      <c r="D745" s="7">
        <v>861.78</v>
      </c>
      <c r="E745" s="49">
        <f t="shared" si="23"/>
        <v>-1.6392935678944478E-2</v>
      </c>
      <c r="F745" s="49">
        <f t="shared" si="24"/>
        <v>8.5668141282212572E-3</v>
      </c>
    </row>
    <row r="746" spans="2:6">
      <c r="B746" s="51">
        <v>43433</v>
      </c>
      <c r="C746" s="32">
        <v>28.626899999999999</v>
      </c>
      <c r="D746" s="7">
        <v>860.98</v>
      </c>
      <c r="E746" s="49">
        <f t="shared" si="23"/>
        <v>0</v>
      </c>
      <c r="F746" s="49">
        <f t="shared" si="24"/>
        <v>-9.2831116990409917E-4</v>
      </c>
    </row>
    <row r="747" spans="2:6">
      <c r="B747" s="51">
        <v>43434</v>
      </c>
      <c r="C747" s="32">
        <v>29.4221</v>
      </c>
      <c r="D747" s="7">
        <v>874.42</v>
      </c>
      <c r="E747" s="49">
        <f t="shared" si="23"/>
        <v>2.777806887927094E-2</v>
      </c>
      <c r="F747" s="49">
        <f t="shared" si="24"/>
        <v>1.5610118701944228E-2</v>
      </c>
    </row>
    <row r="748" spans="2:6">
      <c r="B748" s="51">
        <v>43437</v>
      </c>
      <c r="C748" s="32">
        <v>29.4221</v>
      </c>
      <c r="D748" s="7">
        <v>870</v>
      </c>
      <c r="E748" s="49">
        <f t="shared" si="23"/>
        <v>0</v>
      </c>
      <c r="F748" s="49">
        <f t="shared" si="24"/>
        <v>-5.0547791679055364E-3</v>
      </c>
    </row>
    <row r="749" spans="2:6">
      <c r="B749" s="51">
        <v>43438</v>
      </c>
      <c r="C749" s="32">
        <v>29.4221</v>
      </c>
      <c r="D749" s="7">
        <v>858.14</v>
      </c>
      <c r="E749" s="49">
        <f t="shared" si="23"/>
        <v>0</v>
      </c>
      <c r="F749" s="49">
        <f t="shared" si="24"/>
        <v>-1.3632183908045993E-2</v>
      </c>
    </row>
    <row r="750" spans="2:6">
      <c r="B750" s="51">
        <v>43439</v>
      </c>
      <c r="C750" s="32">
        <v>28.4678</v>
      </c>
      <c r="D750" s="7">
        <v>825.96</v>
      </c>
      <c r="E750" s="49">
        <f t="shared" si="23"/>
        <v>-3.2434802410432971E-2</v>
      </c>
      <c r="F750" s="49">
        <f t="shared" si="24"/>
        <v>-3.7499708672244565E-2</v>
      </c>
    </row>
    <row r="751" spans="2:6">
      <c r="B751" s="51">
        <v>43440</v>
      </c>
      <c r="C751" s="32">
        <v>28.4678</v>
      </c>
      <c r="D751" s="7">
        <v>844.15</v>
      </c>
      <c r="E751" s="49">
        <f t="shared" si="23"/>
        <v>0</v>
      </c>
      <c r="F751" s="49">
        <f t="shared" si="24"/>
        <v>2.2022858249794105E-2</v>
      </c>
    </row>
    <row r="752" spans="2:6">
      <c r="B752" s="51">
        <v>43441</v>
      </c>
      <c r="C752" s="32">
        <v>28.5473</v>
      </c>
      <c r="D752" s="7">
        <v>823.61</v>
      </c>
      <c r="E752" s="49">
        <f t="shared" si="23"/>
        <v>2.7926288648929477E-3</v>
      </c>
      <c r="F752" s="49">
        <f t="shared" si="24"/>
        <v>-2.4332168453473867E-2</v>
      </c>
    </row>
    <row r="753" spans="2:6">
      <c r="B753" s="51">
        <v>43444</v>
      </c>
      <c r="C753" s="32">
        <v>28.308800000000002</v>
      </c>
      <c r="D753" s="7">
        <v>834.81</v>
      </c>
      <c r="E753" s="49">
        <f t="shared" si="23"/>
        <v>-8.3545554220538672E-3</v>
      </c>
      <c r="F753" s="49">
        <f t="shared" si="24"/>
        <v>1.3598669273078194E-2</v>
      </c>
    </row>
    <row r="754" spans="2:6">
      <c r="B754" s="51">
        <v>43445</v>
      </c>
      <c r="C754" s="32">
        <v>28.4678</v>
      </c>
      <c r="D754" s="7">
        <v>844.6</v>
      </c>
      <c r="E754" s="49">
        <f t="shared" si="23"/>
        <v>5.6166280449895054E-3</v>
      </c>
      <c r="F754" s="49">
        <f t="shared" si="24"/>
        <v>1.1727219367281272E-2</v>
      </c>
    </row>
    <row r="755" spans="2:6">
      <c r="B755" s="51">
        <v>43446</v>
      </c>
      <c r="C755" s="32">
        <v>28.4678</v>
      </c>
      <c r="D755" s="7">
        <v>838.67</v>
      </c>
      <c r="E755" s="49">
        <f t="shared" si="23"/>
        <v>0</v>
      </c>
      <c r="F755" s="49">
        <f t="shared" si="24"/>
        <v>-7.0210750651196587E-3</v>
      </c>
    </row>
    <row r="756" spans="2:6">
      <c r="B756" s="51">
        <v>43447</v>
      </c>
      <c r="C756" s="32">
        <v>29.0245</v>
      </c>
      <c r="D756" s="7">
        <v>830.76</v>
      </c>
      <c r="E756" s="49">
        <f t="shared" si="23"/>
        <v>1.9555427535671858E-2</v>
      </c>
      <c r="F756" s="49">
        <f t="shared" si="24"/>
        <v>-9.4316000333861567E-3</v>
      </c>
    </row>
    <row r="757" spans="2:6">
      <c r="B757" s="51">
        <v>43448</v>
      </c>
      <c r="C757" s="32">
        <v>28.308800000000002</v>
      </c>
      <c r="D757" s="7">
        <v>819.83</v>
      </c>
      <c r="E757" s="49">
        <f t="shared" si="23"/>
        <v>-2.4658478182225302E-2</v>
      </c>
      <c r="F757" s="49">
        <f t="shared" si="24"/>
        <v>-1.3156627666233269E-2</v>
      </c>
    </row>
    <row r="758" spans="2:6">
      <c r="B758" s="51">
        <v>43451</v>
      </c>
      <c r="C758" s="32">
        <v>28.626899999999999</v>
      </c>
      <c r="D758" s="7">
        <v>816.65</v>
      </c>
      <c r="E758" s="49">
        <f t="shared" si="23"/>
        <v>1.1236788560447549E-2</v>
      </c>
      <c r="F758" s="49">
        <f t="shared" si="24"/>
        <v>-3.8788529329251962E-3</v>
      </c>
    </row>
    <row r="759" spans="2:6">
      <c r="B759" s="51">
        <v>43452</v>
      </c>
      <c r="C759" s="32">
        <v>28.0702</v>
      </c>
      <c r="D759" s="7">
        <v>824.99</v>
      </c>
      <c r="E759" s="49">
        <f t="shared" si="23"/>
        <v>-1.944674414624005E-2</v>
      </c>
      <c r="F759" s="49">
        <f t="shared" si="24"/>
        <v>1.0212453315373822E-2</v>
      </c>
    </row>
    <row r="760" spans="2:6">
      <c r="B760" s="51">
        <v>43453</v>
      </c>
      <c r="C760" s="32">
        <v>28.149699999999999</v>
      </c>
      <c r="D760" s="7">
        <v>804.24</v>
      </c>
      <c r="E760" s="49">
        <f t="shared" si="23"/>
        <v>2.8321850218380865E-3</v>
      </c>
      <c r="F760" s="49">
        <f t="shared" si="24"/>
        <v>-2.5151820022060872E-2</v>
      </c>
    </row>
    <row r="761" spans="2:6">
      <c r="B761" s="51">
        <v>43454</v>
      </c>
      <c r="C761" s="32">
        <v>29.0245</v>
      </c>
      <c r="D761" s="7">
        <v>803.96</v>
      </c>
      <c r="E761" s="49">
        <f t="shared" si="23"/>
        <v>3.1076707744665148E-2</v>
      </c>
      <c r="F761" s="49">
        <f t="shared" si="24"/>
        <v>-3.4815477966772696E-4</v>
      </c>
    </row>
    <row r="762" spans="2:6">
      <c r="B762" s="51">
        <v>43455</v>
      </c>
      <c r="C762" s="32">
        <v>27.9907</v>
      </c>
      <c r="D762" s="7">
        <v>783.61</v>
      </c>
      <c r="E762" s="49">
        <f t="shared" si="23"/>
        <v>-3.5618184637116898E-2</v>
      </c>
      <c r="F762" s="49">
        <f t="shared" si="24"/>
        <v>-2.5312204587292927E-2</v>
      </c>
    </row>
    <row r="763" spans="2:6">
      <c r="B763" s="51">
        <v>43461</v>
      </c>
      <c r="C763" s="32">
        <v>27.831700000000001</v>
      </c>
      <c r="D763" s="7">
        <v>799.46</v>
      </c>
      <c r="E763" s="49">
        <f t="shared" si="23"/>
        <v>-5.6804581521719324E-3</v>
      </c>
      <c r="F763" s="49">
        <f t="shared" si="24"/>
        <v>2.0226898584755199E-2</v>
      </c>
    </row>
    <row r="764" spans="2:6">
      <c r="B764" s="51">
        <v>43467</v>
      </c>
      <c r="C764" s="32">
        <v>28.229299999999999</v>
      </c>
      <c r="D764" s="7">
        <v>808.68</v>
      </c>
      <c r="E764" s="49">
        <f t="shared" si="23"/>
        <v>1.4285868272509298E-2</v>
      </c>
      <c r="F764" s="49">
        <f t="shared" si="24"/>
        <v>1.1532784629624888E-2</v>
      </c>
    </row>
    <row r="765" spans="2:6">
      <c r="B765" s="51">
        <v>43468</v>
      </c>
      <c r="C765" s="32">
        <v>29.581099999999999</v>
      </c>
      <c r="D765" s="7">
        <v>829.67</v>
      </c>
      <c r="E765" s="49">
        <f t="shared" si="23"/>
        <v>4.7886415887039381E-2</v>
      </c>
      <c r="F765" s="49">
        <f t="shared" si="24"/>
        <v>2.5955878715932149E-2</v>
      </c>
    </row>
    <row r="766" spans="2:6">
      <c r="B766" s="51">
        <v>43469</v>
      </c>
      <c r="C766" s="32">
        <v>28.5473</v>
      </c>
      <c r="D766" s="7">
        <v>829.93</v>
      </c>
      <c r="E766" s="49">
        <f t="shared" si="23"/>
        <v>-3.4947990439841634E-2</v>
      </c>
      <c r="F766" s="49">
        <f t="shared" si="24"/>
        <v>3.1337760796460151E-4</v>
      </c>
    </row>
    <row r="767" spans="2:6">
      <c r="B767" s="51">
        <v>43472</v>
      </c>
      <c r="C767" s="32">
        <v>29.183499999999999</v>
      </c>
      <c r="D767" s="7">
        <v>836.4</v>
      </c>
      <c r="E767" s="49">
        <f t="shared" si="23"/>
        <v>2.2285820375306905E-2</v>
      </c>
      <c r="F767" s="49">
        <f t="shared" si="24"/>
        <v>7.7958382032219916E-3</v>
      </c>
    </row>
    <row r="768" spans="2:6">
      <c r="B768" s="51">
        <v>43473</v>
      </c>
      <c r="C768" s="32">
        <v>29.819600000000001</v>
      </c>
      <c r="D768" s="7">
        <v>844.58</v>
      </c>
      <c r="E768" s="49">
        <f t="shared" si="23"/>
        <v>2.1796563126424265E-2</v>
      </c>
      <c r="F768" s="49">
        <f t="shared" si="24"/>
        <v>9.7800095648016075E-3</v>
      </c>
    </row>
    <row r="769" spans="2:6">
      <c r="B769" s="51">
        <v>43474</v>
      </c>
      <c r="C769" s="32">
        <v>29.342500000000001</v>
      </c>
      <c r="D769" s="7">
        <v>841.66</v>
      </c>
      <c r="E769" s="49">
        <f t="shared" si="23"/>
        <v>-1.599954392413044E-2</v>
      </c>
      <c r="F769" s="49">
        <f t="shared" si="24"/>
        <v>-3.4573397428308422E-3</v>
      </c>
    </row>
    <row r="770" spans="2:6">
      <c r="B770" s="51">
        <v>43475</v>
      </c>
      <c r="C770" s="32">
        <v>29.342500000000001</v>
      </c>
      <c r="D770" s="7">
        <v>841.4</v>
      </c>
      <c r="E770" s="49">
        <f t="shared" si="23"/>
        <v>0</v>
      </c>
      <c r="F770" s="49">
        <f t="shared" si="24"/>
        <v>-3.0891333792741832E-4</v>
      </c>
    </row>
    <row r="771" spans="2:6">
      <c r="B771" s="51">
        <v>43476</v>
      </c>
      <c r="C771" s="32">
        <v>29.4221</v>
      </c>
      <c r="D771" s="7">
        <v>836.72</v>
      </c>
      <c r="E771" s="49">
        <f t="shared" si="23"/>
        <v>2.7127886171934641E-3</v>
      </c>
      <c r="F771" s="49">
        <f t="shared" si="24"/>
        <v>-5.5621583075825412E-3</v>
      </c>
    </row>
    <row r="772" spans="2:6">
      <c r="B772" s="51">
        <v>43479</v>
      </c>
      <c r="C772" s="32">
        <v>29.4221</v>
      </c>
      <c r="D772" s="7">
        <v>838.51</v>
      </c>
      <c r="E772" s="49">
        <f t="shared" si="23"/>
        <v>0</v>
      </c>
      <c r="F772" s="49">
        <f t="shared" si="24"/>
        <v>2.13930586098093E-3</v>
      </c>
    </row>
    <row r="773" spans="2:6">
      <c r="B773" s="51">
        <v>43480</v>
      </c>
      <c r="C773" s="32">
        <v>29.0245</v>
      </c>
      <c r="D773" s="7">
        <v>840.21</v>
      </c>
      <c r="E773" s="49">
        <f t="shared" si="23"/>
        <v>-1.351365130293217E-2</v>
      </c>
      <c r="F773" s="49">
        <f t="shared" si="24"/>
        <v>2.0274057554472164E-3</v>
      </c>
    </row>
    <row r="774" spans="2:6">
      <c r="B774" s="51">
        <v>43481</v>
      </c>
      <c r="C774" s="32">
        <v>29.342500000000001</v>
      </c>
      <c r="D774" s="7">
        <v>839.58</v>
      </c>
      <c r="E774" s="49">
        <f t="shared" si="23"/>
        <v>1.0956261089769036E-2</v>
      </c>
      <c r="F774" s="49">
        <f t="shared" si="24"/>
        <v>-7.4981254686327871E-4</v>
      </c>
    </row>
    <row r="775" spans="2:6">
      <c r="B775" s="51">
        <v>43482</v>
      </c>
      <c r="C775" s="32">
        <v>29.342500000000001</v>
      </c>
      <c r="D775" s="7">
        <v>853.84</v>
      </c>
      <c r="E775" s="49">
        <f t="shared" si="23"/>
        <v>0</v>
      </c>
      <c r="F775" s="49">
        <f t="shared" si="24"/>
        <v>1.6984682817599264E-2</v>
      </c>
    </row>
    <row r="776" spans="2:6">
      <c r="B776" s="51">
        <v>43483</v>
      </c>
      <c r="C776" s="32">
        <v>29.342500000000001</v>
      </c>
      <c r="D776" s="7">
        <v>854.98</v>
      </c>
      <c r="E776" s="49">
        <f t="shared" si="23"/>
        <v>0</v>
      </c>
      <c r="F776" s="49">
        <f t="shared" si="24"/>
        <v>1.3351447578000401E-3</v>
      </c>
    </row>
    <row r="777" spans="2:6">
      <c r="B777" s="51">
        <v>43486</v>
      </c>
      <c r="C777" s="32">
        <v>28.865400000000001</v>
      </c>
      <c r="D777" s="7">
        <v>846.94</v>
      </c>
      <c r="E777" s="49">
        <f t="shared" si="23"/>
        <v>-1.6259691573655963E-2</v>
      </c>
      <c r="F777" s="49">
        <f t="shared" si="24"/>
        <v>-9.403728742192757E-3</v>
      </c>
    </row>
    <row r="778" spans="2:6">
      <c r="B778" s="51">
        <v>43487</v>
      </c>
      <c r="C778" s="32">
        <v>29.0245</v>
      </c>
      <c r="D778" s="7">
        <v>842.52</v>
      </c>
      <c r="E778" s="49">
        <f t="shared" si="23"/>
        <v>5.5117892009117729E-3</v>
      </c>
      <c r="F778" s="49">
        <f t="shared" si="24"/>
        <v>-5.2187876354878411E-3</v>
      </c>
    </row>
    <row r="779" spans="2:6">
      <c r="B779" s="51">
        <v>43488</v>
      </c>
      <c r="C779" s="32">
        <v>29.0245</v>
      </c>
      <c r="D779" s="7">
        <v>839.36</v>
      </c>
      <c r="E779" s="49">
        <f t="shared" si="23"/>
        <v>0</v>
      </c>
      <c r="F779" s="49">
        <f t="shared" si="24"/>
        <v>-3.7506528034942413E-3</v>
      </c>
    </row>
    <row r="780" spans="2:6">
      <c r="B780" s="51">
        <v>43489</v>
      </c>
      <c r="C780" s="32">
        <v>29.4221</v>
      </c>
      <c r="D780" s="7">
        <v>836.96</v>
      </c>
      <c r="E780" s="49">
        <f t="shared" si="23"/>
        <v>1.3698771727333825E-2</v>
      </c>
      <c r="F780" s="49">
        <f t="shared" si="24"/>
        <v>-2.8593213877239529E-3</v>
      </c>
    </row>
    <row r="781" spans="2:6">
      <c r="B781" s="51">
        <v>43490</v>
      </c>
      <c r="C781" s="32">
        <v>29.0245</v>
      </c>
      <c r="D781" s="7">
        <v>828.11</v>
      </c>
      <c r="E781" s="49">
        <f t="shared" si="23"/>
        <v>-1.351365130293217E-2</v>
      </c>
      <c r="F781" s="49">
        <f t="shared" si="24"/>
        <v>-1.0573982030204576E-2</v>
      </c>
    </row>
    <row r="782" spans="2:6">
      <c r="B782" s="51">
        <v>43493</v>
      </c>
      <c r="C782" s="32">
        <v>29.342500000000001</v>
      </c>
      <c r="D782" s="7">
        <v>834.86</v>
      </c>
      <c r="E782" s="49">
        <f t="shared" si="23"/>
        <v>1.0956261089769036E-2</v>
      </c>
      <c r="F782" s="49">
        <f t="shared" si="24"/>
        <v>8.151091038630133E-3</v>
      </c>
    </row>
    <row r="783" spans="2:6">
      <c r="B783" s="51">
        <v>43494</v>
      </c>
      <c r="C783" s="32">
        <v>29.342500000000001</v>
      </c>
      <c r="D783" s="7">
        <v>834.73</v>
      </c>
      <c r="E783" s="49">
        <f t="shared" ref="E783:E846" si="25">(C783-C782)/C782</f>
        <v>0</v>
      </c>
      <c r="F783" s="49">
        <f t="shared" ref="F783:F846" si="26">(D783-D782)/D782</f>
        <v>-1.557147306135106E-4</v>
      </c>
    </row>
    <row r="784" spans="2:6">
      <c r="B784" s="51">
        <v>43495</v>
      </c>
      <c r="C784" s="32">
        <v>29.4221</v>
      </c>
      <c r="D784" s="7">
        <v>835.31</v>
      </c>
      <c r="E784" s="49">
        <f t="shared" si="25"/>
        <v>2.7127886171934641E-3</v>
      </c>
      <c r="F784" s="49">
        <f t="shared" si="26"/>
        <v>6.9483545577603203E-4</v>
      </c>
    </row>
    <row r="785" spans="2:6">
      <c r="B785" s="51">
        <v>43496</v>
      </c>
      <c r="C785" s="32">
        <v>29.819600000000001</v>
      </c>
      <c r="D785" s="7">
        <v>837.32</v>
      </c>
      <c r="E785" s="49">
        <f t="shared" si="25"/>
        <v>1.3510252497272487E-2</v>
      </c>
      <c r="F785" s="49">
        <f t="shared" si="26"/>
        <v>2.4062922747244793E-3</v>
      </c>
    </row>
    <row r="786" spans="2:6">
      <c r="B786" s="51">
        <v>43497</v>
      </c>
      <c r="C786" s="32">
        <v>29.819600000000001</v>
      </c>
      <c r="D786" s="7">
        <v>839.02</v>
      </c>
      <c r="E786" s="49">
        <f t="shared" si="25"/>
        <v>0</v>
      </c>
      <c r="F786" s="49">
        <f t="shared" si="26"/>
        <v>2.0302871064825055E-3</v>
      </c>
    </row>
    <row r="787" spans="2:6">
      <c r="B787" s="51">
        <v>43500</v>
      </c>
      <c r="C787" s="32">
        <v>30.853400000000001</v>
      </c>
      <c r="D787" s="7">
        <v>853.64</v>
      </c>
      <c r="E787" s="49">
        <f t="shared" si="25"/>
        <v>3.4668473084816673E-2</v>
      </c>
      <c r="F787" s="49">
        <f t="shared" si="26"/>
        <v>1.7425091177802679E-2</v>
      </c>
    </row>
    <row r="788" spans="2:6">
      <c r="B788" s="51">
        <v>43501</v>
      </c>
      <c r="C788" s="32">
        <v>30.773900000000001</v>
      </c>
      <c r="D788" s="7">
        <v>849.13</v>
      </c>
      <c r="E788" s="49">
        <f t="shared" si="25"/>
        <v>-2.5767014332293836E-3</v>
      </c>
      <c r="F788" s="49">
        <f t="shared" si="26"/>
        <v>-5.2832575793074262E-3</v>
      </c>
    </row>
    <row r="789" spans="2:6">
      <c r="B789" s="51">
        <v>43502</v>
      </c>
      <c r="C789" s="32">
        <v>30.773900000000001</v>
      </c>
      <c r="D789" s="7">
        <v>846.87</v>
      </c>
      <c r="E789" s="49">
        <f t="shared" si="25"/>
        <v>0</v>
      </c>
      <c r="F789" s="49">
        <f t="shared" si="26"/>
        <v>-2.6615477017653258E-3</v>
      </c>
    </row>
    <row r="790" spans="2:6">
      <c r="B790" s="51">
        <v>43503</v>
      </c>
      <c r="C790" s="32">
        <v>30.773900000000001</v>
      </c>
      <c r="D790" s="7">
        <v>831.17</v>
      </c>
      <c r="E790" s="49">
        <f t="shared" si="25"/>
        <v>0</v>
      </c>
      <c r="F790" s="49">
        <f t="shared" si="26"/>
        <v>-1.853885484194746E-2</v>
      </c>
    </row>
    <row r="791" spans="2:6">
      <c r="B791" s="51">
        <v>43504</v>
      </c>
      <c r="C791" s="32">
        <v>31.0124</v>
      </c>
      <c r="D791" s="7">
        <v>836.27</v>
      </c>
      <c r="E791" s="49">
        <f t="shared" si="25"/>
        <v>7.7500739262816335E-3</v>
      </c>
      <c r="F791" s="49">
        <f t="shared" si="26"/>
        <v>6.1359288713500526E-3</v>
      </c>
    </row>
    <row r="792" spans="2:6">
      <c r="B792" s="51">
        <v>43507</v>
      </c>
      <c r="C792" s="32">
        <v>31.0124</v>
      </c>
      <c r="D792" s="7">
        <v>847.53</v>
      </c>
      <c r="E792" s="49">
        <f t="shared" si="25"/>
        <v>0</v>
      </c>
      <c r="F792" s="49">
        <f t="shared" si="26"/>
        <v>1.3464550922548927E-2</v>
      </c>
    </row>
    <row r="793" spans="2:6">
      <c r="B793" s="51">
        <v>43508</v>
      </c>
      <c r="C793" s="32">
        <v>31.807600000000001</v>
      </c>
      <c r="D793" s="7">
        <v>859.13</v>
      </c>
      <c r="E793" s="49">
        <f t="shared" si="25"/>
        <v>2.5641356360681575E-2</v>
      </c>
      <c r="F793" s="49">
        <f t="shared" si="26"/>
        <v>1.3686831144620278E-2</v>
      </c>
    </row>
    <row r="794" spans="2:6">
      <c r="B794" s="51">
        <v>43509</v>
      </c>
      <c r="C794" s="32">
        <v>32.3643</v>
      </c>
      <c r="D794" s="7">
        <v>852.67</v>
      </c>
      <c r="E794" s="49">
        <f t="shared" si="25"/>
        <v>1.7502106414819078E-2</v>
      </c>
      <c r="F794" s="49">
        <f t="shared" si="26"/>
        <v>-7.5192345745114667E-3</v>
      </c>
    </row>
    <row r="795" spans="2:6">
      <c r="B795" s="51">
        <v>43510</v>
      </c>
      <c r="C795" s="32">
        <v>32.602800000000002</v>
      </c>
      <c r="D795" s="7">
        <v>865.5</v>
      </c>
      <c r="E795" s="49">
        <f t="shared" si="25"/>
        <v>7.3692309118381033E-3</v>
      </c>
      <c r="F795" s="49">
        <f t="shared" si="26"/>
        <v>1.5046852827002289E-2</v>
      </c>
    </row>
    <row r="796" spans="2:6">
      <c r="B796" s="51">
        <v>43511</v>
      </c>
      <c r="C796" s="32">
        <v>33.000399999999999</v>
      </c>
      <c r="D796" s="7">
        <v>866.25</v>
      </c>
      <c r="E796" s="49">
        <f t="shared" si="25"/>
        <v>1.2195271571766751E-2</v>
      </c>
      <c r="F796" s="49">
        <f t="shared" si="26"/>
        <v>8.6655112651646442E-4</v>
      </c>
    </row>
    <row r="797" spans="2:6">
      <c r="B797" s="51">
        <v>43514</v>
      </c>
      <c r="C797" s="32">
        <v>32.602800000000002</v>
      </c>
      <c r="D797" s="7">
        <v>864.73</v>
      </c>
      <c r="E797" s="49">
        <f t="shared" si="25"/>
        <v>-1.2048338808014359E-2</v>
      </c>
      <c r="F797" s="49">
        <f t="shared" si="26"/>
        <v>-1.7546897546897337E-3</v>
      </c>
    </row>
    <row r="798" spans="2:6">
      <c r="B798" s="51">
        <v>43515</v>
      </c>
      <c r="C798" s="32">
        <v>32.523299999999999</v>
      </c>
      <c r="D798" s="7">
        <v>862.38</v>
      </c>
      <c r="E798" s="49">
        <f t="shared" si="25"/>
        <v>-2.4384408701094082E-3</v>
      </c>
      <c r="F798" s="49">
        <f t="shared" si="26"/>
        <v>-2.7176112775086129E-3</v>
      </c>
    </row>
    <row r="799" spans="2:6">
      <c r="B799" s="51">
        <v>43516</v>
      </c>
      <c r="C799" s="32">
        <v>34.193199999999997</v>
      </c>
      <c r="D799" s="7">
        <v>867.44</v>
      </c>
      <c r="E799" s="49">
        <f t="shared" si="25"/>
        <v>5.1344728240984107E-2</v>
      </c>
      <c r="F799" s="49">
        <f t="shared" si="26"/>
        <v>5.8674830121292921E-3</v>
      </c>
    </row>
    <row r="800" spans="2:6">
      <c r="B800" s="51">
        <v>43517</v>
      </c>
      <c r="C800" s="32">
        <v>33.159399999999998</v>
      </c>
      <c r="D800" s="7">
        <v>872</v>
      </c>
      <c r="E800" s="49">
        <f t="shared" si="25"/>
        <v>-3.0234081630265652E-2</v>
      </c>
      <c r="F800" s="49">
        <f t="shared" si="26"/>
        <v>5.2568477358663941E-3</v>
      </c>
    </row>
    <row r="801" spans="2:6">
      <c r="B801" s="51">
        <v>43518</v>
      </c>
      <c r="C801" s="32">
        <v>33.398000000000003</v>
      </c>
      <c r="D801" s="7">
        <v>875.01</v>
      </c>
      <c r="E801" s="49">
        <f t="shared" si="25"/>
        <v>7.1955463609113934E-3</v>
      </c>
      <c r="F801" s="49">
        <f t="shared" si="26"/>
        <v>3.4518348623853107E-3</v>
      </c>
    </row>
    <row r="802" spans="2:6">
      <c r="B802" s="51">
        <v>43521</v>
      </c>
      <c r="C802" s="32">
        <v>33.000399999999999</v>
      </c>
      <c r="D802" s="7">
        <v>874.43</v>
      </c>
      <c r="E802" s="49">
        <f t="shared" si="25"/>
        <v>-1.1904904485298644E-2</v>
      </c>
      <c r="F802" s="49">
        <f t="shared" si="26"/>
        <v>-6.628495674335618E-4</v>
      </c>
    </row>
    <row r="803" spans="2:6">
      <c r="B803" s="51">
        <v>43522</v>
      </c>
      <c r="C803" s="32">
        <v>32.523299999999999</v>
      </c>
      <c r="D803" s="7">
        <v>870.71</v>
      </c>
      <c r="E803" s="49">
        <f t="shared" si="25"/>
        <v>-1.4457400516357381E-2</v>
      </c>
      <c r="F803" s="49">
        <f t="shared" si="26"/>
        <v>-4.2541998787780765E-3</v>
      </c>
    </row>
    <row r="804" spans="2:6">
      <c r="B804" s="51">
        <v>43523</v>
      </c>
      <c r="C804" s="32">
        <v>32.682299999999998</v>
      </c>
      <c r="D804" s="7">
        <v>865.28</v>
      </c>
      <c r="E804" s="49">
        <f t="shared" si="25"/>
        <v>4.8888027967641332E-3</v>
      </c>
      <c r="F804" s="49">
        <f t="shared" si="26"/>
        <v>-6.2362899243147123E-3</v>
      </c>
    </row>
    <row r="805" spans="2:6">
      <c r="B805" s="51">
        <v>43524</v>
      </c>
      <c r="C805" s="32">
        <v>32.602800000000002</v>
      </c>
      <c r="D805" s="7">
        <v>866.56</v>
      </c>
      <c r="E805" s="49">
        <f t="shared" si="25"/>
        <v>-2.432509339917812E-3</v>
      </c>
      <c r="F805" s="49">
        <f t="shared" si="26"/>
        <v>1.4792899408283709E-3</v>
      </c>
    </row>
    <row r="806" spans="2:6">
      <c r="B806" s="51">
        <v>43525</v>
      </c>
      <c r="C806" s="32">
        <v>33.079900000000002</v>
      </c>
      <c r="D806" s="7">
        <v>869.97</v>
      </c>
      <c r="E806" s="49">
        <f t="shared" si="25"/>
        <v>1.4633712441876159E-2</v>
      </c>
      <c r="F806" s="49">
        <f t="shared" si="26"/>
        <v>3.9350997045791199E-3</v>
      </c>
    </row>
    <row r="807" spans="2:6">
      <c r="B807" s="51">
        <v>43528</v>
      </c>
      <c r="C807" s="32">
        <v>32.920900000000003</v>
      </c>
      <c r="D807" s="7">
        <v>870.6</v>
      </c>
      <c r="E807" s="49">
        <f t="shared" si="25"/>
        <v>-4.8065441552120449E-3</v>
      </c>
      <c r="F807" s="49">
        <f t="shared" si="26"/>
        <v>7.241629021690351E-4</v>
      </c>
    </row>
    <row r="808" spans="2:6">
      <c r="B808" s="51">
        <v>43529</v>
      </c>
      <c r="C808" s="32">
        <v>33.398000000000003</v>
      </c>
      <c r="D808" s="7">
        <v>873.79</v>
      </c>
      <c r="E808" s="49">
        <f t="shared" si="25"/>
        <v>1.4492313393619251E-2</v>
      </c>
      <c r="F808" s="49">
        <f t="shared" si="26"/>
        <v>3.6641396737881241E-3</v>
      </c>
    </row>
    <row r="809" spans="2:6">
      <c r="B809" s="51">
        <v>43530</v>
      </c>
      <c r="C809" s="32">
        <v>33.398000000000003</v>
      </c>
      <c r="D809" s="7">
        <v>867.83</v>
      </c>
      <c r="E809" s="49">
        <f t="shared" si="25"/>
        <v>0</v>
      </c>
      <c r="F809" s="49">
        <f t="shared" si="26"/>
        <v>-6.8208608475719829E-3</v>
      </c>
    </row>
    <row r="810" spans="2:6">
      <c r="B810" s="51">
        <v>43531</v>
      </c>
      <c r="C810" s="32">
        <v>33.398000000000003</v>
      </c>
      <c r="D810" s="7">
        <v>863.7</v>
      </c>
      <c r="E810" s="49">
        <f t="shared" si="25"/>
        <v>0</v>
      </c>
      <c r="F810" s="49">
        <f t="shared" si="26"/>
        <v>-4.7589965776707365E-3</v>
      </c>
    </row>
    <row r="811" spans="2:6">
      <c r="B811" s="51">
        <v>43532</v>
      </c>
      <c r="C811" s="32">
        <v>33.398000000000003</v>
      </c>
      <c r="D811" s="7">
        <v>863.84</v>
      </c>
      <c r="E811" s="49">
        <f t="shared" si="25"/>
        <v>0</v>
      </c>
      <c r="F811" s="49">
        <f t="shared" si="26"/>
        <v>1.6209331943960444E-4</v>
      </c>
    </row>
    <row r="812" spans="2:6">
      <c r="B812" s="51">
        <v>43535</v>
      </c>
      <c r="C812" s="32">
        <v>33.3185</v>
      </c>
      <c r="D812" s="7">
        <v>866.5</v>
      </c>
      <c r="E812" s="49">
        <f t="shared" si="25"/>
        <v>-2.3803820588060064E-3</v>
      </c>
      <c r="F812" s="49">
        <f t="shared" si="26"/>
        <v>3.0792739396184108E-3</v>
      </c>
    </row>
    <row r="813" spans="2:6">
      <c r="B813" s="51">
        <v>43536</v>
      </c>
      <c r="C813" s="32">
        <v>33.238999999999997</v>
      </c>
      <c r="D813" s="7">
        <v>874</v>
      </c>
      <c r="E813" s="49">
        <f t="shared" si="25"/>
        <v>-2.386061797499978E-3</v>
      </c>
      <c r="F813" s="49">
        <f t="shared" si="26"/>
        <v>8.6555106751298322E-3</v>
      </c>
    </row>
    <row r="814" spans="2:6">
      <c r="B814" s="51">
        <v>43537</v>
      </c>
      <c r="C814" s="32">
        <v>33.7956</v>
      </c>
      <c r="D814" s="7">
        <v>881.6</v>
      </c>
      <c r="E814" s="49">
        <f t="shared" si="25"/>
        <v>1.6745389452149678E-2</v>
      </c>
      <c r="F814" s="49">
        <f t="shared" si="26"/>
        <v>8.6956521739130696E-3</v>
      </c>
    </row>
    <row r="815" spans="2:6">
      <c r="B815" s="51">
        <v>43538</v>
      </c>
      <c r="C815" s="32">
        <v>32.125700000000002</v>
      </c>
      <c r="D815" s="7">
        <v>880.4</v>
      </c>
      <c r="E815" s="49">
        <f t="shared" si="25"/>
        <v>-4.9411757743611548E-2</v>
      </c>
      <c r="F815" s="49">
        <f t="shared" si="26"/>
        <v>-1.361161524500959E-3</v>
      </c>
    </row>
    <row r="816" spans="2:6">
      <c r="B816" s="51">
        <v>43539</v>
      </c>
      <c r="C816" s="32">
        <v>33.716099999999997</v>
      </c>
      <c r="D816" s="7">
        <v>885.68</v>
      </c>
      <c r="E816" s="49">
        <f t="shared" si="25"/>
        <v>4.9505536066140048E-2</v>
      </c>
      <c r="F816" s="49">
        <f t="shared" si="26"/>
        <v>5.9972739663788875E-3</v>
      </c>
    </row>
    <row r="817" spans="2:6">
      <c r="B817" s="51">
        <v>43542</v>
      </c>
      <c r="C817" s="32">
        <v>33.7956</v>
      </c>
      <c r="D817" s="7">
        <v>890.03</v>
      </c>
      <c r="E817" s="49">
        <f t="shared" si="25"/>
        <v>2.3579239591768626E-3</v>
      </c>
      <c r="F817" s="49">
        <f t="shared" si="26"/>
        <v>4.9114804444043252E-3</v>
      </c>
    </row>
    <row r="818" spans="2:6">
      <c r="B818" s="51">
        <v>43543</v>
      </c>
      <c r="C818" s="32">
        <v>34.511299999999999</v>
      </c>
      <c r="D818" s="7">
        <v>886.34</v>
      </c>
      <c r="E818" s="49">
        <f t="shared" si="25"/>
        <v>2.1177313022997024E-2</v>
      </c>
      <c r="F818" s="49">
        <f t="shared" si="26"/>
        <v>-4.1459276653595285E-3</v>
      </c>
    </row>
    <row r="819" spans="2:6">
      <c r="B819" s="51">
        <v>43544</v>
      </c>
      <c r="C819" s="32">
        <v>34.590800000000002</v>
      </c>
      <c r="D819" s="7">
        <v>888.69</v>
      </c>
      <c r="E819" s="49">
        <f t="shared" si="25"/>
        <v>2.3035933158125892E-3</v>
      </c>
      <c r="F819" s="49">
        <f t="shared" si="26"/>
        <v>2.6513527540221841E-3</v>
      </c>
    </row>
    <row r="820" spans="2:6">
      <c r="B820" s="51">
        <v>43545</v>
      </c>
      <c r="C820" s="32">
        <v>34.193199999999997</v>
      </c>
      <c r="D820" s="7">
        <v>873.83</v>
      </c>
      <c r="E820" s="49">
        <f t="shared" si="25"/>
        <v>-1.1494385790441508E-2</v>
      </c>
      <c r="F820" s="49">
        <f t="shared" si="26"/>
        <v>-1.6721241377758288E-2</v>
      </c>
    </row>
    <row r="821" spans="2:6">
      <c r="B821" s="51">
        <v>43546</v>
      </c>
      <c r="C821" s="32">
        <v>33.7956</v>
      </c>
      <c r="D821" s="7">
        <v>865.4</v>
      </c>
      <c r="E821" s="49">
        <f t="shared" si="25"/>
        <v>-1.1628043002702208E-2</v>
      </c>
      <c r="F821" s="49">
        <f t="shared" si="26"/>
        <v>-9.64718537930726E-3</v>
      </c>
    </row>
    <row r="822" spans="2:6">
      <c r="B822" s="51">
        <v>43549</v>
      </c>
      <c r="C822" s="32">
        <v>32.602800000000002</v>
      </c>
      <c r="D822" s="7">
        <v>867.77</v>
      </c>
      <c r="E822" s="49">
        <f t="shared" si="25"/>
        <v>-3.5294535383304286E-2</v>
      </c>
      <c r="F822" s="49">
        <f t="shared" si="26"/>
        <v>2.738617980124803E-3</v>
      </c>
    </row>
    <row r="823" spans="2:6">
      <c r="B823" s="51">
        <v>43550</v>
      </c>
      <c r="C823" s="32">
        <v>33.238999999999997</v>
      </c>
      <c r="D823" s="7">
        <v>867.21</v>
      </c>
      <c r="E823" s="49">
        <f t="shared" si="25"/>
        <v>1.9513661403314904E-2</v>
      </c>
      <c r="F823" s="49">
        <f t="shared" si="26"/>
        <v>-6.4533228850956529E-4</v>
      </c>
    </row>
    <row r="824" spans="2:6">
      <c r="B824" s="51">
        <v>43551</v>
      </c>
      <c r="C824" s="32">
        <v>32.682299999999998</v>
      </c>
      <c r="D824" s="7">
        <v>866.93</v>
      </c>
      <c r="E824" s="49">
        <f t="shared" si="25"/>
        <v>-1.6748397966244451E-2</v>
      </c>
      <c r="F824" s="49">
        <f t="shared" si="26"/>
        <v>-3.2287450559851294E-4</v>
      </c>
    </row>
    <row r="825" spans="2:6">
      <c r="B825" s="51">
        <v>43552</v>
      </c>
      <c r="C825" s="32">
        <v>33.557000000000002</v>
      </c>
      <c r="D825" s="7">
        <v>863.11</v>
      </c>
      <c r="E825" s="49">
        <f t="shared" si="25"/>
        <v>2.6763722259449438E-2</v>
      </c>
      <c r="F825" s="49">
        <f t="shared" si="26"/>
        <v>-4.4063534541427061E-3</v>
      </c>
    </row>
    <row r="826" spans="2:6">
      <c r="B826" s="51">
        <v>43553</v>
      </c>
      <c r="C826" s="32">
        <v>33.557000000000002</v>
      </c>
      <c r="D826" s="7">
        <v>873.06</v>
      </c>
      <c r="E826" s="49">
        <f t="shared" si="25"/>
        <v>0</v>
      </c>
      <c r="F826" s="49">
        <f t="shared" si="26"/>
        <v>1.1528078692171255E-2</v>
      </c>
    </row>
    <row r="827" spans="2:6">
      <c r="B827" s="51">
        <v>43556</v>
      </c>
      <c r="C827" s="32">
        <v>33.398000000000003</v>
      </c>
      <c r="D827" s="7">
        <v>879.14</v>
      </c>
      <c r="E827" s="49">
        <f t="shared" si="25"/>
        <v>-4.7382066334892541E-3</v>
      </c>
      <c r="F827" s="49">
        <f t="shared" si="26"/>
        <v>6.9640116372300205E-3</v>
      </c>
    </row>
    <row r="828" spans="2:6">
      <c r="B828" s="51">
        <v>43557</v>
      </c>
      <c r="C828" s="32">
        <v>33.238999999999997</v>
      </c>
      <c r="D828" s="7">
        <v>884.91</v>
      </c>
      <c r="E828" s="49">
        <f t="shared" si="25"/>
        <v>-4.7607641176120128E-3</v>
      </c>
      <c r="F828" s="49">
        <f t="shared" si="26"/>
        <v>6.5632322496985487E-3</v>
      </c>
    </row>
    <row r="829" spans="2:6">
      <c r="B829" s="51">
        <v>43558</v>
      </c>
      <c r="C829" s="32">
        <v>32.761800000000001</v>
      </c>
      <c r="D829" s="7">
        <v>879.86</v>
      </c>
      <c r="E829" s="49">
        <f t="shared" si="25"/>
        <v>-1.4356629260807977E-2</v>
      </c>
      <c r="F829" s="49">
        <f t="shared" si="26"/>
        <v>-5.7067950413035844E-3</v>
      </c>
    </row>
    <row r="830" spans="2:6">
      <c r="B830" s="51">
        <v>43559</v>
      </c>
      <c r="C830" s="32">
        <v>33.398000000000003</v>
      </c>
      <c r="D830" s="7">
        <v>884.79</v>
      </c>
      <c r="E830" s="49">
        <f t="shared" si="25"/>
        <v>1.9418957444340735E-2</v>
      </c>
      <c r="F830" s="49">
        <f t="shared" si="26"/>
        <v>5.6031641397494489E-3</v>
      </c>
    </row>
    <row r="831" spans="2:6">
      <c r="B831" s="51">
        <v>43560</v>
      </c>
      <c r="C831" s="32">
        <v>33.716099999999997</v>
      </c>
      <c r="D831" s="7">
        <v>890.24</v>
      </c>
      <c r="E831" s="49">
        <f t="shared" si="25"/>
        <v>9.5245224264924253E-3</v>
      </c>
      <c r="F831" s="49">
        <f t="shared" si="26"/>
        <v>6.1596537031386499E-3</v>
      </c>
    </row>
    <row r="832" spans="2:6">
      <c r="B832" s="51">
        <v>43563</v>
      </c>
      <c r="C832" s="32">
        <v>34.113700000000001</v>
      </c>
      <c r="D832" s="7">
        <v>881.3</v>
      </c>
      <c r="E832" s="49">
        <f t="shared" si="25"/>
        <v>1.1792585737971005E-2</v>
      </c>
      <c r="F832" s="49">
        <f t="shared" si="26"/>
        <v>-1.0042235801581657E-2</v>
      </c>
    </row>
    <row r="833" spans="2:6">
      <c r="B833" s="51">
        <v>43564</v>
      </c>
      <c r="C833" s="32">
        <v>34.113700000000001</v>
      </c>
      <c r="D833" s="7">
        <v>884.94</v>
      </c>
      <c r="E833" s="49">
        <f t="shared" si="25"/>
        <v>0</v>
      </c>
      <c r="F833" s="49">
        <f t="shared" si="26"/>
        <v>4.1302621127880411E-3</v>
      </c>
    </row>
    <row r="834" spans="2:6">
      <c r="B834" s="51">
        <v>43565</v>
      </c>
      <c r="C834" s="32">
        <v>34.193199999999997</v>
      </c>
      <c r="D834" s="7">
        <v>884.13</v>
      </c>
      <c r="E834" s="49">
        <f t="shared" si="25"/>
        <v>2.3304420218268878E-3</v>
      </c>
      <c r="F834" s="49">
        <f t="shared" si="26"/>
        <v>-9.1531629263007556E-4</v>
      </c>
    </row>
    <row r="835" spans="2:6">
      <c r="B835" s="51">
        <v>43566</v>
      </c>
      <c r="C835" s="32">
        <v>33.636600000000001</v>
      </c>
      <c r="D835" s="7">
        <v>885.29</v>
      </c>
      <c r="E835" s="49">
        <f t="shared" si="25"/>
        <v>-1.6278090380543384E-2</v>
      </c>
      <c r="F835" s="49">
        <f t="shared" si="26"/>
        <v>1.3120242498274781E-3</v>
      </c>
    </row>
    <row r="836" spans="2:6">
      <c r="B836" s="51">
        <v>43567</v>
      </c>
      <c r="C836" s="32">
        <v>33.875100000000003</v>
      </c>
      <c r="D836" s="7">
        <v>890.03</v>
      </c>
      <c r="E836" s="49">
        <f t="shared" si="25"/>
        <v>7.0904907154707049E-3</v>
      </c>
      <c r="F836" s="49">
        <f t="shared" si="26"/>
        <v>5.354177727072495E-3</v>
      </c>
    </row>
    <row r="837" spans="2:6">
      <c r="B837" s="51">
        <v>43570</v>
      </c>
      <c r="C837" s="32">
        <v>33.238999999999997</v>
      </c>
      <c r="D837" s="7">
        <v>889.19</v>
      </c>
      <c r="E837" s="49">
        <f t="shared" si="25"/>
        <v>-1.877780434596521E-2</v>
      </c>
      <c r="F837" s="49">
        <f t="shared" si="26"/>
        <v>-9.4378841162648245E-4</v>
      </c>
    </row>
    <row r="838" spans="2:6">
      <c r="B838" s="51">
        <v>43571</v>
      </c>
      <c r="C838" s="32">
        <v>33.716099999999997</v>
      </c>
      <c r="D838" s="7">
        <v>890.35</v>
      </c>
      <c r="E838" s="49">
        <f t="shared" si="25"/>
        <v>1.4353620746713203E-2</v>
      </c>
      <c r="F838" s="49">
        <f t="shared" si="26"/>
        <v>1.3045580809500422E-3</v>
      </c>
    </row>
    <row r="839" spans="2:6">
      <c r="B839" s="51">
        <v>43572</v>
      </c>
      <c r="C839" s="32">
        <v>33.716099999999997</v>
      </c>
      <c r="D839" s="7">
        <v>894.29</v>
      </c>
      <c r="E839" s="49">
        <f t="shared" si="25"/>
        <v>0</v>
      </c>
      <c r="F839" s="49">
        <f t="shared" si="26"/>
        <v>4.4252260347053861E-3</v>
      </c>
    </row>
    <row r="840" spans="2:6">
      <c r="B840" s="51">
        <v>43578</v>
      </c>
      <c r="C840" s="32">
        <v>33.7956</v>
      </c>
      <c r="D840" s="7">
        <v>892.3</v>
      </c>
      <c r="E840" s="49">
        <f t="shared" si="25"/>
        <v>2.3579239591768626E-3</v>
      </c>
      <c r="F840" s="49">
        <f t="shared" si="26"/>
        <v>-2.225228952576915E-3</v>
      </c>
    </row>
    <row r="841" spans="2:6">
      <c r="B841" s="51">
        <v>43579</v>
      </c>
      <c r="C841" s="32">
        <v>33.477499999999999</v>
      </c>
      <c r="D841" s="7">
        <v>885.65</v>
      </c>
      <c r="E841" s="49">
        <f t="shared" si="25"/>
        <v>-9.4124678952289993E-3</v>
      </c>
      <c r="F841" s="49">
        <f t="shared" si="26"/>
        <v>-7.4526504538831983E-3</v>
      </c>
    </row>
    <row r="842" spans="2:6">
      <c r="B842" s="51">
        <v>43580</v>
      </c>
      <c r="C842" s="32">
        <v>33.477499999999999</v>
      </c>
      <c r="D842" s="7">
        <v>883.52</v>
      </c>
      <c r="E842" s="49">
        <f t="shared" si="25"/>
        <v>0</v>
      </c>
      <c r="F842" s="49">
        <f t="shared" si="26"/>
        <v>-2.4050132670919611E-3</v>
      </c>
    </row>
    <row r="843" spans="2:6">
      <c r="B843" s="51">
        <v>43581</v>
      </c>
      <c r="C843" s="32">
        <v>33.398000000000003</v>
      </c>
      <c r="D843" s="7">
        <v>883.84</v>
      </c>
      <c r="E843" s="49">
        <f t="shared" si="25"/>
        <v>-2.3747292957955616E-3</v>
      </c>
      <c r="F843" s="49">
        <f t="shared" si="26"/>
        <v>3.6218761318368572E-4</v>
      </c>
    </row>
    <row r="844" spans="2:6">
      <c r="B844" s="51">
        <v>43584</v>
      </c>
      <c r="C844" s="32">
        <v>33.477499999999999</v>
      </c>
      <c r="D844" s="7">
        <v>880.91</v>
      </c>
      <c r="E844" s="49">
        <f t="shared" si="25"/>
        <v>2.3803820588057939E-3</v>
      </c>
      <c r="F844" s="49">
        <f t="shared" si="26"/>
        <v>-3.3150796524258502E-3</v>
      </c>
    </row>
    <row r="845" spans="2:6">
      <c r="B845" s="51">
        <v>43585</v>
      </c>
      <c r="C845" s="32">
        <v>33.000399999999999</v>
      </c>
      <c r="D845" s="7">
        <v>876.46</v>
      </c>
      <c r="E845" s="49">
        <f t="shared" si="25"/>
        <v>-1.4251362855649319E-2</v>
      </c>
      <c r="F845" s="49">
        <f t="shared" si="26"/>
        <v>-5.0515943739995366E-3</v>
      </c>
    </row>
    <row r="846" spans="2:6">
      <c r="B846" s="51">
        <v>43587</v>
      </c>
      <c r="C846" s="32">
        <v>33.398000000000003</v>
      </c>
      <c r="D846" s="7">
        <v>880.77</v>
      </c>
      <c r="E846" s="49">
        <f t="shared" si="25"/>
        <v>1.2048338808014576E-2</v>
      </c>
      <c r="F846" s="49">
        <f t="shared" si="26"/>
        <v>4.9175090705793137E-3</v>
      </c>
    </row>
    <row r="847" spans="2:6">
      <c r="B847" s="51">
        <v>43588</v>
      </c>
      <c r="C847" s="32">
        <v>33.398000000000003</v>
      </c>
      <c r="D847" s="7">
        <v>873.51</v>
      </c>
      <c r="E847" s="49">
        <f t="shared" ref="E847:E910" si="27">(C847-C846)/C846</f>
        <v>0</v>
      </c>
      <c r="F847" s="49">
        <f t="shared" ref="F847:F910" si="28">(D847-D846)/D846</f>
        <v>-8.2427875608842155E-3</v>
      </c>
    </row>
    <row r="848" spans="2:6">
      <c r="B848" s="51">
        <v>43591</v>
      </c>
      <c r="C848" s="32">
        <v>33.238999999999997</v>
      </c>
      <c r="D848" s="7">
        <v>870.21</v>
      </c>
      <c r="E848" s="49">
        <f t="shared" si="27"/>
        <v>-4.7607641176120128E-3</v>
      </c>
      <c r="F848" s="49">
        <f t="shared" si="28"/>
        <v>-3.7778617302606206E-3</v>
      </c>
    </row>
    <row r="849" spans="2:6">
      <c r="B849" s="51">
        <v>43592</v>
      </c>
      <c r="C849" s="32">
        <v>33.477499999999999</v>
      </c>
      <c r="D849" s="7">
        <v>871.79</v>
      </c>
      <c r="E849" s="49">
        <f t="shared" si="27"/>
        <v>7.1753061163092133E-3</v>
      </c>
      <c r="F849" s="49">
        <f t="shared" si="28"/>
        <v>1.8156536927867149E-3</v>
      </c>
    </row>
    <row r="850" spans="2:6">
      <c r="B850" s="51">
        <v>43593</v>
      </c>
      <c r="C850" s="32">
        <v>33.398000000000003</v>
      </c>
      <c r="D850" s="7">
        <v>859.15</v>
      </c>
      <c r="E850" s="49">
        <f t="shared" si="27"/>
        <v>-2.3747292957955616E-3</v>
      </c>
      <c r="F850" s="49">
        <f t="shared" si="28"/>
        <v>-1.4498904552701896E-2</v>
      </c>
    </row>
    <row r="851" spans="2:6">
      <c r="B851" s="51">
        <v>43594</v>
      </c>
      <c r="C851" s="32">
        <v>32.602800000000002</v>
      </c>
      <c r="D851" s="7">
        <v>870.98</v>
      </c>
      <c r="E851" s="49">
        <f t="shared" si="27"/>
        <v>-2.3809808970597077E-2</v>
      </c>
      <c r="F851" s="49">
        <f t="shared" si="28"/>
        <v>1.3769423267182728E-2</v>
      </c>
    </row>
    <row r="852" spans="2:6">
      <c r="B852" s="51">
        <v>43595</v>
      </c>
      <c r="C852" s="32">
        <v>33.3185</v>
      </c>
      <c r="D852" s="7">
        <v>861</v>
      </c>
      <c r="E852" s="49">
        <f t="shared" si="27"/>
        <v>2.1952102273424312E-2</v>
      </c>
      <c r="F852" s="49">
        <f t="shared" si="28"/>
        <v>-1.1458357252749797E-2</v>
      </c>
    </row>
    <row r="853" spans="2:6">
      <c r="B853" s="51">
        <v>43598</v>
      </c>
      <c r="C853" s="32">
        <v>33.398000000000003</v>
      </c>
      <c r="D853" s="7">
        <v>864.4</v>
      </c>
      <c r="E853" s="49">
        <f t="shared" si="27"/>
        <v>2.386061797499978E-3</v>
      </c>
      <c r="F853" s="49">
        <f t="shared" si="28"/>
        <v>3.9488966318234351E-3</v>
      </c>
    </row>
    <row r="854" spans="2:6">
      <c r="B854" s="51">
        <v>43599</v>
      </c>
      <c r="C854" s="32">
        <v>33.398000000000003</v>
      </c>
      <c r="D854" s="7">
        <v>866.55</v>
      </c>
      <c r="E854" s="49">
        <f t="shared" si="27"/>
        <v>0</v>
      </c>
      <c r="F854" s="49">
        <f t="shared" si="28"/>
        <v>2.4872744099953461E-3</v>
      </c>
    </row>
    <row r="855" spans="2:6">
      <c r="B855" s="51">
        <v>43600</v>
      </c>
      <c r="C855" s="32">
        <v>35.545000000000002</v>
      </c>
      <c r="D855" s="7">
        <v>882.49</v>
      </c>
      <c r="E855" s="49">
        <f t="shared" si="27"/>
        <v>6.4285286544104384E-2</v>
      </c>
      <c r="F855" s="49">
        <f t="shared" si="28"/>
        <v>1.8394783913219151E-2</v>
      </c>
    </row>
    <row r="856" spans="2:6">
      <c r="B856" s="51">
        <v>43601</v>
      </c>
      <c r="C856" s="32">
        <v>36.578800000000001</v>
      </c>
      <c r="D856" s="7">
        <v>885.09</v>
      </c>
      <c r="E856" s="49">
        <f t="shared" si="27"/>
        <v>2.9084259389506241E-2</v>
      </c>
      <c r="F856" s="49">
        <f t="shared" si="28"/>
        <v>2.9462090221985776E-3</v>
      </c>
    </row>
    <row r="857" spans="2:6">
      <c r="B857" s="51">
        <v>43605</v>
      </c>
      <c r="C857" s="32">
        <v>35.7836</v>
      </c>
      <c r="D857" s="7">
        <v>889.76</v>
      </c>
      <c r="E857" s="49">
        <f t="shared" si="27"/>
        <v>-2.1739368158605565E-2</v>
      </c>
      <c r="F857" s="49">
        <f t="shared" si="28"/>
        <v>5.2762995853528555E-3</v>
      </c>
    </row>
    <row r="858" spans="2:6">
      <c r="B858" s="51">
        <v>43606</v>
      </c>
      <c r="C858" s="32">
        <v>36.449300000000001</v>
      </c>
      <c r="D858" s="7">
        <v>888.74</v>
      </c>
      <c r="E858" s="49">
        <f t="shared" si="27"/>
        <v>1.8603494338188475E-2</v>
      </c>
      <c r="F858" s="49">
        <f t="shared" si="28"/>
        <v>-1.1463765509800192E-3</v>
      </c>
    </row>
    <row r="859" spans="2:6">
      <c r="B859" s="51">
        <v>43607</v>
      </c>
      <c r="C859" s="32">
        <v>37.931699999999999</v>
      </c>
      <c r="D859" s="7">
        <v>869.11</v>
      </c>
      <c r="E859" s="49">
        <f t="shared" si="27"/>
        <v>4.0670191197087417E-2</v>
      </c>
      <c r="F859" s="49">
        <f t="shared" si="28"/>
        <v>-2.2087449647816004E-2</v>
      </c>
    </row>
    <row r="860" spans="2:6">
      <c r="B860" s="51">
        <v>43608</v>
      </c>
      <c r="C860" s="32">
        <v>36.623699999999999</v>
      </c>
      <c r="D860" s="7">
        <v>875.95</v>
      </c>
      <c r="E860" s="49">
        <f t="shared" si="27"/>
        <v>-3.4483031343177338E-2</v>
      </c>
      <c r="F860" s="49">
        <f t="shared" si="28"/>
        <v>7.8701200078241332E-3</v>
      </c>
    </row>
    <row r="861" spans="2:6">
      <c r="B861" s="51">
        <v>43609</v>
      </c>
      <c r="C861" s="32">
        <v>38.367699999999999</v>
      </c>
      <c r="D861" s="7">
        <v>876.47</v>
      </c>
      <c r="E861" s="49">
        <f t="shared" si="27"/>
        <v>4.7619437686525386E-2</v>
      </c>
      <c r="F861" s="49">
        <f t="shared" si="28"/>
        <v>5.9364118956559369E-4</v>
      </c>
    </row>
    <row r="862" spans="2:6">
      <c r="B862" s="51">
        <v>43612</v>
      </c>
      <c r="C862" s="32">
        <v>39.239699999999999</v>
      </c>
      <c r="D862" s="7">
        <v>872.86</v>
      </c>
      <c r="E862" s="49">
        <f t="shared" si="27"/>
        <v>2.2727450433567817E-2</v>
      </c>
      <c r="F862" s="49">
        <f t="shared" si="28"/>
        <v>-4.1187947106004919E-3</v>
      </c>
    </row>
    <row r="863" spans="2:6">
      <c r="B863" s="51">
        <v>43613</v>
      </c>
      <c r="C863" s="32">
        <v>39.239699999999999</v>
      </c>
      <c r="D863" s="7">
        <v>853.12</v>
      </c>
      <c r="E863" s="49">
        <f t="shared" si="27"/>
        <v>0</v>
      </c>
      <c r="F863" s="49">
        <f t="shared" si="28"/>
        <v>-2.2615310588181392E-2</v>
      </c>
    </row>
    <row r="864" spans="2:6">
      <c r="B864" s="51">
        <v>43614</v>
      </c>
      <c r="C864" s="32">
        <v>38.803699999999999</v>
      </c>
      <c r="D864" s="7">
        <v>852.09</v>
      </c>
      <c r="E864" s="49">
        <f t="shared" si="27"/>
        <v>-1.1111196059093213E-2</v>
      </c>
      <c r="F864" s="49">
        <f t="shared" si="28"/>
        <v>-1.2073330832707858E-3</v>
      </c>
    </row>
    <row r="865" spans="2:6">
      <c r="B865" s="51">
        <v>43616</v>
      </c>
      <c r="C865" s="32">
        <v>37.059699999999999</v>
      </c>
      <c r="D865" s="7">
        <v>863.15</v>
      </c>
      <c r="E865" s="49">
        <f t="shared" si="27"/>
        <v>-4.4944167695348633E-2</v>
      </c>
      <c r="F865" s="49">
        <f t="shared" si="28"/>
        <v>1.2979849546409352E-2</v>
      </c>
    </row>
    <row r="866" spans="2:6">
      <c r="B866" s="51">
        <v>43619</v>
      </c>
      <c r="C866" s="32">
        <v>36.362099999999998</v>
      </c>
      <c r="D866" s="7">
        <v>859.75</v>
      </c>
      <c r="E866" s="49">
        <f t="shared" si="27"/>
        <v>-1.8823681789113277E-2</v>
      </c>
      <c r="F866" s="49">
        <f t="shared" si="28"/>
        <v>-3.9390604182355064E-3</v>
      </c>
    </row>
    <row r="867" spans="2:6">
      <c r="B867" s="51">
        <v>43620</v>
      </c>
      <c r="C867" s="32">
        <v>36.623699999999999</v>
      </c>
      <c r="D867" s="7">
        <v>861.09</v>
      </c>
      <c r="E867" s="49">
        <f t="shared" si="27"/>
        <v>7.1943039593423208E-3</v>
      </c>
      <c r="F867" s="49">
        <f t="shared" si="28"/>
        <v>1.5585926141320522E-3</v>
      </c>
    </row>
    <row r="868" spans="2:6">
      <c r="B868" s="51">
        <v>43621</v>
      </c>
      <c r="C868" s="32">
        <v>37.495699999999999</v>
      </c>
      <c r="D868" s="7">
        <v>862.28</v>
      </c>
      <c r="E868" s="49">
        <f t="shared" si="27"/>
        <v>2.3809718843262693E-2</v>
      </c>
      <c r="F868" s="49">
        <f t="shared" si="28"/>
        <v>1.3819693644101555E-3</v>
      </c>
    </row>
    <row r="869" spans="2:6">
      <c r="B869" s="51">
        <v>43622</v>
      </c>
      <c r="C869" s="32">
        <v>36.885300000000001</v>
      </c>
      <c r="D869" s="7">
        <v>868.84</v>
      </c>
      <c r="E869" s="49">
        <f t="shared" si="27"/>
        <v>-1.6279200014935005E-2</v>
      </c>
      <c r="F869" s="49">
        <f t="shared" si="28"/>
        <v>7.6077376258292658E-3</v>
      </c>
    </row>
    <row r="870" spans="2:6">
      <c r="B870" s="51">
        <v>43623</v>
      </c>
      <c r="C870" s="32">
        <v>36.972499999999997</v>
      </c>
      <c r="D870" s="7">
        <v>874.89</v>
      </c>
      <c r="E870" s="49">
        <f t="shared" si="27"/>
        <v>2.3640854215634878E-3</v>
      </c>
      <c r="F870" s="49">
        <f t="shared" si="28"/>
        <v>6.9633073983701886E-3</v>
      </c>
    </row>
    <row r="871" spans="2:6">
      <c r="B871" s="51">
        <v>43627</v>
      </c>
      <c r="C871" s="32">
        <v>36.013300000000001</v>
      </c>
      <c r="D871" s="7">
        <v>859.85</v>
      </c>
      <c r="E871" s="49">
        <f t="shared" si="27"/>
        <v>-2.5943606734735159E-2</v>
      </c>
      <c r="F871" s="49">
        <f t="shared" si="28"/>
        <v>-1.719073254923472E-2</v>
      </c>
    </row>
    <row r="872" spans="2:6">
      <c r="B872" s="51">
        <v>43628</v>
      </c>
      <c r="C872" s="32">
        <v>36.623699999999999</v>
      </c>
      <c r="D872" s="7">
        <v>859.19</v>
      </c>
      <c r="E872" s="49">
        <f t="shared" si="27"/>
        <v>1.6949293733148546E-2</v>
      </c>
      <c r="F872" s="49">
        <f t="shared" si="28"/>
        <v>-7.6757573995460621E-4</v>
      </c>
    </row>
    <row r="873" spans="2:6">
      <c r="B873" s="51">
        <v>43629</v>
      </c>
      <c r="C873" s="32">
        <v>36.013300000000001</v>
      </c>
      <c r="D873" s="7">
        <v>861.17</v>
      </c>
      <c r="E873" s="49">
        <f t="shared" si="27"/>
        <v>-1.6666803190283845E-2</v>
      </c>
      <c r="F873" s="49">
        <f t="shared" si="28"/>
        <v>2.3044960951592829E-3</v>
      </c>
    </row>
    <row r="874" spans="2:6">
      <c r="B874" s="51">
        <v>43630</v>
      </c>
      <c r="C874" s="32">
        <v>36.623699999999999</v>
      </c>
      <c r="D874" s="7">
        <v>856.46</v>
      </c>
      <c r="E874" s="49">
        <f t="shared" si="27"/>
        <v>1.6949293733148546E-2</v>
      </c>
      <c r="F874" s="49">
        <f t="shared" si="28"/>
        <v>-5.4693033895745593E-3</v>
      </c>
    </row>
    <row r="875" spans="2:6">
      <c r="B875" s="51">
        <v>43633</v>
      </c>
      <c r="C875" s="32">
        <v>36.100499999999997</v>
      </c>
      <c r="D875" s="7">
        <v>866.63</v>
      </c>
      <c r="E875" s="49">
        <f t="shared" si="27"/>
        <v>-1.4285831305957694E-2</v>
      </c>
      <c r="F875" s="49">
        <f t="shared" si="28"/>
        <v>1.1874459986455829E-2</v>
      </c>
    </row>
    <row r="876" spans="2:6">
      <c r="B876" s="51">
        <v>43634</v>
      </c>
      <c r="C876" s="32">
        <v>36.1877</v>
      </c>
      <c r="D876" s="7">
        <v>865.52</v>
      </c>
      <c r="E876" s="49">
        <f t="shared" si="27"/>
        <v>2.41547900998609E-3</v>
      </c>
      <c r="F876" s="49">
        <f t="shared" si="28"/>
        <v>-1.2808234194523773E-3</v>
      </c>
    </row>
    <row r="877" spans="2:6">
      <c r="B877" s="51">
        <v>43635</v>
      </c>
      <c r="C877" s="32">
        <v>36.536499999999997</v>
      </c>
      <c r="D877" s="7">
        <v>870.51</v>
      </c>
      <c r="E877" s="49">
        <f t="shared" si="27"/>
        <v>9.6386341215384547E-3</v>
      </c>
      <c r="F877" s="49">
        <f t="shared" si="28"/>
        <v>5.7653202698955651E-3</v>
      </c>
    </row>
    <row r="878" spans="2:6">
      <c r="B878" s="51">
        <v>43636</v>
      </c>
      <c r="C878" s="32">
        <v>37.059699999999999</v>
      </c>
      <c r="D878" s="7">
        <v>871.75</v>
      </c>
      <c r="E878" s="49">
        <f t="shared" si="27"/>
        <v>1.4319926648693849E-2</v>
      </c>
      <c r="F878" s="49">
        <f t="shared" si="28"/>
        <v>1.4244523325407049E-3</v>
      </c>
    </row>
    <row r="879" spans="2:6">
      <c r="B879" s="51">
        <v>43637</v>
      </c>
      <c r="C879" s="32">
        <v>36.274900000000002</v>
      </c>
      <c r="D879" s="7">
        <v>869.52</v>
      </c>
      <c r="E879" s="49">
        <f t="shared" si="27"/>
        <v>-2.1176642012752319E-2</v>
      </c>
      <c r="F879" s="49">
        <f t="shared" si="28"/>
        <v>-2.5580728419845348E-3</v>
      </c>
    </row>
    <row r="880" spans="2:6">
      <c r="B880" s="51">
        <v>43640</v>
      </c>
      <c r="C880" s="32">
        <v>36.362099999999998</v>
      </c>
      <c r="D880" s="7">
        <v>861.59</v>
      </c>
      <c r="E880" s="49">
        <f t="shared" si="27"/>
        <v>2.4038660340895694E-3</v>
      </c>
      <c r="F880" s="49">
        <f t="shared" si="28"/>
        <v>-9.1199742386603531E-3</v>
      </c>
    </row>
    <row r="881" spans="2:6">
      <c r="B881" s="51">
        <v>43641</v>
      </c>
      <c r="C881" s="32">
        <v>37.146900000000002</v>
      </c>
      <c r="D881" s="7">
        <v>860.73</v>
      </c>
      <c r="E881" s="49">
        <f t="shared" si="27"/>
        <v>2.1582911878026963E-2</v>
      </c>
      <c r="F881" s="49">
        <f t="shared" si="28"/>
        <v>-9.9815457468170892E-4</v>
      </c>
    </row>
    <row r="882" spans="2:6">
      <c r="B882" s="51">
        <v>43642</v>
      </c>
      <c r="C882" s="32">
        <v>37.931699999999999</v>
      </c>
      <c r="D882" s="7">
        <v>864.2</v>
      </c>
      <c r="E882" s="49">
        <f t="shared" si="27"/>
        <v>2.1126931184028735E-2</v>
      </c>
      <c r="F882" s="49">
        <f t="shared" si="28"/>
        <v>4.0314616662600663E-3</v>
      </c>
    </row>
    <row r="883" spans="2:6">
      <c r="B883" s="51">
        <v>43643</v>
      </c>
      <c r="C883" s="32">
        <v>37.059699999999999</v>
      </c>
      <c r="D883" s="7">
        <v>864.63</v>
      </c>
      <c r="E883" s="49">
        <f t="shared" si="27"/>
        <v>-2.2988687562118224E-2</v>
      </c>
      <c r="F883" s="49">
        <f t="shared" si="28"/>
        <v>4.9757000694277938E-4</v>
      </c>
    </row>
    <row r="884" spans="2:6">
      <c r="B884" s="51">
        <v>43644</v>
      </c>
      <c r="C884" s="32">
        <v>37.408499999999997</v>
      </c>
      <c r="D884" s="7">
        <v>878.93</v>
      </c>
      <c r="E884" s="49">
        <f t="shared" si="27"/>
        <v>9.4118408945565429E-3</v>
      </c>
      <c r="F884" s="49">
        <f t="shared" si="28"/>
        <v>1.6538866335889288E-2</v>
      </c>
    </row>
    <row r="885" spans="2:6">
      <c r="B885" s="51">
        <v>43647</v>
      </c>
      <c r="C885" s="32">
        <v>37.844499999999996</v>
      </c>
      <c r="D885" s="7">
        <v>877.45</v>
      </c>
      <c r="E885" s="49">
        <f t="shared" si="27"/>
        <v>1.1655105123167194E-2</v>
      </c>
      <c r="F885" s="49">
        <f t="shared" si="28"/>
        <v>-1.6838656093203152E-3</v>
      </c>
    </row>
    <row r="886" spans="2:6">
      <c r="B886" s="51">
        <v>43648</v>
      </c>
      <c r="C886" s="32">
        <v>37.757300000000001</v>
      </c>
      <c r="D886" s="7">
        <v>879.99</v>
      </c>
      <c r="E886" s="49">
        <f t="shared" si="27"/>
        <v>-2.3041657308194253E-3</v>
      </c>
      <c r="F886" s="49">
        <f t="shared" si="28"/>
        <v>2.8947518377115088E-3</v>
      </c>
    </row>
    <row r="887" spans="2:6">
      <c r="B887" s="51">
        <v>43649</v>
      </c>
      <c r="C887" s="32">
        <v>36.798099999999998</v>
      </c>
      <c r="D887" s="7">
        <v>888.56</v>
      </c>
      <c r="E887" s="49">
        <f t="shared" si="27"/>
        <v>-2.5404358892187808E-2</v>
      </c>
      <c r="F887" s="49">
        <f t="shared" si="28"/>
        <v>9.7387470312161918E-3</v>
      </c>
    </row>
    <row r="888" spans="2:6">
      <c r="B888" s="51">
        <v>43650</v>
      </c>
      <c r="C888" s="32">
        <v>37.931699999999999</v>
      </c>
      <c r="D888" s="7">
        <v>885.7</v>
      </c>
      <c r="E888" s="49">
        <f t="shared" si="27"/>
        <v>3.0805938350077895E-2</v>
      </c>
      <c r="F888" s="49">
        <f t="shared" si="28"/>
        <v>-3.218690915638674E-3</v>
      </c>
    </row>
    <row r="889" spans="2:6">
      <c r="B889" s="51">
        <v>43651</v>
      </c>
      <c r="C889" s="32">
        <v>39.239699999999999</v>
      </c>
      <c r="D889" s="7">
        <v>891.17</v>
      </c>
      <c r="E889" s="49">
        <f t="shared" si="27"/>
        <v>3.4483031343177338E-2</v>
      </c>
      <c r="F889" s="49">
        <f t="shared" si="28"/>
        <v>6.175906063000918E-3</v>
      </c>
    </row>
    <row r="890" spans="2:6">
      <c r="B890" s="51">
        <v>43654</v>
      </c>
      <c r="C890" s="32">
        <v>39.675699999999999</v>
      </c>
      <c r="D890" s="7">
        <v>883.18</v>
      </c>
      <c r="E890" s="49">
        <f t="shared" si="27"/>
        <v>1.1111196059093213E-2</v>
      </c>
      <c r="F890" s="49">
        <f t="shared" si="28"/>
        <v>-8.9657416654510477E-3</v>
      </c>
    </row>
    <row r="891" spans="2:6">
      <c r="B891" s="51">
        <v>43655</v>
      </c>
      <c r="C891" s="32">
        <v>39.9373</v>
      </c>
      <c r="D891" s="7">
        <v>883.08</v>
      </c>
      <c r="E891" s="49">
        <f t="shared" si="27"/>
        <v>6.593456448153439E-3</v>
      </c>
      <c r="F891" s="49">
        <f t="shared" si="28"/>
        <v>-1.1322720170283414E-4</v>
      </c>
    </row>
    <row r="892" spans="2:6">
      <c r="B892" s="51">
        <v>43656</v>
      </c>
      <c r="C892" s="32">
        <v>39.588500000000003</v>
      </c>
      <c r="D892" s="7">
        <v>883.5</v>
      </c>
      <c r="E892" s="49">
        <f t="shared" si="27"/>
        <v>-8.733690059167673E-3</v>
      </c>
      <c r="F892" s="49">
        <f t="shared" si="28"/>
        <v>4.756080989264382E-4</v>
      </c>
    </row>
    <row r="893" spans="2:6">
      <c r="B893" s="51">
        <v>43657</v>
      </c>
      <c r="C893" s="32">
        <v>39.762900000000002</v>
      </c>
      <c r="D893" s="7">
        <v>881.77</v>
      </c>
      <c r="E893" s="49">
        <f t="shared" si="27"/>
        <v>4.405319726688269E-3</v>
      </c>
      <c r="F893" s="49">
        <f t="shared" si="28"/>
        <v>-1.958121109224695E-3</v>
      </c>
    </row>
    <row r="894" spans="2:6">
      <c r="B894" s="51">
        <v>43658</v>
      </c>
      <c r="C894" s="32">
        <v>39.501300000000001</v>
      </c>
      <c r="D894" s="7">
        <v>880.5</v>
      </c>
      <c r="E894" s="49">
        <f t="shared" si="27"/>
        <v>-6.5789970047456644E-3</v>
      </c>
      <c r="F894" s="49">
        <f t="shared" si="28"/>
        <v>-1.4402848815450535E-3</v>
      </c>
    </row>
    <row r="895" spans="2:6">
      <c r="B895" s="51">
        <v>43661</v>
      </c>
      <c r="C895" s="32">
        <v>39.9373</v>
      </c>
      <c r="D895" s="7">
        <v>874.11</v>
      </c>
      <c r="E895" s="49">
        <f t="shared" si="27"/>
        <v>1.1037611420383632E-2</v>
      </c>
      <c r="F895" s="49">
        <f t="shared" si="28"/>
        <v>-7.2572402044292859E-3</v>
      </c>
    </row>
    <row r="896" spans="2:6">
      <c r="B896" s="51">
        <v>43662</v>
      </c>
      <c r="C896" s="32">
        <v>39.850099999999998</v>
      </c>
      <c r="D896" s="7">
        <v>867.84</v>
      </c>
      <c r="E896" s="49">
        <f t="shared" si="27"/>
        <v>-2.1834225147920072E-3</v>
      </c>
      <c r="F896" s="49">
        <f t="shared" si="28"/>
        <v>-7.1730102618663347E-3</v>
      </c>
    </row>
    <row r="897" spans="2:6">
      <c r="B897" s="51">
        <v>43663</v>
      </c>
      <c r="C897" s="32">
        <v>40.111699999999999</v>
      </c>
      <c r="D897" s="7">
        <v>861.89</v>
      </c>
      <c r="E897" s="49">
        <f t="shared" si="27"/>
        <v>6.5646008416541338E-3</v>
      </c>
      <c r="F897" s="49">
        <f t="shared" si="28"/>
        <v>-6.8561025073746833E-3</v>
      </c>
    </row>
    <row r="898" spans="2:6">
      <c r="B898" s="51">
        <v>43664</v>
      </c>
      <c r="C898" s="32">
        <v>39.9373</v>
      </c>
      <c r="D898" s="7">
        <v>863.22</v>
      </c>
      <c r="E898" s="49">
        <f t="shared" si="27"/>
        <v>-4.3478586048459316E-3</v>
      </c>
      <c r="F898" s="49">
        <f t="shared" si="28"/>
        <v>1.5431203517850781E-3</v>
      </c>
    </row>
    <row r="899" spans="2:6">
      <c r="B899" s="51">
        <v>43665</v>
      </c>
      <c r="C899" s="32">
        <v>39.239699999999999</v>
      </c>
      <c r="D899" s="7">
        <v>865.27</v>
      </c>
      <c r="E899" s="49">
        <f t="shared" si="27"/>
        <v>-1.7467380118335523E-2</v>
      </c>
      <c r="F899" s="49">
        <f t="shared" si="28"/>
        <v>2.374829128148044E-3</v>
      </c>
    </row>
    <row r="900" spans="2:6">
      <c r="B900" s="51">
        <v>43668</v>
      </c>
      <c r="C900" s="32">
        <v>39.762900000000002</v>
      </c>
      <c r="D900" s="7">
        <v>874.74</v>
      </c>
      <c r="E900" s="49">
        <f t="shared" si="27"/>
        <v>1.3333435270911928E-2</v>
      </c>
      <c r="F900" s="49">
        <f t="shared" si="28"/>
        <v>1.0944560657367096E-2</v>
      </c>
    </row>
    <row r="901" spans="2:6">
      <c r="B901" s="51">
        <v>43669</v>
      </c>
      <c r="C901" s="32">
        <v>38.803699999999999</v>
      </c>
      <c r="D901" s="7">
        <v>871.88</v>
      </c>
      <c r="E901" s="49">
        <f t="shared" si="27"/>
        <v>-2.412298901740071E-2</v>
      </c>
      <c r="F901" s="49">
        <f t="shared" si="28"/>
        <v>-3.2695429499051301E-3</v>
      </c>
    </row>
    <row r="902" spans="2:6">
      <c r="B902" s="51">
        <v>43670</v>
      </c>
      <c r="C902" s="32">
        <v>38.803699999999999</v>
      </c>
      <c r="D902" s="7">
        <v>863.8</v>
      </c>
      <c r="E902" s="49">
        <f t="shared" si="27"/>
        <v>0</v>
      </c>
      <c r="F902" s="49">
        <f t="shared" si="28"/>
        <v>-9.2673303665642536E-3</v>
      </c>
    </row>
    <row r="903" spans="2:6">
      <c r="B903" s="51">
        <v>43671</v>
      </c>
      <c r="C903" s="32">
        <v>38.367699999999999</v>
      </c>
      <c r="D903" s="7">
        <v>867.4</v>
      </c>
      <c r="E903" s="49">
        <f t="shared" si="27"/>
        <v>-1.1236041923837158E-2</v>
      </c>
      <c r="F903" s="49">
        <f t="shared" si="28"/>
        <v>4.167631396156544E-3</v>
      </c>
    </row>
    <row r="904" spans="2:6">
      <c r="B904" s="51">
        <v>43672</v>
      </c>
      <c r="C904" s="32">
        <v>38.890900000000002</v>
      </c>
      <c r="D904" s="7">
        <v>865.08</v>
      </c>
      <c r="E904" s="49">
        <f t="shared" si="27"/>
        <v>1.3636470260140764E-2</v>
      </c>
      <c r="F904" s="49">
        <f t="shared" si="28"/>
        <v>-2.6746599031587923E-3</v>
      </c>
    </row>
    <row r="905" spans="2:6">
      <c r="B905" s="51">
        <v>43675</v>
      </c>
      <c r="C905" s="32">
        <v>38.542099999999998</v>
      </c>
      <c r="D905" s="7">
        <v>852.4</v>
      </c>
      <c r="E905" s="49">
        <f t="shared" si="27"/>
        <v>-8.9686790483121809E-3</v>
      </c>
      <c r="F905" s="49">
        <f t="shared" si="28"/>
        <v>-1.4657603921024718E-2</v>
      </c>
    </row>
    <row r="906" spans="2:6">
      <c r="B906" s="51">
        <v>43676</v>
      </c>
      <c r="C906" s="32">
        <v>40.024500000000003</v>
      </c>
      <c r="D906" s="7">
        <v>859.14</v>
      </c>
      <c r="E906" s="49">
        <f t="shared" si="27"/>
        <v>3.846183783447206E-2</v>
      </c>
      <c r="F906" s="49">
        <f t="shared" si="28"/>
        <v>7.907085875175985E-3</v>
      </c>
    </row>
    <row r="907" spans="2:6">
      <c r="B907" s="51">
        <v>43677</v>
      </c>
      <c r="C907" s="32">
        <v>39.501300000000001</v>
      </c>
      <c r="D907" s="7">
        <v>863.26</v>
      </c>
      <c r="E907" s="49">
        <f t="shared" si="27"/>
        <v>-1.3071993404040094E-2</v>
      </c>
      <c r="F907" s="49">
        <f t="shared" si="28"/>
        <v>4.7954931675861963E-3</v>
      </c>
    </row>
    <row r="908" spans="2:6">
      <c r="B908" s="51">
        <v>43678</v>
      </c>
      <c r="C908" s="32">
        <v>39.9373</v>
      </c>
      <c r="D908" s="7">
        <v>853.58</v>
      </c>
      <c r="E908" s="49">
        <f t="shared" si="27"/>
        <v>1.1037611420383632E-2</v>
      </c>
      <c r="F908" s="49">
        <f t="shared" si="28"/>
        <v>-1.1213307694089788E-2</v>
      </c>
    </row>
    <row r="909" spans="2:6">
      <c r="B909" s="51">
        <v>43679</v>
      </c>
      <c r="C909" s="32">
        <v>39.850099999999998</v>
      </c>
      <c r="D909" s="7">
        <v>834.21</v>
      </c>
      <c r="E909" s="49">
        <f t="shared" si="27"/>
        <v>-2.1834225147920072E-3</v>
      </c>
      <c r="F909" s="49">
        <f t="shared" si="28"/>
        <v>-2.2692659153213529E-2</v>
      </c>
    </row>
    <row r="910" spans="2:6">
      <c r="B910" s="51">
        <v>43682</v>
      </c>
      <c r="C910" s="32">
        <v>38.978099999999998</v>
      </c>
      <c r="D910" s="7">
        <v>837.49</v>
      </c>
      <c r="E910" s="49">
        <f t="shared" si="27"/>
        <v>-2.188200280551366E-2</v>
      </c>
      <c r="F910" s="49">
        <f t="shared" si="28"/>
        <v>3.9318636794092284E-3</v>
      </c>
    </row>
    <row r="911" spans="2:6">
      <c r="B911" s="51">
        <v>43683</v>
      </c>
      <c r="C911" s="32">
        <v>38.367699999999999</v>
      </c>
      <c r="D911" s="7">
        <v>830.34</v>
      </c>
      <c r="E911" s="49">
        <f t="shared" ref="E911:E974" si="29">(C911-C910)/C910</f>
        <v>-1.5660075786146543E-2</v>
      </c>
      <c r="F911" s="49">
        <f t="shared" ref="F911:F974" si="30">(D911-D910)/D910</f>
        <v>-8.5374153721238192E-3</v>
      </c>
    </row>
    <row r="912" spans="2:6">
      <c r="B912" s="51">
        <v>43684</v>
      </c>
      <c r="C912" s="32">
        <v>38.367699999999999</v>
      </c>
      <c r="D912" s="7">
        <v>842.64</v>
      </c>
      <c r="E912" s="49">
        <f t="shared" si="29"/>
        <v>0</v>
      </c>
      <c r="F912" s="49">
        <f t="shared" si="30"/>
        <v>1.4813209046896397E-2</v>
      </c>
    </row>
    <row r="913" spans="2:6">
      <c r="B913" s="51">
        <v>43685</v>
      </c>
      <c r="C913" s="32">
        <v>39.675699999999999</v>
      </c>
      <c r="D913" s="7">
        <v>837.82</v>
      </c>
      <c r="E913" s="49">
        <f t="shared" si="29"/>
        <v>3.4091175650351725E-2</v>
      </c>
      <c r="F913" s="49">
        <f t="shared" si="30"/>
        <v>-5.7201177252443943E-3</v>
      </c>
    </row>
    <row r="914" spans="2:6">
      <c r="B914" s="51">
        <v>43686</v>
      </c>
      <c r="C914" s="32">
        <v>38.716500000000003</v>
      </c>
      <c r="D914" s="7">
        <v>834.98</v>
      </c>
      <c r="E914" s="49">
        <f t="shared" si="29"/>
        <v>-2.4176006976562369E-2</v>
      </c>
      <c r="F914" s="49">
        <f t="shared" si="30"/>
        <v>-3.3897495882170771E-3</v>
      </c>
    </row>
    <row r="915" spans="2:6">
      <c r="B915" s="51">
        <v>43689</v>
      </c>
      <c r="C915" s="32">
        <v>38.542099999999998</v>
      </c>
      <c r="D915" s="7">
        <v>842.78</v>
      </c>
      <c r="E915" s="49">
        <f t="shared" si="29"/>
        <v>-4.5045394082627727E-3</v>
      </c>
      <c r="F915" s="49">
        <f t="shared" si="30"/>
        <v>9.3415411147571847E-3</v>
      </c>
    </row>
    <row r="916" spans="2:6">
      <c r="B916" s="51">
        <v>43690</v>
      </c>
      <c r="C916" s="32">
        <v>39.152500000000003</v>
      </c>
      <c r="D916" s="7">
        <v>822.67</v>
      </c>
      <c r="E916" s="49">
        <f t="shared" si="29"/>
        <v>1.5837227343606229E-2</v>
      </c>
      <c r="F916" s="49">
        <f t="shared" si="30"/>
        <v>-2.3861505968342883E-2</v>
      </c>
    </row>
    <row r="917" spans="2:6">
      <c r="B917" s="51">
        <v>43691</v>
      </c>
      <c r="C917" s="32">
        <v>38.803699999999999</v>
      </c>
      <c r="D917" s="7">
        <v>817.93</v>
      </c>
      <c r="E917" s="49">
        <f t="shared" si="29"/>
        <v>-8.9087542302536023E-3</v>
      </c>
      <c r="F917" s="49">
        <f t="shared" si="30"/>
        <v>-5.7617270594527686E-3</v>
      </c>
    </row>
    <row r="918" spans="2:6">
      <c r="B918" s="51">
        <v>43692</v>
      </c>
      <c r="C918" s="32">
        <v>37.582900000000002</v>
      </c>
      <c r="D918" s="7">
        <v>827.08</v>
      </c>
      <c r="E918" s="49">
        <f t="shared" si="29"/>
        <v>-3.1460917386743968E-2</v>
      </c>
      <c r="F918" s="49">
        <f t="shared" si="30"/>
        <v>1.1186776374506487E-2</v>
      </c>
    </row>
    <row r="919" spans="2:6">
      <c r="B919" s="51">
        <v>43693</v>
      </c>
      <c r="C919" s="32">
        <v>37.931699999999999</v>
      </c>
      <c r="D919" s="7">
        <v>840.76</v>
      </c>
      <c r="E919" s="49">
        <f t="shared" si="29"/>
        <v>9.280816541565368E-3</v>
      </c>
      <c r="F919" s="49">
        <f t="shared" si="30"/>
        <v>1.6540117038255003E-2</v>
      </c>
    </row>
    <row r="920" spans="2:6">
      <c r="B920" s="51">
        <v>43696</v>
      </c>
      <c r="C920" s="32">
        <v>38.803699999999999</v>
      </c>
      <c r="D920" s="7">
        <v>839.74</v>
      </c>
      <c r="E920" s="49">
        <f t="shared" si="29"/>
        <v>2.2988687562118224E-2</v>
      </c>
      <c r="F920" s="49">
        <f t="shared" si="30"/>
        <v>-1.2131880679385101E-3</v>
      </c>
    </row>
    <row r="921" spans="2:6">
      <c r="B921" s="51">
        <v>43697</v>
      </c>
      <c r="C921" s="32">
        <v>39.850099999999998</v>
      </c>
      <c r="D921" s="7">
        <v>844.63</v>
      </c>
      <c r="E921" s="49">
        <f t="shared" si="29"/>
        <v>2.6966500617209146E-2</v>
      </c>
      <c r="F921" s="49">
        <f t="shared" si="30"/>
        <v>5.8232310000714341E-3</v>
      </c>
    </row>
    <row r="922" spans="2:6">
      <c r="B922" s="51">
        <v>43698</v>
      </c>
      <c r="C922" s="32">
        <v>39.326900000000002</v>
      </c>
      <c r="D922" s="7">
        <v>845.04</v>
      </c>
      <c r="E922" s="49">
        <f t="shared" si="29"/>
        <v>-1.3129201683308089E-2</v>
      </c>
      <c r="F922" s="49">
        <f t="shared" si="30"/>
        <v>4.8541965120818369E-4</v>
      </c>
    </row>
    <row r="923" spans="2:6">
      <c r="B923" s="51">
        <v>43699</v>
      </c>
      <c r="C923" s="32">
        <v>39.239699999999999</v>
      </c>
      <c r="D923" s="7">
        <v>840.32</v>
      </c>
      <c r="E923" s="49">
        <f t="shared" si="29"/>
        <v>-2.2173118145595717E-3</v>
      </c>
      <c r="F923" s="49">
        <f t="shared" si="30"/>
        <v>-5.5855344125720838E-3</v>
      </c>
    </row>
    <row r="924" spans="2:6">
      <c r="B924" s="51">
        <v>43700</v>
      </c>
      <c r="C924" s="32">
        <v>39.239699999999999</v>
      </c>
      <c r="D924" s="7">
        <v>833.73</v>
      </c>
      <c r="E924" s="49">
        <f t="shared" si="29"/>
        <v>0</v>
      </c>
      <c r="F924" s="49">
        <f t="shared" si="30"/>
        <v>-7.8422505712110041E-3</v>
      </c>
    </row>
    <row r="925" spans="2:6">
      <c r="B925" s="51">
        <v>43703</v>
      </c>
      <c r="C925" s="32">
        <v>39.152500000000003</v>
      </c>
      <c r="D925" s="7">
        <v>841.18</v>
      </c>
      <c r="E925" s="49">
        <f t="shared" si="29"/>
        <v>-2.2222392118185341E-3</v>
      </c>
      <c r="F925" s="49">
        <f t="shared" si="30"/>
        <v>8.9357465846256357E-3</v>
      </c>
    </row>
    <row r="926" spans="2:6">
      <c r="B926" s="51">
        <v>43704</v>
      </c>
      <c r="C926" s="32">
        <v>38.280500000000004</v>
      </c>
      <c r="D926" s="7">
        <v>840.08</v>
      </c>
      <c r="E926" s="49">
        <f t="shared" si="29"/>
        <v>-2.2271885575633733E-2</v>
      </c>
      <c r="F926" s="49">
        <f t="shared" si="30"/>
        <v>-1.3076868208943496E-3</v>
      </c>
    </row>
    <row r="927" spans="2:6">
      <c r="B927" s="51">
        <v>43705</v>
      </c>
      <c r="C927" s="32">
        <v>38.367699999999999</v>
      </c>
      <c r="D927" s="7">
        <v>852.65</v>
      </c>
      <c r="E927" s="49">
        <f t="shared" si="29"/>
        <v>2.2779221796997355E-3</v>
      </c>
      <c r="F927" s="49">
        <f t="shared" si="30"/>
        <v>1.4962860679935167E-2</v>
      </c>
    </row>
    <row r="928" spans="2:6">
      <c r="B928" s="51">
        <v>43706</v>
      </c>
      <c r="C928" s="32">
        <v>39.239699999999999</v>
      </c>
      <c r="D928" s="7">
        <v>861.29</v>
      </c>
      <c r="E928" s="49">
        <f t="shared" si="29"/>
        <v>2.2727450433567817E-2</v>
      </c>
      <c r="F928" s="49">
        <f t="shared" si="30"/>
        <v>1.0133114408022033E-2</v>
      </c>
    </row>
    <row r="929" spans="2:6">
      <c r="B929" s="51">
        <v>43707</v>
      </c>
      <c r="C929" s="32">
        <v>39.675699999999999</v>
      </c>
      <c r="D929" s="7">
        <v>859.24</v>
      </c>
      <c r="E929" s="49">
        <f t="shared" si="29"/>
        <v>1.1111196059093213E-2</v>
      </c>
      <c r="F929" s="49">
        <f t="shared" si="30"/>
        <v>-2.3801507041762409E-3</v>
      </c>
    </row>
    <row r="930" spans="2:6">
      <c r="B930" s="51">
        <v>43710</v>
      </c>
      <c r="C930" s="32">
        <v>38.803699999999999</v>
      </c>
      <c r="D930" s="7">
        <v>850.61</v>
      </c>
      <c r="E930" s="49">
        <f t="shared" si="29"/>
        <v>-2.1978188160511343E-2</v>
      </c>
      <c r="F930" s="49">
        <f t="shared" si="30"/>
        <v>-1.0043759601508304E-2</v>
      </c>
    </row>
    <row r="931" spans="2:6">
      <c r="B931" s="51">
        <v>43711</v>
      </c>
      <c r="C931" s="32">
        <v>37.931699999999999</v>
      </c>
      <c r="D931" s="7">
        <v>858.51</v>
      </c>
      <c r="E931" s="49">
        <f t="shared" si="29"/>
        <v>-2.2472083847674316E-2</v>
      </c>
      <c r="F931" s="49">
        <f t="shared" si="30"/>
        <v>9.2874525340637618E-3</v>
      </c>
    </row>
    <row r="932" spans="2:6">
      <c r="B932" s="51">
        <v>43712</v>
      </c>
      <c r="C932" s="32">
        <v>37.582900000000002</v>
      </c>
      <c r="D932" s="7">
        <v>876.31</v>
      </c>
      <c r="E932" s="49">
        <f t="shared" si="29"/>
        <v>-9.1954750248472161E-3</v>
      </c>
      <c r="F932" s="49">
        <f t="shared" si="30"/>
        <v>2.0733596580121319E-2</v>
      </c>
    </row>
    <row r="933" spans="2:6">
      <c r="B933" s="51">
        <v>43713</v>
      </c>
      <c r="C933" s="32">
        <v>37.931699999999999</v>
      </c>
      <c r="D933" s="7">
        <v>868.21</v>
      </c>
      <c r="E933" s="49">
        <f t="shared" si="29"/>
        <v>9.280816541565368E-3</v>
      </c>
      <c r="F933" s="49">
        <f t="shared" si="30"/>
        <v>-9.243304310118463E-3</v>
      </c>
    </row>
    <row r="934" spans="2:6">
      <c r="B934" s="51">
        <v>43714</v>
      </c>
      <c r="C934" s="32">
        <v>37.670099999999998</v>
      </c>
      <c r="D934" s="7">
        <v>867.46</v>
      </c>
      <c r="E934" s="49">
        <f t="shared" si="29"/>
        <v>-6.8966062686355049E-3</v>
      </c>
      <c r="F934" s="49">
        <f t="shared" si="30"/>
        <v>-8.6384630446550948E-4</v>
      </c>
    </row>
    <row r="935" spans="2:6">
      <c r="B935" s="51">
        <v>43717</v>
      </c>
      <c r="C935" s="32">
        <v>37.757300000000001</v>
      </c>
      <c r="D935" s="7">
        <v>871.71</v>
      </c>
      <c r="E935" s="49">
        <f t="shared" si="29"/>
        <v>2.314833249712712E-3</v>
      </c>
      <c r="F935" s="49">
        <f t="shared" si="30"/>
        <v>4.8993613538376411E-3</v>
      </c>
    </row>
    <row r="936" spans="2:6">
      <c r="B936" s="51">
        <v>43718</v>
      </c>
      <c r="C936" s="32">
        <v>37.757300000000001</v>
      </c>
      <c r="D936" s="7">
        <v>884.85</v>
      </c>
      <c r="E936" s="49">
        <f t="shared" si="29"/>
        <v>0</v>
      </c>
      <c r="F936" s="49">
        <f t="shared" si="30"/>
        <v>1.5073820421929295E-2</v>
      </c>
    </row>
    <row r="937" spans="2:6">
      <c r="B937" s="51">
        <v>43719</v>
      </c>
      <c r="C937" s="32">
        <v>37.931699999999999</v>
      </c>
      <c r="D937" s="7">
        <v>882.63</v>
      </c>
      <c r="E937" s="49">
        <f t="shared" si="29"/>
        <v>4.6189743440340951E-3</v>
      </c>
      <c r="F937" s="49">
        <f t="shared" si="30"/>
        <v>-2.5088998135277475E-3</v>
      </c>
    </row>
    <row r="938" spans="2:6">
      <c r="B938" s="51">
        <v>43720</v>
      </c>
      <c r="C938" s="32">
        <v>37.844499999999996</v>
      </c>
      <c r="D938" s="7">
        <v>888.32</v>
      </c>
      <c r="E938" s="49">
        <f t="shared" si="29"/>
        <v>-2.2988687562118977E-3</v>
      </c>
      <c r="F938" s="49">
        <f t="shared" si="30"/>
        <v>6.4466424209465517E-3</v>
      </c>
    </row>
    <row r="939" spans="2:6">
      <c r="B939" s="51">
        <v>43721</v>
      </c>
      <c r="C939" s="32">
        <v>37.582900000000002</v>
      </c>
      <c r="D939" s="7">
        <v>899.55</v>
      </c>
      <c r="E939" s="49">
        <f t="shared" si="29"/>
        <v>-6.9124971924584633E-3</v>
      </c>
      <c r="F939" s="49">
        <f t="shared" si="30"/>
        <v>1.2641840778097874E-2</v>
      </c>
    </row>
    <row r="940" spans="2:6">
      <c r="B940" s="51">
        <v>43724</v>
      </c>
      <c r="C940" s="32">
        <v>37.495699999999999</v>
      </c>
      <c r="D940" s="7">
        <v>890.41</v>
      </c>
      <c r="E940" s="49">
        <f t="shared" si="29"/>
        <v>-2.3202041353914365E-3</v>
      </c>
      <c r="F940" s="49">
        <f t="shared" si="30"/>
        <v>-1.0160635873492287E-2</v>
      </c>
    </row>
    <row r="941" spans="2:6">
      <c r="B941" s="51">
        <v>43725</v>
      </c>
      <c r="C941" s="32">
        <v>37.931699999999999</v>
      </c>
      <c r="D941" s="7">
        <v>899.49</v>
      </c>
      <c r="E941" s="49">
        <f t="shared" si="29"/>
        <v>1.1628000010667888E-2</v>
      </c>
      <c r="F941" s="49">
        <f t="shared" si="30"/>
        <v>1.0197549443514831E-2</v>
      </c>
    </row>
    <row r="942" spans="2:6">
      <c r="B942" s="51">
        <v>43726</v>
      </c>
      <c r="C942" s="32">
        <v>37.931699999999999</v>
      </c>
      <c r="D942" s="7">
        <v>898.51</v>
      </c>
      <c r="E942" s="49">
        <f t="shared" si="29"/>
        <v>0</v>
      </c>
      <c r="F942" s="49">
        <f t="shared" si="30"/>
        <v>-1.0895062757785168E-3</v>
      </c>
    </row>
    <row r="943" spans="2:6">
      <c r="B943" s="51">
        <v>43727</v>
      </c>
      <c r="C943" s="32">
        <v>37.321300000000001</v>
      </c>
      <c r="D943" s="7">
        <v>904.91</v>
      </c>
      <c r="E943" s="49">
        <f t="shared" si="29"/>
        <v>-1.6092081293482722E-2</v>
      </c>
      <c r="F943" s="49">
        <f t="shared" si="30"/>
        <v>7.1229034735283718E-3</v>
      </c>
    </row>
    <row r="944" spans="2:6">
      <c r="B944" s="51">
        <v>43728</v>
      </c>
      <c r="C944" s="32">
        <v>37.931699999999999</v>
      </c>
      <c r="D944" s="7">
        <v>897.85</v>
      </c>
      <c r="E944" s="49">
        <f t="shared" si="29"/>
        <v>1.6355271654524321E-2</v>
      </c>
      <c r="F944" s="49">
        <f t="shared" si="30"/>
        <v>-7.8018808500292247E-3</v>
      </c>
    </row>
    <row r="945" spans="2:6">
      <c r="B945" s="51">
        <v>43731</v>
      </c>
      <c r="C945" s="32">
        <v>37.670099999999998</v>
      </c>
      <c r="D945" s="7">
        <v>890.84</v>
      </c>
      <c r="E945" s="49">
        <f t="shared" si="29"/>
        <v>-6.8966062686355049E-3</v>
      </c>
      <c r="F945" s="49">
        <f t="shared" si="30"/>
        <v>-7.8075402350058368E-3</v>
      </c>
    </row>
    <row r="946" spans="2:6">
      <c r="B946" s="51">
        <v>43732</v>
      </c>
      <c r="C946" s="32">
        <v>38.018900000000002</v>
      </c>
      <c r="D946" s="7">
        <v>880.16</v>
      </c>
      <c r="E946" s="49">
        <f t="shared" si="29"/>
        <v>9.2593329988506605E-3</v>
      </c>
      <c r="F946" s="49">
        <f t="shared" si="30"/>
        <v>-1.1988684836783331E-2</v>
      </c>
    </row>
    <row r="947" spans="2:6">
      <c r="B947" s="51">
        <v>43733</v>
      </c>
      <c r="C947" s="32">
        <v>37.844499999999996</v>
      </c>
      <c r="D947" s="7">
        <v>880.7</v>
      </c>
      <c r="E947" s="49">
        <f t="shared" si="29"/>
        <v>-4.5871921596891451E-3</v>
      </c>
      <c r="F947" s="49">
        <f t="shared" si="30"/>
        <v>6.1352481367032963E-4</v>
      </c>
    </row>
    <row r="948" spans="2:6">
      <c r="B948" s="51">
        <v>43734</v>
      </c>
      <c r="C948" s="32">
        <v>38.193300000000001</v>
      </c>
      <c r="D948" s="7">
        <v>884.26</v>
      </c>
      <c r="E948" s="49">
        <f t="shared" si="29"/>
        <v>9.2166629232782633E-3</v>
      </c>
      <c r="F948" s="49">
        <f t="shared" si="30"/>
        <v>4.0422391279663281E-3</v>
      </c>
    </row>
    <row r="949" spans="2:6">
      <c r="B949" s="51">
        <v>43735</v>
      </c>
      <c r="C949" s="32">
        <v>38.106099999999998</v>
      </c>
      <c r="D949" s="7">
        <v>886.6</v>
      </c>
      <c r="E949" s="49">
        <f t="shared" si="29"/>
        <v>-2.2831229561206504E-3</v>
      </c>
      <c r="F949" s="49">
        <f t="shared" si="30"/>
        <v>2.6462805057336438E-3</v>
      </c>
    </row>
    <row r="950" spans="2:6">
      <c r="B950" s="51">
        <v>43738</v>
      </c>
      <c r="C950" s="32">
        <v>38.803699999999999</v>
      </c>
      <c r="D950" s="7">
        <v>886.97</v>
      </c>
      <c r="E950" s="49">
        <f t="shared" si="29"/>
        <v>1.8306780279272909E-2</v>
      </c>
      <c r="F950" s="49">
        <f t="shared" si="30"/>
        <v>4.1732461087300307E-4</v>
      </c>
    </row>
    <row r="951" spans="2:6">
      <c r="B951" s="51">
        <v>43739</v>
      </c>
      <c r="C951" s="32">
        <v>37.670099999999998</v>
      </c>
      <c r="D951" s="7">
        <v>867.66</v>
      </c>
      <c r="E951" s="49">
        <f t="shared" si="29"/>
        <v>-2.9213709001976649E-2</v>
      </c>
      <c r="F951" s="49">
        <f t="shared" si="30"/>
        <v>-2.1770747601384553E-2</v>
      </c>
    </row>
    <row r="952" spans="2:6">
      <c r="B952" s="51">
        <v>43740</v>
      </c>
      <c r="C952" s="32">
        <v>38.542099999999998</v>
      </c>
      <c r="D952" s="7">
        <v>856.05</v>
      </c>
      <c r="E952" s="49">
        <f t="shared" si="29"/>
        <v>2.3148332497126365E-2</v>
      </c>
      <c r="F952" s="49">
        <f t="shared" si="30"/>
        <v>-1.338081737085957E-2</v>
      </c>
    </row>
    <row r="953" spans="2:6">
      <c r="B953" s="51">
        <v>43741</v>
      </c>
      <c r="C953" s="32">
        <v>37.931699999999999</v>
      </c>
      <c r="D953" s="7">
        <v>869.1</v>
      </c>
      <c r="E953" s="49">
        <f t="shared" si="29"/>
        <v>-1.5837227343606045E-2</v>
      </c>
      <c r="F953" s="49">
        <f t="shared" si="30"/>
        <v>1.524443665673742E-2</v>
      </c>
    </row>
    <row r="954" spans="2:6">
      <c r="B954" s="51">
        <v>43742</v>
      </c>
      <c r="C954" s="32">
        <v>38.018900000000002</v>
      </c>
      <c r="D954" s="7">
        <v>883.85</v>
      </c>
      <c r="E954" s="49">
        <f t="shared" si="29"/>
        <v>2.2988687562118977E-3</v>
      </c>
      <c r="F954" s="49">
        <f t="shared" si="30"/>
        <v>1.6971579795190428E-2</v>
      </c>
    </row>
    <row r="955" spans="2:6">
      <c r="B955" s="51">
        <v>43745</v>
      </c>
      <c r="C955" s="32">
        <v>38.716500000000003</v>
      </c>
      <c r="D955" s="7">
        <v>872.78</v>
      </c>
      <c r="E955" s="49">
        <f t="shared" si="29"/>
        <v>1.8348768638756022E-2</v>
      </c>
      <c r="F955" s="49">
        <f t="shared" si="30"/>
        <v>-1.2524749674718618E-2</v>
      </c>
    </row>
    <row r="956" spans="2:6">
      <c r="B956" s="51">
        <v>43746</v>
      </c>
      <c r="C956" s="32">
        <v>38.193300000000001</v>
      </c>
      <c r="D956" s="7">
        <v>871.51</v>
      </c>
      <c r="E956" s="49">
        <f t="shared" si="29"/>
        <v>-1.3513618224787952E-2</v>
      </c>
      <c r="F956" s="49">
        <f t="shared" si="30"/>
        <v>-1.4551204198079491E-3</v>
      </c>
    </row>
    <row r="957" spans="2:6">
      <c r="B957" s="51">
        <v>43747</v>
      </c>
      <c r="C957" s="32">
        <v>38.367699999999999</v>
      </c>
      <c r="D957" s="7">
        <v>878.73</v>
      </c>
      <c r="E957" s="49">
        <f t="shared" si="29"/>
        <v>4.5662459122411143E-3</v>
      </c>
      <c r="F957" s="49">
        <f t="shared" si="30"/>
        <v>8.2844717788665961E-3</v>
      </c>
    </row>
    <row r="958" spans="2:6">
      <c r="B958" s="51">
        <v>43748</v>
      </c>
      <c r="C958" s="32">
        <v>38.716500000000003</v>
      </c>
      <c r="D958" s="7">
        <v>886.03</v>
      </c>
      <c r="E958" s="49">
        <f t="shared" si="29"/>
        <v>9.0909801734272381E-3</v>
      </c>
      <c r="F958" s="49">
        <f t="shared" si="30"/>
        <v>8.3074436971537959E-3</v>
      </c>
    </row>
    <row r="959" spans="2:6">
      <c r="B959" s="51">
        <v>43749</v>
      </c>
      <c r="C959" s="32">
        <v>38.803699999999999</v>
      </c>
      <c r="D959" s="7">
        <v>874.99</v>
      </c>
      <c r="E959" s="49">
        <f t="shared" si="29"/>
        <v>2.2522697041312029E-3</v>
      </c>
      <c r="F959" s="49">
        <f t="shared" si="30"/>
        <v>-1.2460074715303053E-2</v>
      </c>
    </row>
    <row r="960" spans="2:6">
      <c r="B960" s="51">
        <v>43752</v>
      </c>
      <c r="C960" s="32">
        <v>38.716500000000003</v>
      </c>
      <c r="D960" s="7">
        <v>880.25</v>
      </c>
      <c r="E960" s="49">
        <f t="shared" si="29"/>
        <v>-2.2472083847673218E-3</v>
      </c>
      <c r="F960" s="49">
        <f t="shared" si="30"/>
        <v>6.0114972742545524E-3</v>
      </c>
    </row>
    <row r="961" spans="2:6">
      <c r="B961" s="51">
        <v>43753</v>
      </c>
      <c r="C961" s="32">
        <v>38.803699999999999</v>
      </c>
      <c r="D961" s="7">
        <v>887.31</v>
      </c>
      <c r="E961" s="49">
        <f t="shared" si="29"/>
        <v>2.2522697041312029E-3</v>
      </c>
      <c r="F961" s="49">
        <f t="shared" si="30"/>
        <v>8.020448736154439E-3</v>
      </c>
    </row>
    <row r="962" spans="2:6">
      <c r="B962" s="51">
        <v>43754</v>
      </c>
      <c r="C962" s="32">
        <v>39.065300000000001</v>
      </c>
      <c r="D962" s="7">
        <v>893.65</v>
      </c>
      <c r="E962" s="49">
        <f t="shared" si="29"/>
        <v>6.7416251543023316E-3</v>
      </c>
      <c r="F962" s="49">
        <f t="shared" si="30"/>
        <v>7.1451916466624202E-3</v>
      </c>
    </row>
    <row r="963" spans="2:6">
      <c r="B963" s="51">
        <v>43755</v>
      </c>
      <c r="C963" s="32">
        <v>39.065300000000001</v>
      </c>
      <c r="D963" s="7">
        <v>893.12</v>
      </c>
      <c r="E963" s="49">
        <f t="shared" si="29"/>
        <v>0</v>
      </c>
      <c r="F963" s="49">
        <f t="shared" si="30"/>
        <v>-5.9307335086440183E-4</v>
      </c>
    </row>
    <row r="964" spans="2:6">
      <c r="B964" s="51">
        <v>43756</v>
      </c>
      <c r="C964" s="32">
        <v>38.367699999999999</v>
      </c>
      <c r="D964" s="7">
        <v>899.45</v>
      </c>
      <c r="E964" s="49">
        <f t="shared" si="29"/>
        <v>-1.7857279990170338E-2</v>
      </c>
      <c r="F964" s="49">
        <f t="shared" si="30"/>
        <v>7.0875134360444741E-3</v>
      </c>
    </row>
    <row r="965" spans="2:6">
      <c r="B965" s="51">
        <v>43759</v>
      </c>
      <c r="C965" s="32">
        <v>39.239699999999999</v>
      </c>
      <c r="D965" s="7">
        <v>898.91</v>
      </c>
      <c r="E965" s="49">
        <f t="shared" si="29"/>
        <v>2.2727450433567817E-2</v>
      </c>
      <c r="F965" s="49">
        <f t="shared" si="30"/>
        <v>-6.0036689087784455E-4</v>
      </c>
    </row>
    <row r="966" spans="2:6">
      <c r="B966" s="51">
        <v>43760</v>
      </c>
      <c r="C966" s="32">
        <v>38.716500000000003</v>
      </c>
      <c r="D966" s="7">
        <v>891.89</v>
      </c>
      <c r="E966" s="49">
        <f t="shared" si="29"/>
        <v>-1.3333435270911747E-2</v>
      </c>
      <c r="F966" s="49">
        <f t="shared" si="30"/>
        <v>-7.809458121502689E-3</v>
      </c>
    </row>
    <row r="967" spans="2:6">
      <c r="B967" s="51">
        <v>43761</v>
      </c>
      <c r="C967" s="32">
        <v>38.803699999999999</v>
      </c>
      <c r="D967" s="7">
        <v>906.56</v>
      </c>
      <c r="E967" s="49">
        <f t="shared" si="29"/>
        <v>2.2522697041312029E-3</v>
      </c>
      <c r="F967" s="49">
        <f t="shared" si="30"/>
        <v>1.6448216708338428E-2</v>
      </c>
    </row>
    <row r="968" spans="2:6">
      <c r="B968" s="51">
        <v>43762</v>
      </c>
      <c r="C968" s="32">
        <v>39.588500000000003</v>
      </c>
      <c r="D968" s="7">
        <v>902.56</v>
      </c>
      <c r="E968" s="49">
        <f t="shared" si="29"/>
        <v>2.0224875462906994E-2</v>
      </c>
      <c r="F968" s="49">
        <f t="shared" si="30"/>
        <v>-4.4122837980938934E-3</v>
      </c>
    </row>
    <row r="969" spans="2:6">
      <c r="B969" s="51">
        <v>43763</v>
      </c>
      <c r="C969" s="32">
        <v>39.588500000000003</v>
      </c>
      <c r="D969" s="7">
        <v>911.43</v>
      </c>
      <c r="E969" s="49">
        <f t="shared" si="29"/>
        <v>0</v>
      </c>
      <c r="F969" s="49">
        <f t="shared" si="30"/>
        <v>9.8276014890976825E-3</v>
      </c>
    </row>
    <row r="970" spans="2:6">
      <c r="B970" s="51">
        <v>43766</v>
      </c>
      <c r="C970" s="32">
        <v>39.239699999999999</v>
      </c>
      <c r="D970" s="7">
        <v>907.67</v>
      </c>
      <c r="E970" s="49">
        <f t="shared" si="29"/>
        <v>-8.8106394533767184E-3</v>
      </c>
      <c r="F970" s="49">
        <f t="shared" si="30"/>
        <v>-4.12538538340848E-3</v>
      </c>
    </row>
    <row r="971" spans="2:6">
      <c r="B971" s="51">
        <v>43767</v>
      </c>
      <c r="C971" s="32">
        <v>39.501300000000001</v>
      </c>
      <c r="D971" s="7">
        <v>906.5</v>
      </c>
      <c r="E971" s="49">
        <f t="shared" si="29"/>
        <v>6.6667176354559638E-3</v>
      </c>
      <c r="F971" s="49">
        <f t="shared" si="30"/>
        <v>-1.2890147300229809E-3</v>
      </c>
    </row>
    <row r="972" spans="2:6">
      <c r="B972" s="51">
        <v>43768</v>
      </c>
      <c r="C972" s="32">
        <v>39.9373</v>
      </c>
      <c r="D972" s="7">
        <v>898.05</v>
      </c>
      <c r="E972" s="49">
        <f t="shared" si="29"/>
        <v>1.1037611420383632E-2</v>
      </c>
      <c r="F972" s="49">
        <f t="shared" si="30"/>
        <v>-9.3215664644236574E-3</v>
      </c>
    </row>
    <row r="973" spans="2:6">
      <c r="B973" s="51">
        <v>43769</v>
      </c>
      <c r="C973" s="32">
        <v>40.024500000000003</v>
      </c>
      <c r="D973" s="7">
        <v>903.64</v>
      </c>
      <c r="E973" s="49">
        <f t="shared" si="29"/>
        <v>2.1834225147920072E-3</v>
      </c>
      <c r="F973" s="49">
        <f t="shared" si="30"/>
        <v>6.2245977395468319E-3</v>
      </c>
    </row>
    <row r="974" spans="2:6">
      <c r="B974" s="51">
        <v>43770</v>
      </c>
      <c r="C974" s="32">
        <v>39.9373</v>
      </c>
      <c r="D974" s="7">
        <v>908.11</v>
      </c>
      <c r="E974" s="49">
        <f t="shared" si="29"/>
        <v>-2.1786655673400749E-3</v>
      </c>
      <c r="F974" s="49">
        <f t="shared" si="30"/>
        <v>4.946660174405767E-3</v>
      </c>
    </row>
    <row r="975" spans="2:6">
      <c r="B975" s="51">
        <v>43773</v>
      </c>
      <c r="C975" s="32">
        <v>40.111699999999999</v>
      </c>
      <c r="D975" s="7">
        <v>908.3</v>
      </c>
      <c r="E975" s="49">
        <f t="shared" ref="E975:E1038" si="31">(C975-C974)/C974</f>
        <v>4.3668450295838365E-3</v>
      </c>
      <c r="F975" s="49">
        <f t="shared" ref="F975:F1038" si="32">(D975-D974)/D974</f>
        <v>2.0922575458913665E-4</v>
      </c>
    </row>
    <row r="976" spans="2:6">
      <c r="B976" s="51">
        <v>43774</v>
      </c>
      <c r="C976" s="32">
        <v>39.762900000000002</v>
      </c>
      <c r="D976" s="7">
        <v>910.41</v>
      </c>
      <c r="E976" s="49">
        <f t="shared" si="31"/>
        <v>-8.6957172096918632E-3</v>
      </c>
      <c r="F976" s="49">
        <f t="shared" si="32"/>
        <v>2.3230210282946316E-3</v>
      </c>
    </row>
    <row r="977" spans="2:6">
      <c r="B977" s="51">
        <v>43775</v>
      </c>
      <c r="C977" s="32">
        <v>40.983699999999999</v>
      </c>
      <c r="D977" s="7">
        <v>918.13</v>
      </c>
      <c r="E977" s="49">
        <f t="shared" si="31"/>
        <v>3.0701986022146195E-2</v>
      </c>
      <c r="F977" s="49">
        <f t="shared" si="32"/>
        <v>8.4796959611603863E-3</v>
      </c>
    </row>
    <row r="978" spans="2:6">
      <c r="B978" s="51">
        <v>43776</v>
      </c>
      <c r="C978" s="32">
        <v>42.030099999999997</v>
      </c>
      <c r="D978" s="7">
        <v>916.02</v>
      </c>
      <c r="E978" s="49">
        <f t="shared" si="31"/>
        <v>2.5532101786807888E-2</v>
      </c>
      <c r="F978" s="49">
        <f t="shared" si="32"/>
        <v>-2.2981494995262257E-3</v>
      </c>
    </row>
    <row r="979" spans="2:6">
      <c r="B979" s="51">
        <v>43777</v>
      </c>
      <c r="C979" s="32">
        <v>41.332500000000003</v>
      </c>
      <c r="D979" s="7">
        <v>917.82</v>
      </c>
      <c r="E979" s="49">
        <f t="shared" si="31"/>
        <v>-1.6597628842186771E-2</v>
      </c>
      <c r="F979" s="49">
        <f t="shared" si="32"/>
        <v>1.9650225977599486E-3</v>
      </c>
    </row>
    <row r="980" spans="2:6">
      <c r="B980" s="51">
        <v>43780</v>
      </c>
      <c r="C980" s="32">
        <v>41.2453</v>
      </c>
      <c r="D980" s="7">
        <v>915.5</v>
      </c>
      <c r="E980" s="49">
        <f t="shared" si="31"/>
        <v>-2.1097199540313998E-3</v>
      </c>
      <c r="F980" s="49">
        <f t="shared" si="32"/>
        <v>-2.527728748556416E-3</v>
      </c>
    </row>
    <row r="981" spans="2:6">
      <c r="B981" s="51">
        <v>43781</v>
      </c>
      <c r="C981" s="32">
        <v>40.896500000000003</v>
      </c>
      <c r="D981" s="7">
        <v>909.03</v>
      </c>
      <c r="E981" s="49">
        <f t="shared" si="31"/>
        <v>-8.4567211294377075E-3</v>
      </c>
      <c r="F981" s="49">
        <f t="shared" si="32"/>
        <v>-7.0671764063353661E-3</v>
      </c>
    </row>
    <row r="982" spans="2:6">
      <c r="B982" s="51">
        <v>43782</v>
      </c>
      <c r="C982" s="32">
        <v>41.855699999999999</v>
      </c>
      <c r="D982" s="7">
        <v>907.82</v>
      </c>
      <c r="E982" s="49">
        <f t="shared" si="31"/>
        <v>2.3454329832626155E-2</v>
      </c>
      <c r="F982" s="49">
        <f t="shared" si="32"/>
        <v>-1.3310891829751744E-3</v>
      </c>
    </row>
    <row r="983" spans="2:6">
      <c r="B983" s="51">
        <v>43783</v>
      </c>
      <c r="C983" s="32">
        <v>40.8093</v>
      </c>
      <c r="D983" s="7">
        <v>903.58</v>
      </c>
      <c r="E983" s="49">
        <f t="shared" si="31"/>
        <v>-2.5000179187064091E-2</v>
      </c>
      <c r="F983" s="49">
        <f t="shared" si="32"/>
        <v>-4.670529400101351E-3</v>
      </c>
    </row>
    <row r="984" spans="2:6">
      <c r="B984" s="51">
        <v>43784</v>
      </c>
      <c r="C984" s="32">
        <v>40.983699999999999</v>
      </c>
      <c r="D984" s="7">
        <v>902.64</v>
      </c>
      <c r="E984" s="49">
        <f t="shared" si="31"/>
        <v>4.273535689168855E-3</v>
      </c>
      <c r="F984" s="49">
        <f t="shared" si="32"/>
        <v>-1.0403063370150452E-3</v>
      </c>
    </row>
    <row r="985" spans="2:6">
      <c r="B985" s="51">
        <v>43787</v>
      </c>
      <c r="C985" s="32">
        <v>41.419699999999999</v>
      </c>
      <c r="D985" s="7">
        <v>903.49</v>
      </c>
      <c r="E985" s="49">
        <f t="shared" si="31"/>
        <v>1.0638375744503301E-2</v>
      </c>
      <c r="F985" s="49">
        <f t="shared" si="32"/>
        <v>9.4168217672607323E-4</v>
      </c>
    </row>
    <row r="986" spans="2:6">
      <c r="B986" s="51">
        <v>43788</v>
      </c>
      <c r="C986" s="32">
        <v>41.419699999999999</v>
      </c>
      <c r="D986" s="7">
        <v>900.83</v>
      </c>
      <c r="E986" s="49">
        <f t="shared" si="31"/>
        <v>0</v>
      </c>
      <c r="F986" s="49">
        <f t="shared" si="32"/>
        <v>-2.9441388393894432E-3</v>
      </c>
    </row>
    <row r="987" spans="2:6">
      <c r="B987" s="51">
        <v>43789</v>
      </c>
      <c r="C987" s="32">
        <v>41.419699999999999</v>
      </c>
      <c r="D987" s="7">
        <v>900.08</v>
      </c>
      <c r="E987" s="49">
        <f t="shared" si="31"/>
        <v>0</v>
      </c>
      <c r="F987" s="49">
        <f t="shared" si="32"/>
        <v>-8.3256552290665272E-4</v>
      </c>
    </row>
    <row r="988" spans="2:6">
      <c r="B988" s="51">
        <v>43790</v>
      </c>
      <c r="C988" s="32">
        <v>40.896500000000003</v>
      </c>
      <c r="D988" s="7">
        <v>909.8</v>
      </c>
      <c r="E988" s="49">
        <f t="shared" si="31"/>
        <v>-1.2631670437014167E-2</v>
      </c>
      <c r="F988" s="49">
        <f t="shared" si="32"/>
        <v>1.0799040085325652E-2</v>
      </c>
    </row>
    <row r="989" spans="2:6">
      <c r="B989" s="51">
        <v>43791</v>
      </c>
      <c r="C989" s="32">
        <v>41.158099999999997</v>
      </c>
      <c r="D989" s="7">
        <v>914.52</v>
      </c>
      <c r="E989" s="49">
        <f t="shared" si="31"/>
        <v>6.3966354088979315E-3</v>
      </c>
      <c r="F989" s="49">
        <f t="shared" si="32"/>
        <v>5.187953396350877E-3</v>
      </c>
    </row>
    <row r="990" spans="2:6">
      <c r="B990" s="51">
        <v>43794</v>
      </c>
      <c r="C990" s="32">
        <v>41.419699999999999</v>
      </c>
      <c r="D990" s="7">
        <v>910.97</v>
      </c>
      <c r="E990" s="49">
        <f t="shared" si="31"/>
        <v>6.3559785315649023E-3</v>
      </c>
      <c r="F990" s="49">
        <f t="shared" si="32"/>
        <v>-3.8818177841927507E-3</v>
      </c>
    </row>
    <row r="991" spans="2:6">
      <c r="B991" s="51">
        <v>43795</v>
      </c>
      <c r="C991" s="32">
        <v>41.2453</v>
      </c>
      <c r="D991" s="7">
        <v>912.28</v>
      </c>
      <c r="E991" s="49">
        <f t="shared" si="31"/>
        <v>-4.2105568123380552E-3</v>
      </c>
      <c r="F991" s="49">
        <f t="shared" si="32"/>
        <v>1.4380275969570297E-3</v>
      </c>
    </row>
    <row r="992" spans="2:6">
      <c r="B992" s="51">
        <v>43796</v>
      </c>
      <c r="C992" s="32">
        <v>39.762900000000002</v>
      </c>
      <c r="D992" s="7">
        <v>908.36</v>
      </c>
      <c r="E992" s="49">
        <f t="shared" si="31"/>
        <v>-3.5941064800110521E-2</v>
      </c>
      <c r="F992" s="49">
        <f t="shared" si="32"/>
        <v>-4.2969263822510186E-3</v>
      </c>
    </row>
    <row r="993" spans="2:6">
      <c r="B993" s="51">
        <v>43797</v>
      </c>
      <c r="C993" s="32">
        <v>39.588500000000003</v>
      </c>
      <c r="D993" s="7">
        <v>902.45</v>
      </c>
      <c r="E993" s="49">
        <f t="shared" si="31"/>
        <v>-4.385998003163717E-3</v>
      </c>
      <c r="F993" s="49">
        <f t="shared" si="32"/>
        <v>-6.5062310097317895E-3</v>
      </c>
    </row>
    <row r="994" spans="2:6">
      <c r="B994" s="51">
        <v>43798</v>
      </c>
      <c r="C994" s="32">
        <v>39.065300000000001</v>
      </c>
      <c r="D994" s="7">
        <v>890.81</v>
      </c>
      <c r="E994" s="49">
        <f t="shared" si="31"/>
        <v>-1.3215959180064987E-2</v>
      </c>
      <c r="F994" s="49">
        <f t="shared" si="32"/>
        <v>-1.2898221508116904E-2</v>
      </c>
    </row>
    <row r="995" spans="2:6">
      <c r="B995" s="51">
        <v>43801</v>
      </c>
      <c r="C995" s="32">
        <v>39.762900000000002</v>
      </c>
      <c r="D995" s="7">
        <v>884.21</v>
      </c>
      <c r="E995" s="49">
        <f t="shared" si="31"/>
        <v>1.7857279990170338E-2</v>
      </c>
      <c r="F995" s="49">
        <f t="shared" si="32"/>
        <v>-7.4089873261412751E-3</v>
      </c>
    </row>
    <row r="996" spans="2:6">
      <c r="B996" s="51">
        <v>43802</v>
      </c>
      <c r="C996" s="32">
        <v>39.326900000000002</v>
      </c>
      <c r="D996" s="7">
        <v>898.64</v>
      </c>
      <c r="E996" s="49">
        <f t="shared" si="31"/>
        <v>-1.0964995007909381E-2</v>
      </c>
      <c r="F996" s="49">
        <f t="shared" si="32"/>
        <v>1.6319652571221713E-2</v>
      </c>
    </row>
    <row r="997" spans="2:6">
      <c r="B997" s="51">
        <v>43803</v>
      </c>
      <c r="C997" s="32">
        <v>40.3123</v>
      </c>
      <c r="D997" s="7">
        <v>897.65</v>
      </c>
      <c r="E997" s="49">
        <f t="shared" si="31"/>
        <v>2.5056640620033575E-2</v>
      </c>
      <c r="F997" s="49">
        <f t="shared" si="32"/>
        <v>-1.1016647378260583E-3</v>
      </c>
    </row>
    <row r="998" spans="2:6">
      <c r="B998" s="51">
        <v>43804</v>
      </c>
      <c r="C998" s="32">
        <v>39.954000000000001</v>
      </c>
      <c r="D998" s="7">
        <v>906.47</v>
      </c>
      <c r="E998" s="49">
        <f t="shared" si="31"/>
        <v>-8.8881061115341931E-3</v>
      </c>
      <c r="F998" s="49">
        <f t="shared" si="32"/>
        <v>9.8256558792402943E-3</v>
      </c>
    </row>
    <row r="999" spans="2:6">
      <c r="B999" s="51">
        <v>43805</v>
      </c>
      <c r="C999" s="32">
        <v>40.043599999999998</v>
      </c>
      <c r="D999" s="7">
        <v>908</v>
      </c>
      <c r="E999" s="49">
        <f t="shared" si="31"/>
        <v>2.2425789658106132E-3</v>
      </c>
      <c r="F999" s="49">
        <f t="shared" si="32"/>
        <v>1.6878661180182164E-3</v>
      </c>
    </row>
    <row r="1000" spans="2:6">
      <c r="B1000" s="51">
        <v>43808</v>
      </c>
      <c r="C1000" s="32">
        <v>40.133099999999999</v>
      </c>
      <c r="D1000" s="7">
        <v>904.12</v>
      </c>
      <c r="E1000" s="49">
        <f t="shared" si="31"/>
        <v>2.2350637804793034E-3</v>
      </c>
      <c r="F1000" s="49">
        <f t="shared" si="32"/>
        <v>-4.2731277533039598E-3</v>
      </c>
    </row>
    <row r="1001" spans="2:6">
      <c r="B1001" s="51">
        <v>43809</v>
      </c>
      <c r="C1001" s="32">
        <v>40.491500000000002</v>
      </c>
      <c r="D1001" s="7">
        <v>900.22</v>
      </c>
      <c r="E1001" s="49">
        <f t="shared" si="31"/>
        <v>8.9302844783982101E-3</v>
      </c>
      <c r="F1001" s="49">
        <f t="shared" si="32"/>
        <v>-4.3135866920320058E-3</v>
      </c>
    </row>
    <row r="1002" spans="2:6">
      <c r="B1002" s="51">
        <v>43810</v>
      </c>
      <c r="C1002" s="32">
        <v>40.491500000000002</v>
      </c>
      <c r="D1002" s="7">
        <v>905.15</v>
      </c>
      <c r="E1002" s="49">
        <f t="shared" si="31"/>
        <v>0</v>
      </c>
      <c r="F1002" s="49">
        <f t="shared" si="32"/>
        <v>5.4764390926661816E-3</v>
      </c>
    </row>
    <row r="1003" spans="2:6">
      <c r="B1003" s="51">
        <v>43811</v>
      </c>
      <c r="C1003" s="32">
        <v>41.387300000000003</v>
      </c>
      <c r="D1003" s="7">
        <v>911.39</v>
      </c>
      <c r="E1003" s="49">
        <f t="shared" si="31"/>
        <v>2.2123161651210779E-2</v>
      </c>
      <c r="F1003" s="49">
        <f t="shared" si="32"/>
        <v>6.893884991437893E-3</v>
      </c>
    </row>
    <row r="1004" spans="2:6">
      <c r="B1004" s="51">
        <v>43812</v>
      </c>
      <c r="C1004" s="32">
        <v>43.626899999999999</v>
      </c>
      <c r="D1004" s="7">
        <v>916.15</v>
      </c>
      <c r="E1004" s="49">
        <f t="shared" si="31"/>
        <v>5.4113218306098623E-2</v>
      </c>
      <c r="F1004" s="49">
        <f t="shared" si="32"/>
        <v>5.2227915601443849E-3</v>
      </c>
    </row>
    <row r="1005" spans="2:6">
      <c r="B1005" s="51">
        <v>43815</v>
      </c>
      <c r="C1005" s="32">
        <v>43.537300000000002</v>
      </c>
      <c r="D1005" s="7">
        <v>914.03</v>
      </c>
      <c r="E1005" s="49">
        <f t="shared" si="31"/>
        <v>-2.0537787465989385E-3</v>
      </c>
      <c r="F1005" s="49">
        <f t="shared" si="32"/>
        <v>-2.3140315450526712E-3</v>
      </c>
    </row>
    <row r="1006" spans="2:6">
      <c r="B1006" s="51">
        <v>43816</v>
      </c>
      <c r="C1006" s="32">
        <v>42.103999999999999</v>
      </c>
      <c r="D1006" s="7">
        <v>916.51</v>
      </c>
      <c r="E1006" s="49">
        <f t="shared" si="31"/>
        <v>-3.2921196307534061E-2</v>
      </c>
      <c r="F1006" s="49">
        <f t="shared" si="32"/>
        <v>2.7132588645887097E-3</v>
      </c>
    </row>
    <row r="1007" spans="2:6">
      <c r="B1007" s="51">
        <v>43817</v>
      </c>
      <c r="C1007" s="32">
        <v>42.910200000000003</v>
      </c>
      <c r="D1007" s="7">
        <v>922.56</v>
      </c>
      <c r="E1007" s="49">
        <f t="shared" si="31"/>
        <v>1.9147824434733139E-2</v>
      </c>
      <c r="F1007" s="49">
        <f t="shared" si="32"/>
        <v>6.6011281928183597E-3</v>
      </c>
    </row>
    <row r="1008" spans="2:6">
      <c r="B1008" s="51">
        <v>43818</v>
      </c>
      <c r="C1008" s="32">
        <v>42.910200000000003</v>
      </c>
      <c r="D1008" s="7">
        <v>928.21</v>
      </c>
      <c r="E1008" s="49">
        <f t="shared" si="31"/>
        <v>0</v>
      </c>
      <c r="F1008" s="49">
        <f t="shared" si="32"/>
        <v>6.124262920568951E-3</v>
      </c>
    </row>
    <row r="1009" spans="2:6">
      <c r="B1009" s="51">
        <v>43819</v>
      </c>
      <c r="C1009" s="32">
        <v>42.910200000000003</v>
      </c>
      <c r="D1009" s="7">
        <v>935.2</v>
      </c>
      <c r="E1009" s="49">
        <f t="shared" si="31"/>
        <v>0</v>
      </c>
      <c r="F1009" s="49">
        <f t="shared" si="32"/>
        <v>7.5306234580536828E-3</v>
      </c>
    </row>
    <row r="1010" spans="2:6">
      <c r="B1010" s="51">
        <v>43822</v>
      </c>
      <c r="C1010" s="32">
        <v>43.895600000000002</v>
      </c>
      <c r="D1010" s="7">
        <v>933.89</v>
      </c>
      <c r="E1010" s="49">
        <f t="shared" si="31"/>
        <v>2.296423694133326E-2</v>
      </c>
      <c r="F1010" s="49">
        <f t="shared" si="32"/>
        <v>-1.400769888793904E-3</v>
      </c>
    </row>
    <row r="1011" spans="2:6">
      <c r="B1011" s="51">
        <v>43826</v>
      </c>
      <c r="C1011" s="32">
        <v>44.343499999999999</v>
      </c>
      <c r="D1011" s="7">
        <v>931.45</v>
      </c>
      <c r="E1011" s="49">
        <f t="shared" si="31"/>
        <v>1.0203756185130105E-2</v>
      </c>
      <c r="F1011" s="49">
        <f t="shared" si="32"/>
        <v>-2.6127274090095632E-3</v>
      </c>
    </row>
    <row r="1012" spans="2:6">
      <c r="B1012" s="51">
        <v>43832</v>
      </c>
      <c r="C1012" s="32">
        <v>47.837299999999999</v>
      </c>
      <c r="D1012" s="7">
        <v>942.68</v>
      </c>
      <c r="E1012" s="49">
        <f t="shared" si="31"/>
        <v>7.8789450539537939E-2</v>
      </c>
      <c r="F1012" s="49">
        <f t="shared" si="32"/>
        <v>1.2056471093456336E-2</v>
      </c>
    </row>
    <row r="1013" spans="2:6">
      <c r="B1013" s="51">
        <v>43833</v>
      </c>
      <c r="C1013" s="32">
        <v>48.016399999999997</v>
      </c>
      <c r="D1013" s="7">
        <v>940.06</v>
      </c>
      <c r="E1013" s="49">
        <f t="shared" si="31"/>
        <v>3.7439403979739297E-3</v>
      </c>
      <c r="F1013" s="49">
        <f t="shared" si="32"/>
        <v>-2.7793100521916287E-3</v>
      </c>
    </row>
    <row r="1014" spans="2:6">
      <c r="B1014" s="51">
        <v>43836</v>
      </c>
      <c r="C1014" s="32">
        <v>47.299799999999998</v>
      </c>
      <c r="D1014" s="7">
        <v>937.4</v>
      </c>
      <c r="E1014" s="49">
        <f t="shared" si="31"/>
        <v>-1.4924067610233165E-2</v>
      </c>
      <c r="F1014" s="49">
        <f t="shared" si="32"/>
        <v>-2.8296066208539543E-3</v>
      </c>
    </row>
    <row r="1015" spans="2:6">
      <c r="B1015" s="51">
        <v>43837</v>
      </c>
      <c r="C1015" s="32">
        <v>45.6873</v>
      </c>
      <c r="D1015" s="7">
        <v>938.49</v>
      </c>
      <c r="E1015" s="49">
        <f t="shared" si="31"/>
        <v>-3.4091053239125688E-2</v>
      </c>
      <c r="F1015" s="49">
        <f t="shared" si="32"/>
        <v>1.1627906976744526E-3</v>
      </c>
    </row>
    <row r="1016" spans="2:6">
      <c r="B1016" s="51">
        <v>43838</v>
      </c>
      <c r="C1016" s="32">
        <v>46.583100000000002</v>
      </c>
      <c r="D1016" s="7">
        <v>938.29</v>
      </c>
      <c r="E1016" s="49">
        <f t="shared" si="31"/>
        <v>1.960719937488101E-2</v>
      </c>
      <c r="F1016" s="49">
        <f t="shared" si="32"/>
        <v>-2.1310829097810895E-4</v>
      </c>
    </row>
    <row r="1017" spans="2:6">
      <c r="B1017" s="51">
        <v>43839</v>
      </c>
      <c r="C1017" s="32">
        <v>46.583100000000002</v>
      </c>
      <c r="D1017" s="7">
        <v>939.38</v>
      </c>
      <c r="E1017" s="49">
        <f t="shared" si="31"/>
        <v>0</v>
      </c>
      <c r="F1017" s="49">
        <f t="shared" si="32"/>
        <v>1.1616877511217553E-3</v>
      </c>
    </row>
    <row r="1018" spans="2:6">
      <c r="B1018" s="51">
        <v>43840</v>
      </c>
      <c r="C1018" s="32">
        <v>46.0456</v>
      </c>
      <c r="D1018" s="7">
        <v>940.63</v>
      </c>
      <c r="E1018" s="49">
        <f t="shared" si="31"/>
        <v>-1.1538519334265031E-2</v>
      </c>
      <c r="F1018" s="49">
        <f t="shared" si="32"/>
        <v>1.3306649066405502E-3</v>
      </c>
    </row>
    <row r="1019" spans="2:6">
      <c r="B1019" s="51">
        <v>43843</v>
      </c>
      <c r="C1019" s="32">
        <v>46.0456</v>
      </c>
      <c r="D1019" s="7">
        <v>938.61</v>
      </c>
      <c r="E1019" s="49">
        <f t="shared" si="31"/>
        <v>0</v>
      </c>
      <c r="F1019" s="49">
        <f t="shared" si="32"/>
        <v>-2.1474968903819587E-3</v>
      </c>
    </row>
    <row r="1020" spans="2:6">
      <c r="B1020" s="51">
        <v>43844</v>
      </c>
      <c r="C1020" s="32">
        <v>45.6873</v>
      </c>
      <c r="D1020" s="7">
        <v>937.01</v>
      </c>
      <c r="E1020" s="49">
        <f t="shared" si="31"/>
        <v>-7.7814166825929043E-3</v>
      </c>
      <c r="F1020" s="49">
        <f t="shared" si="32"/>
        <v>-1.7046483630048931E-3</v>
      </c>
    </row>
    <row r="1021" spans="2:6">
      <c r="B1021" s="51">
        <v>43845</v>
      </c>
      <c r="C1021" s="32">
        <v>50.703899999999997</v>
      </c>
      <c r="D1021" s="7">
        <v>936.59</v>
      </c>
      <c r="E1021" s="49">
        <f t="shared" si="31"/>
        <v>0.10980294304981902</v>
      </c>
      <c r="F1021" s="49">
        <f t="shared" si="32"/>
        <v>-4.4823427711546202E-4</v>
      </c>
    </row>
    <row r="1022" spans="2:6">
      <c r="B1022" s="51">
        <v>43846</v>
      </c>
      <c r="C1022" s="32">
        <v>54.645600000000002</v>
      </c>
      <c r="D1022" s="7">
        <v>946.63</v>
      </c>
      <c r="E1022" s="49">
        <f t="shared" si="31"/>
        <v>7.7739582162318965E-2</v>
      </c>
      <c r="F1022" s="49">
        <f t="shared" si="32"/>
        <v>1.0719738626293216E-2</v>
      </c>
    </row>
    <row r="1023" spans="2:6">
      <c r="B1023" s="51">
        <v>43847</v>
      </c>
      <c r="C1023" s="32">
        <v>52.1372</v>
      </c>
      <c r="D1023" s="7">
        <v>946.21</v>
      </c>
      <c r="E1023" s="49">
        <f t="shared" si="31"/>
        <v>-4.5903055323758941E-2</v>
      </c>
      <c r="F1023" s="49">
        <f t="shared" si="32"/>
        <v>-4.4367915658700767E-4</v>
      </c>
    </row>
    <row r="1024" spans="2:6">
      <c r="B1024" s="51">
        <v>43850</v>
      </c>
      <c r="C1024" s="32">
        <v>54.8247</v>
      </c>
      <c r="D1024" s="7">
        <v>941.68</v>
      </c>
      <c r="E1024" s="49">
        <f t="shared" si="31"/>
        <v>5.1546688353037752E-2</v>
      </c>
      <c r="F1024" s="49">
        <f t="shared" si="32"/>
        <v>-4.7875207406390613E-3</v>
      </c>
    </row>
    <row r="1025" spans="2:6">
      <c r="B1025" s="51">
        <v>43851</v>
      </c>
      <c r="C1025" s="32">
        <v>54.645600000000002</v>
      </c>
      <c r="D1025" s="7">
        <v>943.9</v>
      </c>
      <c r="E1025" s="49">
        <f t="shared" si="31"/>
        <v>-3.2667757415908937E-3</v>
      </c>
      <c r="F1025" s="49">
        <f t="shared" si="32"/>
        <v>2.3574887435222447E-3</v>
      </c>
    </row>
    <row r="1026" spans="2:6">
      <c r="B1026" s="51">
        <v>43852</v>
      </c>
      <c r="C1026" s="32">
        <v>56.078899999999997</v>
      </c>
      <c r="D1026" s="7">
        <v>930.29</v>
      </c>
      <c r="E1026" s="49">
        <f t="shared" si="31"/>
        <v>2.6229010203932167E-2</v>
      </c>
      <c r="F1026" s="49">
        <f t="shared" si="32"/>
        <v>-1.441890030723595E-2</v>
      </c>
    </row>
    <row r="1027" spans="2:6">
      <c r="B1027" s="51">
        <v>43853</v>
      </c>
      <c r="C1027" s="32">
        <v>54.8247</v>
      </c>
      <c r="D1027" s="7">
        <v>939.99</v>
      </c>
      <c r="E1027" s="49">
        <f t="shared" si="31"/>
        <v>-2.2364917999461425E-2</v>
      </c>
      <c r="F1027" s="49">
        <f t="shared" si="32"/>
        <v>1.0426856141633304E-2</v>
      </c>
    </row>
    <row r="1028" spans="2:6">
      <c r="B1028" s="51">
        <v>43854</v>
      </c>
      <c r="C1028" s="32">
        <v>55.720599999999997</v>
      </c>
      <c r="D1028" s="7">
        <v>921.31</v>
      </c>
      <c r="E1028" s="49">
        <f t="shared" si="31"/>
        <v>1.6341174689510338E-2</v>
      </c>
      <c r="F1028" s="49">
        <f t="shared" si="32"/>
        <v>-1.9872551835657892E-2</v>
      </c>
    </row>
    <row r="1029" spans="2:6">
      <c r="B1029" s="51">
        <v>43857</v>
      </c>
      <c r="C1029" s="32">
        <v>55.899700000000003</v>
      </c>
      <c r="D1029" s="7">
        <v>925.7</v>
      </c>
      <c r="E1029" s="49">
        <f t="shared" si="31"/>
        <v>3.2142511028238276E-3</v>
      </c>
      <c r="F1029" s="49">
        <f t="shared" si="32"/>
        <v>4.764954249926844E-3</v>
      </c>
    </row>
    <row r="1030" spans="2:6">
      <c r="B1030" s="51">
        <v>43858</v>
      </c>
      <c r="C1030" s="32">
        <v>53.570599999999999</v>
      </c>
      <c r="D1030" s="7">
        <v>925.32</v>
      </c>
      <c r="E1030" s="49">
        <f t="shared" si="31"/>
        <v>-4.1665697669218328E-2</v>
      </c>
      <c r="F1030" s="49">
        <f t="shared" si="32"/>
        <v>-4.1050016203953273E-4</v>
      </c>
    </row>
    <row r="1031" spans="2:6">
      <c r="B1031" s="51">
        <v>43859</v>
      </c>
      <c r="C1031" s="32">
        <v>52.495600000000003</v>
      </c>
      <c r="D1031" s="7">
        <v>915.87</v>
      </c>
      <c r="E1031" s="49">
        <f t="shared" si="31"/>
        <v>-2.0066977035911409E-2</v>
      </c>
      <c r="F1031" s="49">
        <f t="shared" si="32"/>
        <v>-1.0212683179872957E-2</v>
      </c>
    </row>
    <row r="1032" spans="2:6">
      <c r="B1032" s="51">
        <v>43860</v>
      </c>
      <c r="C1032" s="32">
        <v>50.883099999999999</v>
      </c>
      <c r="D1032" s="7">
        <v>913.81</v>
      </c>
      <c r="E1032" s="49">
        <f t="shared" si="31"/>
        <v>-3.0716860079701997E-2</v>
      </c>
      <c r="F1032" s="49">
        <f t="shared" si="32"/>
        <v>-2.2492275104546051E-3</v>
      </c>
    </row>
    <row r="1033" spans="2:6">
      <c r="B1033" s="51">
        <v>43861</v>
      </c>
      <c r="C1033" s="32">
        <v>49.808100000000003</v>
      </c>
      <c r="D1033" s="7">
        <v>913.99</v>
      </c>
      <c r="E1033" s="49">
        <f t="shared" si="31"/>
        <v>-2.1126857443827043E-2</v>
      </c>
      <c r="F1033" s="49">
        <f t="shared" si="32"/>
        <v>1.9697748985025737E-4</v>
      </c>
    </row>
    <row r="1034" spans="2:6">
      <c r="B1034" s="51">
        <v>43864</v>
      </c>
      <c r="C1034" s="32">
        <v>50.166400000000003</v>
      </c>
      <c r="D1034" s="7">
        <v>917.33</v>
      </c>
      <c r="E1034" s="49">
        <f t="shared" si="31"/>
        <v>7.1936090716168619E-3</v>
      </c>
      <c r="F1034" s="49">
        <f t="shared" si="32"/>
        <v>3.6543069399009088E-3</v>
      </c>
    </row>
    <row r="1035" spans="2:6">
      <c r="B1035" s="51">
        <v>43865</v>
      </c>
      <c r="C1035" s="32">
        <v>49.987299999999998</v>
      </c>
      <c r="D1035" s="7">
        <v>930.92</v>
      </c>
      <c r="E1035" s="49">
        <f t="shared" si="31"/>
        <v>-3.5701186451490511E-3</v>
      </c>
      <c r="F1035" s="49">
        <f t="shared" si="32"/>
        <v>1.4814734065167298E-2</v>
      </c>
    </row>
    <row r="1036" spans="2:6">
      <c r="B1036" s="51">
        <v>43866</v>
      </c>
      <c r="C1036" s="32">
        <v>51.241399999999999</v>
      </c>
      <c r="D1036" s="7">
        <v>936.26</v>
      </c>
      <c r="E1036" s="49">
        <f t="shared" si="31"/>
        <v>2.5088372446601458E-2</v>
      </c>
      <c r="F1036" s="49">
        <f t="shared" si="32"/>
        <v>5.7362609031925754E-3</v>
      </c>
    </row>
    <row r="1037" spans="2:6">
      <c r="B1037" s="51">
        <v>43867</v>
      </c>
      <c r="C1037" s="32">
        <v>52.853900000000003</v>
      </c>
      <c r="D1037" s="7">
        <v>920.82</v>
      </c>
      <c r="E1037" s="49">
        <f t="shared" si="31"/>
        <v>3.1468695234712643E-2</v>
      </c>
      <c r="F1037" s="49">
        <f t="shared" si="32"/>
        <v>-1.6491145621942559E-2</v>
      </c>
    </row>
    <row r="1038" spans="2:6">
      <c r="B1038" s="51">
        <v>43868</v>
      </c>
      <c r="C1038" s="32">
        <v>51.958100000000002</v>
      </c>
      <c r="D1038" s="7">
        <v>912.25</v>
      </c>
      <c r="E1038" s="49">
        <f t="shared" si="31"/>
        <v>-1.6948607387534339E-2</v>
      </c>
      <c r="F1038" s="49">
        <f t="shared" si="32"/>
        <v>-9.3069220911796546E-3</v>
      </c>
    </row>
    <row r="1039" spans="2:6">
      <c r="B1039" s="51">
        <v>43871</v>
      </c>
      <c r="C1039" s="32">
        <v>50.166400000000003</v>
      </c>
      <c r="D1039" s="7">
        <v>925.66</v>
      </c>
      <c r="E1039" s="49">
        <f t="shared" ref="E1039:E1102" si="33">(C1039-C1038)/C1038</f>
        <v>-3.4483555018370547E-2</v>
      </c>
      <c r="F1039" s="49">
        <f t="shared" ref="F1039:F1102" si="34">(D1039-D1038)/D1038</f>
        <v>1.4699917785694676E-2</v>
      </c>
    </row>
    <row r="1040" spans="2:6">
      <c r="B1040" s="51">
        <v>43872</v>
      </c>
      <c r="C1040" s="32">
        <v>50.703899999999997</v>
      </c>
      <c r="D1040" s="7">
        <v>930.77</v>
      </c>
      <c r="E1040" s="49">
        <f t="shared" si="33"/>
        <v>1.0714342667602106E-2</v>
      </c>
      <c r="F1040" s="49">
        <f t="shared" si="34"/>
        <v>5.5203854547026055E-3</v>
      </c>
    </row>
    <row r="1041" spans="2:6">
      <c r="B1041" s="51">
        <v>43873</v>
      </c>
      <c r="C1041" s="32">
        <v>51.958100000000002</v>
      </c>
      <c r="D1041" s="7">
        <v>926.25</v>
      </c>
      <c r="E1041" s="49">
        <f t="shared" si="33"/>
        <v>2.4735769832300959E-2</v>
      </c>
      <c r="F1041" s="49">
        <f t="shared" si="34"/>
        <v>-4.8561943337236714E-3</v>
      </c>
    </row>
    <row r="1042" spans="2:6">
      <c r="B1042" s="51">
        <v>43874</v>
      </c>
      <c r="C1042" s="32">
        <v>52.1372</v>
      </c>
      <c r="D1042" s="7">
        <v>929.24</v>
      </c>
      <c r="E1042" s="49">
        <f t="shared" si="33"/>
        <v>3.4470082624268065E-3</v>
      </c>
      <c r="F1042" s="49">
        <f t="shared" si="34"/>
        <v>3.2280701754386063E-3</v>
      </c>
    </row>
    <row r="1043" spans="2:6">
      <c r="B1043" s="51">
        <v>43875</v>
      </c>
      <c r="C1043" s="32">
        <v>52.853900000000003</v>
      </c>
      <c r="D1043" s="7">
        <v>927.98</v>
      </c>
      <c r="E1043" s="49">
        <f t="shared" si="33"/>
        <v>1.3746422899580396E-2</v>
      </c>
      <c r="F1043" s="49">
        <f t="shared" si="34"/>
        <v>-1.3559467952305013E-3</v>
      </c>
    </row>
    <row r="1044" spans="2:6">
      <c r="B1044" s="51">
        <v>43878</v>
      </c>
      <c r="C1044" s="32">
        <v>53.033099999999997</v>
      </c>
      <c r="D1044" s="7">
        <v>926.68</v>
      </c>
      <c r="E1044" s="49">
        <f t="shared" si="33"/>
        <v>3.3904782806944136E-3</v>
      </c>
      <c r="F1044" s="49">
        <f t="shared" si="34"/>
        <v>-1.4008922606091384E-3</v>
      </c>
    </row>
    <row r="1045" spans="2:6">
      <c r="B1045" s="51">
        <v>43879</v>
      </c>
      <c r="C1045" s="32">
        <v>54.1081</v>
      </c>
      <c r="D1045" s="7">
        <v>934.93</v>
      </c>
      <c r="E1045" s="49">
        <f t="shared" si="33"/>
        <v>2.0270359454755669E-2</v>
      </c>
      <c r="F1045" s="49">
        <f t="shared" si="34"/>
        <v>8.9027496007251707E-3</v>
      </c>
    </row>
    <row r="1046" spans="2:6">
      <c r="B1046" s="51">
        <v>43880</v>
      </c>
      <c r="C1046" s="32">
        <v>53.928899999999999</v>
      </c>
      <c r="D1046" s="7">
        <v>942.89</v>
      </c>
      <c r="E1046" s="49">
        <f t="shared" si="33"/>
        <v>-3.3118886081751455E-3</v>
      </c>
      <c r="F1046" s="49">
        <f t="shared" si="34"/>
        <v>8.5140063962008249E-3</v>
      </c>
    </row>
    <row r="1047" spans="2:6">
      <c r="B1047" s="51">
        <v>43881</v>
      </c>
      <c r="C1047" s="32">
        <v>55.183100000000003</v>
      </c>
      <c r="D1047" s="7">
        <v>936.7</v>
      </c>
      <c r="E1047" s="49">
        <f t="shared" si="33"/>
        <v>2.3256547046203509E-2</v>
      </c>
      <c r="F1047" s="49">
        <f t="shared" si="34"/>
        <v>-6.5649227375409016E-3</v>
      </c>
    </row>
    <row r="1048" spans="2:6">
      <c r="B1048" s="51">
        <v>43882</v>
      </c>
      <c r="C1048" s="32">
        <v>54.645600000000002</v>
      </c>
      <c r="D1048" s="7">
        <v>898.4</v>
      </c>
      <c r="E1048" s="49">
        <f t="shared" si="33"/>
        <v>-9.7403009254645248E-3</v>
      </c>
      <c r="F1048" s="49">
        <f t="shared" si="34"/>
        <v>-4.0888224618341053E-2</v>
      </c>
    </row>
    <row r="1049" spans="2:6">
      <c r="B1049" s="51">
        <v>43885</v>
      </c>
      <c r="C1049" s="32">
        <v>53.749699999999997</v>
      </c>
      <c r="D1049" s="7">
        <v>894.98</v>
      </c>
      <c r="E1049" s="49">
        <f t="shared" si="33"/>
        <v>-1.6394732604271975E-2</v>
      </c>
      <c r="F1049" s="49">
        <f t="shared" si="34"/>
        <v>-3.8067675868209698E-3</v>
      </c>
    </row>
    <row r="1050" spans="2:6">
      <c r="B1050" s="51">
        <v>43886</v>
      </c>
      <c r="C1050" s="32">
        <v>53.749699999999997</v>
      </c>
      <c r="D1050" s="7">
        <v>886.48</v>
      </c>
      <c r="E1050" s="49">
        <f t="shared" si="33"/>
        <v>0</v>
      </c>
      <c r="F1050" s="49">
        <f t="shared" si="34"/>
        <v>-9.4974189367360157E-3</v>
      </c>
    </row>
    <row r="1051" spans="2:6">
      <c r="B1051" s="51">
        <v>43887</v>
      </c>
      <c r="C1051" s="32">
        <v>53.570599999999999</v>
      </c>
      <c r="D1051" s="7">
        <v>843.19</v>
      </c>
      <c r="E1051" s="49">
        <f t="shared" si="33"/>
        <v>-3.3321116210880855E-3</v>
      </c>
      <c r="F1051" s="49">
        <f t="shared" si="34"/>
        <v>-4.8833589026261129E-2</v>
      </c>
    </row>
    <row r="1052" spans="2:6">
      <c r="B1052" s="51">
        <v>43888</v>
      </c>
      <c r="C1052" s="32">
        <v>51.0623</v>
      </c>
      <c r="D1052" s="7">
        <v>830.26</v>
      </c>
      <c r="E1052" s="49">
        <f t="shared" si="33"/>
        <v>-4.6822324185280706E-2</v>
      </c>
      <c r="F1052" s="49">
        <f t="shared" si="34"/>
        <v>-1.5334622089920496E-2</v>
      </c>
    </row>
    <row r="1053" spans="2:6">
      <c r="B1053" s="51">
        <v>43889</v>
      </c>
      <c r="C1053" s="32">
        <v>49.987299999999998</v>
      </c>
      <c r="D1053" s="7">
        <v>833.83</v>
      </c>
      <c r="E1053" s="49">
        <f t="shared" si="33"/>
        <v>-2.1052714037558096E-2</v>
      </c>
      <c r="F1053" s="49">
        <f t="shared" si="34"/>
        <v>4.299857875846181E-3</v>
      </c>
    </row>
    <row r="1054" spans="2:6">
      <c r="B1054" s="51">
        <v>43892</v>
      </c>
      <c r="C1054" s="32">
        <v>49.449800000000003</v>
      </c>
      <c r="D1054" s="7">
        <v>859.17</v>
      </c>
      <c r="E1054" s="49">
        <f t="shared" si="33"/>
        <v>-1.0752731193723093E-2</v>
      </c>
      <c r="F1054" s="49">
        <f t="shared" si="34"/>
        <v>3.0389887626974223E-2</v>
      </c>
    </row>
    <row r="1055" spans="2:6">
      <c r="B1055" s="51">
        <v>43893</v>
      </c>
      <c r="C1055" s="32">
        <v>50.883099999999999</v>
      </c>
      <c r="D1055" s="7">
        <v>858.59</v>
      </c>
      <c r="E1055" s="49">
        <f t="shared" si="33"/>
        <v>2.8984950394136993E-2</v>
      </c>
      <c r="F1055" s="49">
        <f t="shared" si="34"/>
        <v>-6.7507012581901986E-4</v>
      </c>
    </row>
    <row r="1056" spans="2:6">
      <c r="B1056" s="51">
        <v>43894</v>
      </c>
      <c r="C1056" s="32">
        <v>48.912300000000002</v>
      </c>
      <c r="D1056" s="7">
        <v>838.47</v>
      </c>
      <c r="E1056" s="49">
        <f t="shared" si="33"/>
        <v>-3.8731916883994827E-2</v>
      </c>
      <c r="F1056" s="49">
        <f t="shared" si="34"/>
        <v>-2.3433769319465642E-2</v>
      </c>
    </row>
    <row r="1057" spans="2:6">
      <c r="B1057" s="51">
        <v>43895</v>
      </c>
      <c r="C1057" s="32">
        <v>50.524799999999999</v>
      </c>
      <c r="D1057" s="7">
        <v>801.34</v>
      </c>
      <c r="E1057" s="49">
        <f t="shared" si="33"/>
        <v>3.2967167767616677E-2</v>
      </c>
      <c r="F1057" s="49">
        <f t="shared" si="34"/>
        <v>-4.4283039345474486E-2</v>
      </c>
    </row>
    <row r="1058" spans="2:6">
      <c r="B1058" s="51">
        <v>43896</v>
      </c>
      <c r="C1058" s="32">
        <v>49.628900000000002</v>
      </c>
      <c r="D1058" s="7">
        <v>736.08</v>
      </c>
      <c r="E1058" s="49">
        <f t="shared" si="33"/>
        <v>-1.7731886123250315E-2</v>
      </c>
      <c r="F1058" s="49">
        <f t="shared" si="34"/>
        <v>-8.1438590361145063E-2</v>
      </c>
    </row>
    <row r="1059" spans="2:6">
      <c r="B1059" s="51">
        <v>43899</v>
      </c>
      <c r="C1059" s="32">
        <v>45.866399999999999</v>
      </c>
      <c r="D1059" s="7">
        <v>739.68</v>
      </c>
      <c r="E1059" s="49">
        <f t="shared" si="33"/>
        <v>-7.5812681723753758E-2</v>
      </c>
      <c r="F1059" s="49">
        <f t="shared" si="34"/>
        <v>4.8907727420931272E-3</v>
      </c>
    </row>
    <row r="1060" spans="2:6">
      <c r="B1060" s="51">
        <v>43900</v>
      </c>
      <c r="C1060" s="32">
        <v>47.837299999999999</v>
      </c>
      <c r="D1060" s="7">
        <v>713.12</v>
      </c>
      <c r="E1060" s="49">
        <f t="shared" si="33"/>
        <v>4.2970453316589059E-2</v>
      </c>
      <c r="F1060" s="49">
        <f t="shared" si="34"/>
        <v>-3.5907419424615977E-2</v>
      </c>
    </row>
    <row r="1061" spans="2:6">
      <c r="B1061" s="51">
        <v>43901</v>
      </c>
      <c r="C1061" s="32">
        <v>44.791499999999999</v>
      </c>
      <c r="D1061" s="7">
        <v>650.6</v>
      </c>
      <c r="E1061" s="49">
        <f t="shared" si="33"/>
        <v>-6.3669981374366857E-2</v>
      </c>
      <c r="F1061" s="49">
        <f t="shared" si="34"/>
        <v>-8.7671079201256427E-2</v>
      </c>
    </row>
    <row r="1062" spans="2:6">
      <c r="B1062" s="51">
        <v>43902</v>
      </c>
      <c r="C1062" s="32">
        <v>38.520600000000002</v>
      </c>
      <c r="D1062" s="7">
        <v>675.08</v>
      </c>
      <c r="E1062" s="49">
        <f t="shared" si="33"/>
        <v>-0.14000200930980203</v>
      </c>
      <c r="F1062" s="49">
        <f t="shared" si="34"/>
        <v>3.7626806025207529E-2</v>
      </c>
    </row>
    <row r="1063" spans="2:6">
      <c r="B1063" s="51">
        <v>43903</v>
      </c>
      <c r="C1063" s="32">
        <v>40.849800000000002</v>
      </c>
      <c r="D1063" s="7">
        <v>639.04999999999995</v>
      </c>
      <c r="E1063" s="49">
        <f t="shared" si="33"/>
        <v>6.046634787620131E-2</v>
      </c>
      <c r="F1063" s="49">
        <f t="shared" si="34"/>
        <v>-5.3371452272323407E-2</v>
      </c>
    </row>
    <row r="1064" spans="2:6">
      <c r="B1064" s="51">
        <v>43906</v>
      </c>
      <c r="C1064" s="32">
        <v>38.968600000000002</v>
      </c>
      <c r="D1064" s="7">
        <v>645.07000000000005</v>
      </c>
      <c r="E1064" s="49">
        <f t="shared" si="33"/>
        <v>-4.6051633055730984E-2</v>
      </c>
      <c r="F1064" s="49">
        <f t="shared" si="34"/>
        <v>9.4202331585949393E-3</v>
      </c>
    </row>
    <row r="1065" spans="2:6">
      <c r="B1065" s="51">
        <v>43907</v>
      </c>
      <c r="C1065" s="32">
        <v>37.176900000000003</v>
      </c>
      <c r="D1065" s="7">
        <v>637.75</v>
      </c>
      <c r="E1065" s="49">
        <f t="shared" si="33"/>
        <v>-4.5978043860954686E-2</v>
      </c>
      <c r="F1065" s="49">
        <f t="shared" si="34"/>
        <v>-1.1347605686204675E-2</v>
      </c>
    </row>
    <row r="1066" spans="2:6">
      <c r="B1066" s="51">
        <v>43908</v>
      </c>
      <c r="C1066" s="32">
        <v>30.458200000000001</v>
      </c>
      <c r="D1066" s="7">
        <v>667.32</v>
      </c>
      <c r="E1066" s="49">
        <f t="shared" si="33"/>
        <v>-0.1807224378579172</v>
      </c>
      <c r="F1066" s="49">
        <f t="shared" si="34"/>
        <v>4.6366130929047511E-2</v>
      </c>
    </row>
    <row r="1067" spans="2:6">
      <c r="B1067" s="51">
        <v>43909</v>
      </c>
      <c r="C1067" s="32">
        <v>28.7561</v>
      </c>
      <c r="D1067" s="7">
        <v>668.77</v>
      </c>
      <c r="E1067" s="49">
        <f t="shared" si="33"/>
        <v>-5.5883144768896435E-2</v>
      </c>
      <c r="F1067" s="49">
        <f t="shared" si="34"/>
        <v>2.1728705868248092E-3</v>
      </c>
    </row>
    <row r="1068" spans="2:6">
      <c r="B1068" s="51">
        <v>43910</v>
      </c>
      <c r="C1068" s="32">
        <v>33.145699999999998</v>
      </c>
      <c r="D1068" s="7">
        <v>635.92999999999995</v>
      </c>
      <c r="E1068" s="49">
        <f t="shared" si="33"/>
        <v>0.15264935092032639</v>
      </c>
      <c r="F1068" s="49">
        <f t="shared" si="34"/>
        <v>-4.9105073493129224E-2</v>
      </c>
    </row>
    <row r="1069" spans="2:6">
      <c r="B1069" s="51">
        <v>43913</v>
      </c>
      <c r="C1069" s="32">
        <v>29.5624</v>
      </c>
      <c r="D1069" s="7">
        <v>671.59</v>
      </c>
      <c r="E1069" s="49">
        <f t="shared" si="33"/>
        <v>-0.10810753732761709</v>
      </c>
      <c r="F1069" s="49">
        <f t="shared" si="34"/>
        <v>5.6075354205651698E-2</v>
      </c>
    </row>
    <row r="1070" spans="2:6">
      <c r="B1070" s="51">
        <v>43914</v>
      </c>
      <c r="C1070" s="32">
        <v>31.891500000000001</v>
      </c>
      <c r="D1070" s="7">
        <v>682.47</v>
      </c>
      <c r="E1070" s="49">
        <f t="shared" si="33"/>
        <v>7.8785890184829385E-2</v>
      </c>
      <c r="F1070" s="49">
        <f t="shared" si="34"/>
        <v>1.6200360338897237E-2</v>
      </c>
    </row>
    <row r="1071" spans="2:6">
      <c r="B1071" s="51">
        <v>43915</v>
      </c>
      <c r="C1071" s="32">
        <v>32.697800000000001</v>
      </c>
      <c r="D1071" s="7">
        <v>692.04</v>
      </c>
      <c r="E1071" s="49">
        <f t="shared" si="33"/>
        <v>2.5282598811595572E-2</v>
      </c>
      <c r="F1071" s="49">
        <f t="shared" si="34"/>
        <v>1.4022594399753742E-2</v>
      </c>
    </row>
    <row r="1072" spans="2:6">
      <c r="B1072" s="51">
        <v>43916</v>
      </c>
      <c r="C1072" s="32">
        <v>32.2498</v>
      </c>
      <c r="D1072" s="7">
        <v>666.86</v>
      </c>
      <c r="E1072" s="49">
        <f t="shared" si="33"/>
        <v>-1.370122760552699E-2</v>
      </c>
      <c r="F1072" s="49">
        <f t="shared" si="34"/>
        <v>-3.6385180047396035E-2</v>
      </c>
    </row>
    <row r="1073" spans="2:6">
      <c r="B1073" s="51">
        <v>43917</v>
      </c>
      <c r="C1073" s="32">
        <v>30.726900000000001</v>
      </c>
      <c r="D1073" s="7">
        <v>686.93</v>
      </c>
      <c r="E1073" s="49">
        <f t="shared" si="33"/>
        <v>-4.7221998275958299E-2</v>
      </c>
      <c r="F1073" s="49">
        <f t="shared" si="34"/>
        <v>3.0096272081096387E-2</v>
      </c>
    </row>
    <row r="1074" spans="2:6">
      <c r="B1074" s="51">
        <v>43920</v>
      </c>
      <c r="C1074" s="32">
        <v>35.206099999999999</v>
      </c>
      <c r="D1074" s="7">
        <v>707.13</v>
      </c>
      <c r="E1074" s="49">
        <f t="shared" si="33"/>
        <v>0.14577454933624931</v>
      </c>
      <c r="F1074" s="49">
        <f t="shared" si="34"/>
        <v>2.9406198593743244E-2</v>
      </c>
    </row>
    <row r="1075" spans="2:6">
      <c r="B1075" s="51">
        <v>43921</v>
      </c>
      <c r="C1075" s="32">
        <v>35.922699999999999</v>
      </c>
      <c r="D1075" s="7">
        <v>719.58</v>
      </c>
      <c r="E1075" s="49">
        <f t="shared" si="33"/>
        <v>2.0354427215738172E-2</v>
      </c>
      <c r="F1075" s="49">
        <f t="shared" si="34"/>
        <v>1.7606380722073798E-2</v>
      </c>
    </row>
    <row r="1076" spans="2:6">
      <c r="B1076" s="51">
        <v>43922</v>
      </c>
      <c r="C1076" s="32">
        <v>38.072699999999998</v>
      </c>
      <c r="D1076" s="7">
        <v>713.01</v>
      </c>
      <c r="E1076" s="49">
        <f t="shared" si="33"/>
        <v>5.9850735050539033E-2</v>
      </c>
      <c r="F1076" s="49">
        <f t="shared" si="34"/>
        <v>-9.1303260235137858E-3</v>
      </c>
    </row>
    <row r="1077" spans="2:6">
      <c r="B1077" s="51">
        <v>43923</v>
      </c>
      <c r="C1077" s="32">
        <v>37.176900000000003</v>
      </c>
      <c r="D1077" s="7">
        <v>712.21</v>
      </c>
      <c r="E1077" s="49">
        <f t="shared" si="33"/>
        <v>-2.3528670149477033E-2</v>
      </c>
      <c r="F1077" s="49">
        <f t="shared" si="34"/>
        <v>-1.1220038989634851E-3</v>
      </c>
    </row>
    <row r="1078" spans="2:6">
      <c r="B1078" s="51">
        <v>43924</v>
      </c>
      <c r="C1078" s="32">
        <v>37.6248</v>
      </c>
      <c r="D1078" s="7">
        <v>728.51</v>
      </c>
      <c r="E1078" s="49">
        <f t="shared" si="33"/>
        <v>1.2047803878214618E-2</v>
      </c>
      <c r="F1078" s="49">
        <f t="shared" si="34"/>
        <v>2.2886508192808235E-2</v>
      </c>
    </row>
    <row r="1079" spans="2:6">
      <c r="B1079" s="51">
        <v>43927</v>
      </c>
      <c r="C1079" s="32">
        <v>39.058100000000003</v>
      </c>
      <c r="D1079" s="7">
        <v>744.39</v>
      </c>
      <c r="E1079" s="49">
        <f t="shared" si="33"/>
        <v>3.8094554655440101E-2</v>
      </c>
      <c r="F1079" s="49">
        <f t="shared" si="34"/>
        <v>2.179791629490329E-2</v>
      </c>
    </row>
    <row r="1080" spans="2:6">
      <c r="B1080" s="51">
        <v>43928</v>
      </c>
      <c r="C1080" s="32">
        <v>41.8352</v>
      </c>
      <c r="D1080" s="7">
        <v>734.38</v>
      </c>
      <c r="E1080" s="49">
        <f t="shared" si="33"/>
        <v>7.110176890324918E-2</v>
      </c>
      <c r="F1080" s="49">
        <f t="shared" si="34"/>
        <v>-1.3447252112467915E-2</v>
      </c>
    </row>
    <row r="1081" spans="2:6">
      <c r="B1081" s="51">
        <v>43929</v>
      </c>
      <c r="C1081" s="32">
        <v>41.297699999999999</v>
      </c>
      <c r="D1081" s="7">
        <v>755.4</v>
      </c>
      <c r="E1081" s="49">
        <f t="shared" si="33"/>
        <v>-1.2848032279037781E-2</v>
      </c>
      <c r="F1081" s="49">
        <f t="shared" si="34"/>
        <v>2.8622783844875925E-2</v>
      </c>
    </row>
    <row r="1082" spans="2:6">
      <c r="B1082" s="51">
        <v>43935</v>
      </c>
      <c r="C1082" s="32">
        <v>43.179000000000002</v>
      </c>
      <c r="D1082" s="7">
        <v>737.47</v>
      </c>
      <c r="E1082" s="49">
        <f t="shared" si="33"/>
        <v>4.5554595050087611E-2</v>
      </c>
      <c r="F1082" s="49">
        <f t="shared" si="34"/>
        <v>-2.3735769128938246E-2</v>
      </c>
    </row>
    <row r="1083" spans="2:6">
      <c r="B1083" s="51">
        <v>43936</v>
      </c>
      <c r="C1083" s="32">
        <v>42.462299999999999</v>
      </c>
      <c r="D1083" s="7">
        <v>727.68</v>
      </c>
      <c r="E1083" s="49">
        <f t="shared" si="33"/>
        <v>-1.65983464183979E-2</v>
      </c>
      <c r="F1083" s="49">
        <f t="shared" si="34"/>
        <v>-1.3275116275916413E-2</v>
      </c>
    </row>
    <row r="1084" spans="2:6">
      <c r="B1084" s="51">
        <v>43937</v>
      </c>
      <c r="C1084" s="32">
        <v>41.924799999999998</v>
      </c>
      <c r="D1084" s="7">
        <v>748.45</v>
      </c>
      <c r="E1084" s="49">
        <f t="shared" si="33"/>
        <v>-1.26582874691197E-2</v>
      </c>
      <c r="F1084" s="49">
        <f t="shared" si="34"/>
        <v>2.8542766051011567E-2</v>
      </c>
    </row>
    <row r="1085" spans="2:6">
      <c r="B1085" s="51">
        <v>43938</v>
      </c>
      <c r="C1085" s="32">
        <v>44.164400000000001</v>
      </c>
      <c r="D1085" s="7">
        <v>740.9</v>
      </c>
      <c r="E1085" s="49">
        <f t="shared" si="33"/>
        <v>5.3419455787505322E-2</v>
      </c>
      <c r="F1085" s="49">
        <f t="shared" si="34"/>
        <v>-1.0087514196005168E-2</v>
      </c>
    </row>
    <row r="1086" spans="2:6">
      <c r="B1086" s="51">
        <v>43941</v>
      </c>
      <c r="C1086" s="32">
        <v>42.283099999999997</v>
      </c>
      <c r="D1086" s="7">
        <v>726.7</v>
      </c>
      <c r="E1086" s="49">
        <f t="shared" si="33"/>
        <v>-4.259765784206291E-2</v>
      </c>
      <c r="F1086" s="49">
        <f t="shared" si="34"/>
        <v>-1.916587933594268E-2</v>
      </c>
    </row>
    <row r="1087" spans="2:6">
      <c r="B1087" s="51">
        <v>43942</v>
      </c>
      <c r="C1087" s="32">
        <v>41.655999999999999</v>
      </c>
      <c r="D1087" s="7">
        <v>738.12</v>
      </c>
      <c r="E1087" s="49">
        <f t="shared" si="33"/>
        <v>-1.4830984483162273E-2</v>
      </c>
      <c r="F1087" s="49">
        <f t="shared" si="34"/>
        <v>1.571487546442818E-2</v>
      </c>
    </row>
    <row r="1088" spans="2:6">
      <c r="B1088" s="51">
        <v>43943</v>
      </c>
      <c r="C1088" s="32">
        <v>42.1935</v>
      </c>
      <c r="D1088" s="7">
        <v>750.14</v>
      </c>
      <c r="E1088" s="49">
        <f t="shared" si="33"/>
        <v>1.2903303245630916E-2</v>
      </c>
      <c r="F1088" s="49">
        <f t="shared" si="34"/>
        <v>1.6284614967755896E-2</v>
      </c>
    </row>
    <row r="1089" spans="2:6">
      <c r="B1089" s="51">
        <v>43944</v>
      </c>
      <c r="C1089" s="32">
        <v>44.074800000000003</v>
      </c>
      <c r="D1089" s="7">
        <v>738.13</v>
      </c>
      <c r="E1089" s="49">
        <f t="shared" si="33"/>
        <v>4.4587436453482246E-2</v>
      </c>
      <c r="F1089" s="49">
        <f t="shared" si="34"/>
        <v>-1.6010344735649332E-2</v>
      </c>
    </row>
    <row r="1090" spans="2:6">
      <c r="B1090" s="51">
        <v>43945</v>
      </c>
      <c r="C1090" s="32">
        <v>45.328899999999997</v>
      </c>
      <c r="D1090" s="7">
        <v>743.42</v>
      </c>
      <c r="E1090" s="49">
        <f t="shared" si="33"/>
        <v>2.8453901095410392E-2</v>
      </c>
      <c r="F1090" s="49">
        <f t="shared" si="34"/>
        <v>7.1667592429517342E-3</v>
      </c>
    </row>
    <row r="1091" spans="2:6">
      <c r="B1091" s="51">
        <v>43948</v>
      </c>
      <c r="C1091" s="32">
        <v>46.224800000000002</v>
      </c>
      <c r="D1091" s="7">
        <v>757.53</v>
      </c>
      <c r="E1091" s="49">
        <f t="shared" si="33"/>
        <v>1.9764432845271001E-2</v>
      </c>
      <c r="F1091" s="49">
        <f t="shared" si="34"/>
        <v>1.8979849882973306E-2</v>
      </c>
    </row>
    <row r="1092" spans="2:6">
      <c r="B1092" s="51">
        <v>43949</v>
      </c>
      <c r="C1092" s="32">
        <v>47.299799999999998</v>
      </c>
      <c r="D1092" s="7">
        <v>772.15</v>
      </c>
      <c r="E1092" s="49">
        <f t="shared" si="33"/>
        <v>2.3255914573994819E-2</v>
      </c>
      <c r="F1092" s="49">
        <f t="shared" si="34"/>
        <v>1.9299565693767909E-2</v>
      </c>
    </row>
    <row r="1093" spans="2:6">
      <c r="B1093" s="51">
        <v>43950</v>
      </c>
      <c r="C1093" s="32">
        <v>48.195599999999999</v>
      </c>
      <c r="D1093" s="7">
        <v>775.11</v>
      </c>
      <c r="E1093" s="49">
        <f t="shared" si="33"/>
        <v>1.893876929712179E-2</v>
      </c>
      <c r="F1093" s="49">
        <f t="shared" si="34"/>
        <v>3.8334520494723002E-3</v>
      </c>
    </row>
    <row r="1094" spans="2:6">
      <c r="B1094" s="51">
        <v>43951</v>
      </c>
      <c r="C1094" s="32">
        <v>47.120600000000003</v>
      </c>
      <c r="D1094" s="7">
        <v>751.27</v>
      </c>
      <c r="E1094" s="49">
        <f t="shared" si="33"/>
        <v>-2.2304940699980822E-2</v>
      </c>
      <c r="F1094" s="49">
        <f t="shared" si="34"/>
        <v>-3.0756924823573468E-2</v>
      </c>
    </row>
    <row r="1095" spans="2:6">
      <c r="B1095" s="51">
        <v>43955</v>
      </c>
      <c r="C1095" s="32">
        <v>46.224800000000002</v>
      </c>
      <c r="D1095" s="7">
        <v>757.81</v>
      </c>
      <c r="E1095" s="49">
        <f t="shared" si="33"/>
        <v>-1.9010793580726926E-2</v>
      </c>
      <c r="F1095" s="49">
        <f t="shared" si="34"/>
        <v>8.705259094599762E-3</v>
      </c>
    </row>
    <row r="1096" spans="2:6">
      <c r="B1096" s="51">
        <v>43956</v>
      </c>
      <c r="C1096" s="32">
        <v>46.224800000000002</v>
      </c>
      <c r="D1096" s="7">
        <v>747.58</v>
      </c>
      <c r="E1096" s="49">
        <f t="shared" si="33"/>
        <v>0</v>
      </c>
      <c r="F1096" s="49">
        <f t="shared" si="34"/>
        <v>-1.3499425977487635E-2</v>
      </c>
    </row>
    <row r="1097" spans="2:6">
      <c r="B1097" s="51">
        <v>43957</v>
      </c>
      <c r="C1097" s="32">
        <v>46.762300000000003</v>
      </c>
      <c r="D1097" s="7">
        <v>756.59</v>
      </c>
      <c r="E1097" s="49">
        <f t="shared" si="33"/>
        <v>1.1627957286997486E-2</v>
      </c>
      <c r="F1097" s="49">
        <f t="shared" si="34"/>
        <v>1.2052221835790137E-2</v>
      </c>
    </row>
    <row r="1098" spans="2:6">
      <c r="B1098" s="51">
        <v>43958</v>
      </c>
      <c r="C1098" s="32">
        <v>46.762300000000003</v>
      </c>
      <c r="D1098" s="7">
        <v>769.62</v>
      </c>
      <c r="E1098" s="49">
        <f t="shared" si="33"/>
        <v>0</v>
      </c>
      <c r="F1098" s="49">
        <f t="shared" si="34"/>
        <v>1.7222009278473113E-2</v>
      </c>
    </row>
    <row r="1099" spans="2:6">
      <c r="B1099" s="51">
        <v>43959</v>
      </c>
      <c r="C1099" s="32">
        <v>47.837299999999999</v>
      </c>
      <c r="D1099" s="7">
        <v>764.08</v>
      </c>
      <c r="E1099" s="49">
        <f t="shared" si="33"/>
        <v>2.2988604067806666E-2</v>
      </c>
      <c r="F1099" s="49">
        <f t="shared" si="34"/>
        <v>-7.1983576310386474E-3</v>
      </c>
    </row>
    <row r="1100" spans="2:6">
      <c r="B1100" s="51">
        <v>43962</v>
      </c>
      <c r="C1100" s="32">
        <v>46.941400000000002</v>
      </c>
      <c r="D1100" s="7">
        <v>770.02</v>
      </c>
      <c r="E1100" s="49">
        <f t="shared" si="33"/>
        <v>-1.8728063665800484E-2</v>
      </c>
      <c r="F1100" s="49">
        <f t="shared" si="34"/>
        <v>7.7740550727671718E-3</v>
      </c>
    </row>
    <row r="1101" spans="2:6">
      <c r="B1101" s="51">
        <v>43963</v>
      </c>
      <c r="C1101" s="32">
        <v>46.583100000000002</v>
      </c>
      <c r="D1101" s="7">
        <v>758.14</v>
      </c>
      <c r="E1101" s="49">
        <f t="shared" si="33"/>
        <v>-7.6329210462406285E-3</v>
      </c>
      <c r="F1101" s="49">
        <f t="shared" si="34"/>
        <v>-1.5428170696865012E-2</v>
      </c>
    </row>
    <row r="1102" spans="2:6">
      <c r="B1102" s="51">
        <v>43964</v>
      </c>
      <c r="C1102" s="32">
        <v>46.583100000000002</v>
      </c>
      <c r="D1102" s="7">
        <v>737.25</v>
      </c>
      <c r="E1102" s="49">
        <f t="shared" si="33"/>
        <v>0</v>
      </c>
      <c r="F1102" s="49">
        <f t="shared" si="34"/>
        <v>-2.755427757406282E-2</v>
      </c>
    </row>
    <row r="1103" spans="2:6">
      <c r="B1103" s="51">
        <v>43965</v>
      </c>
      <c r="C1103" s="32">
        <v>45.6873</v>
      </c>
      <c r="D1103" s="7">
        <v>753.61</v>
      </c>
      <c r="E1103" s="49">
        <f t="shared" ref="E1103:E1166" si="35">(C1103-C1102)/C1102</f>
        <v>-1.9230149990017865E-2</v>
      </c>
      <c r="F1103" s="49">
        <f t="shared" ref="F1103:F1166" si="36">(D1103-D1102)/D1102</f>
        <v>2.2190573075618874E-2</v>
      </c>
    </row>
    <row r="1104" spans="2:6">
      <c r="B1104" s="51">
        <v>43966</v>
      </c>
      <c r="C1104" s="32">
        <v>46.941400000000002</v>
      </c>
      <c r="D1104" s="7">
        <v>771.58</v>
      </c>
      <c r="E1104" s="49">
        <f t="shared" si="35"/>
        <v>2.7449641366419138E-2</v>
      </c>
      <c r="F1104" s="49">
        <f t="shared" si="36"/>
        <v>2.3845224983744945E-2</v>
      </c>
    </row>
    <row r="1105" spans="2:6">
      <c r="B1105" s="51">
        <v>43969</v>
      </c>
      <c r="C1105" s="32">
        <v>49.0914</v>
      </c>
      <c r="D1105" s="7">
        <v>780.37</v>
      </c>
      <c r="E1105" s="49">
        <f t="shared" si="35"/>
        <v>4.5801786908784115E-2</v>
      </c>
      <c r="F1105" s="49">
        <f t="shared" si="36"/>
        <v>1.1392208196168853E-2</v>
      </c>
    </row>
    <row r="1106" spans="2:6">
      <c r="B1106" s="51">
        <v>43970</v>
      </c>
      <c r="C1106" s="32">
        <v>53.391399999999997</v>
      </c>
      <c r="D1106" s="7">
        <v>789.33</v>
      </c>
      <c r="E1106" s="49">
        <f t="shared" si="35"/>
        <v>8.7591716675425785E-2</v>
      </c>
      <c r="F1106" s="49">
        <f t="shared" si="36"/>
        <v>1.1481733024078369E-2</v>
      </c>
    </row>
    <row r="1107" spans="2:6">
      <c r="B1107" s="51">
        <v>43971</v>
      </c>
      <c r="C1107" s="32">
        <v>56.7956</v>
      </c>
      <c r="D1107" s="7">
        <v>776.65</v>
      </c>
      <c r="E1107" s="49">
        <f t="shared" si="35"/>
        <v>6.375933202725538E-2</v>
      </c>
      <c r="F1107" s="49">
        <f t="shared" si="36"/>
        <v>-1.6064257028112528E-2</v>
      </c>
    </row>
    <row r="1108" spans="2:6">
      <c r="B1108" s="51">
        <v>43973</v>
      </c>
      <c r="C1108" s="32">
        <v>59.124699999999997</v>
      </c>
      <c r="D1108" s="7">
        <v>793.12</v>
      </c>
      <c r="E1108" s="49">
        <f t="shared" si="35"/>
        <v>4.1008458401707117E-2</v>
      </c>
      <c r="F1108" s="49">
        <f t="shared" si="36"/>
        <v>2.1206463658018447E-2</v>
      </c>
    </row>
    <row r="1109" spans="2:6">
      <c r="B1109" s="51">
        <v>43976</v>
      </c>
      <c r="C1109" s="32">
        <v>62.707999999999998</v>
      </c>
      <c r="D1109" s="7">
        <v>804.86</v>
      </c>
      <c r="E1109" s="49">
        <f t="shared" si="35"/>
        <v>6.0605804342347636E-2</v>
      </c>
      <c r="F1109" s="49">
        <f t="shared" si="36"/>
        <v>1.4802299778091599E-2</v>
      </c>
    </row>
    <row r="1110" spans="2:6">
      <c r="B1110" s="51">
        <v>43977</v>
      </c>
      <c r="C1110" s="32">
        <v>65.395499999999998</v>
      </c>
      <c r="D1110" s="7">
        <v>806.2</v>
      </c>
      <c r="E1110" s="49">
        <f t="shared" si="35"/>
        <v>4.285737067040888E-2</v>
      </c>
      <c r="F1110" s="49">
        <f t="shared" si="36"/>
        <v>1.6648858186517305E-3</v>
      </c>
    </row>
    <row r="1111" spans="2:6">
      <c r="B1111" s="51">
        <v>43978</v>
      </c>
      <c r="C1111" s="32">
        <v>65.395499999999998</v>
      </c>
      <c r="D1111" s="7">
        <v>806.19</v>
      </c>
      <c r="E1111" s="49">
        <f t="shared" si="35"/>
        <v>0</v>
      </c>
      <c r="F1111" s="49">
        <f t="shared" si="36"/>
        <v>-1.240387000743104E-5</v>
      </c>
    </row>
    <row r="1112" spans="2:6">
      <c r="B1112" s="51">
        <v>43979</v>
      </c>
      <c r="C1112" s="32">
        <v>60.477200000000003</v>
      </c>
      <c r="D1112" s="7">
        <v>796.77</v>
      </c>
      <c r="E1112" s="49">
        <f t="shared" si="35"/>
        <v>-7.5208538813832687E-2</v>
      </c>
      <c r="F1112" s="49">
        <f t="shared" si="36"/>
        <v>-1.1684590481152175E-2</v>
      </c>
    </row>
    <row r="1113" spans="2:6">
      <c r="B1113" s="51">
        <v>43980</v>
      </c>
      <c r="C1113" s="32">
        <v>60.112900000000003</v>
      </c>
      <c r="D1113" s="7">
        <v>815.08</v>
      </c>
      <c r="E1113" s="49">
        <f t="shared" si="35"/>
        <v>-6.0237577136507655E-3</v>
      </c>
      <c r="F1113" s="49">
        <f t="shared" si="36"/>
        <v>2.298028289217724E-2</v>
      </c>
    </row>
    <row r="1114" spans="2:6">
      <c r="B1114" s="51">
        <v>43984</v>
      </c>
      <c r="C1114" s="32">
        <v>60.841500000000003</v>
      </c>
      <c r="D1114" s="7">
        <v>830.43</v>
      </c>
      <c r="E1114" s="49">
        <f t="shared" si="35"/>
        <v>1.2120526542555759E-2</v>
      </c>
      <c r="F1114" s="49">
        <f t="shared" si="36"/>
        <v>1.8832507238553158E-2</v>
      </c>
    </row>
    <row r="1115" spans="2:6">
      <c r="B1115" s="51">
        <v>43985</v>
      </c>
      <c r="C1115" s="32">
        <v>63.756100000000004</v>
      </c>
      <c r="D1115" s="7">
        <v>833.31</v>
      </c>
      <c r="E1115" s="49">
        <f t="shared" si="35"/>
        <v>4.790480182112538E-2</v>
      </c>
      <c r="F1115" s="49">
        <f t="shared" si="36"/>
        <v>3.4680828004768562E-3</v>
      </c>
    </row>
    <row r="1116" spans="2:6">
      <c r="B1116" s="51">
        <v>43986</v>
      </c>
      <c r="C1116" s="32">
        <v>65.453699999999998</v>
      </c>
      <c r="D1116" s="7">
        <v>849.66</v>
      </c>
      <c r="E1116" s="49">
        <f t="shared" si="35"/>
        <v>2.6626471819951255E-2</v>
      </c>
      <c r="F1116" s="49">
        <f t="shared" si="36"/>
        <v>1.9620549375382539E-2</v>
      </c>
    </row>
    <row r="1117" spans="2:6">
      <c r="B1117" s="51">
        <v>43987</v>
      </c>
      <c r="C1117" s="32">
        <v>65.453699999999998</v>
      </c>
      <c r="D1117" s="7">
        <v>856.83</v>
      </c>
      <c r="E1117" s="49">
        <f t="shared" si="35"/>
        <v>0</v>
      </c>
      <c r="F1117" s="49">
        <f t="shared" si="36"/>
        <v>8.4386695854813381E-3</v>
      </c>
    </row>
    <row r="1118" spans="2:6">
      <c r="B1118" s="51">
        <v>43990</v>
      </c>
      <c r="C1118" s="32">
        <v>63.944699999999997</v>
      </c>
      <c r="D1118" s="7">
        <v>839.09</v>
      </c>
      <c r="E1118" s="49">
        <f t="shared" si="35"/>
        <v>-2.3054464453499197E-2</v>
      </c>
      <c r="F1118" s="49">
        <f t="shared" si="36"/>
        <v>-2.0704223708320212E-2</v>
      </c>
    </row>
    <row r="1119" spans="2:6">
      <c r="B1119" s="51">
        <v>43991</v>
      </c>
      <c r="C1119" s="32">
        <v>66.396900000000002</v>
      </c>
      <c r="D1119" s="7">
        <v>839.68</v>
      </c>
      <c r="E1119" s="49">
        <f t="shared" si="35"/>
        <v>3.834876072606494E-2</v>
      </c>
      <c r="F1119" s="49">
        <f t="shared" si="36"/>
        <v>7.0314269029534153E-4</v>
      </c>
    </row>
    <row r="1120" spans="2:6">
      <c r="B1120" s="51">
        <v>43992</v>
      </c>
      <c r="C1120" s="32">
        <v>68.094499999999996</v>
      </c>
      <c r="D1120" s="7">
        <v>813.72</v>
      </c>
      <c r="E1120" s="49">
        <f t="shared" si="35"/>
        <v>2.5567458721717343E-2</v>
      </c>
      <c r="F1120" s="49">
        <f t="shared" si="36"/>
        <v>-3.0916539634146253E-2</v>
      </c>
    </row>
    <row r="1121" spans="2:6">
      <c r="B1121" s="51">
        <v>43993</v>
      </c>
      <c r="C1121" s="32">
        <v>64.699200000000005</v>
      </c>
      <c r="D1121" s="7">
        <v>820.32</v>
      </c>
      <c r="E1121" s="49">
        <f t="shared" si="35"/>
        <v>-4.9861589408836129E-2</v>
      </c>
      <c r="F1121" s="49">
        <f t="shared" si="36"/>
        <v>8.1108980976257461E-3</v>
      </c>
    </row>
    <row r="1122" spans="2:6">
      <c r="B1122" s="51">
        <v>43994</v>
      </c>
      <c r="C1122" s="32">
        <v>65.453699999999998</v>
      </c>
      <c r="D1122" s="7">
        <v>802.9</v>
      </c>
      <c r="E1122" s="49">
        <f t="shared" si="35"/>
        <v>1.1661658876771166E-2</v>
      </c>
      <c r="F1122" s="49">
        <f t="shared" si="36"/>
        <v>-2.1235615369611945E-2</v>
      </c>
    </row>
    <row r="1123" spans="2:6">
      <c r="B1123" s="51">
        <v>43997</v>
      </c>
      <c r="C1123" s="32">
        <v>64.322000000000003</v>
      </c>
      <c r="D1123" s="7">
        <v>824.45</v>
      </c>
      <c r="E1123" s="49">
        <f t="shared" si="35"/>
        <v>-1.7290084441368404E-2</v>
      </c>
      <c r="F1123" s="49">
        <f t="shared" si="36"/>
        <v>2.6840204259559183E-2</v>
      </c>
    </row>
    <row r="1124" spans="2:6">
      <c r="B1124" s="51">
        <v>43998</v>
      </c>
      <c r="C1124" s="32">
        <v>72.810199999999995</v>
      </c>
      <c r="D1124" s="7">
        <v>819.44</v>
      </c>
      <c r="E1124" s="49">
        <f t="shared" si="35"/>
        <v>0.13196418021827666</v>
      </c>
      <c r="F1124" s="49">
        <f t="shared" si="36"/>
        <v>-6.076778458366172E-3</v>
      </c>
    </row>
    <row r="1125" spans="2:6">
      <c r="B1125" s="51">
        <v>43999</v>
      </c>
      <c r="C1125" s="32">
        <v>71.301199999999994</v>
      </c>
      <c r="D1125" s="7">
        <v>813.4</v>
      </c>
      <c r="E1125" s="49">
        <f t="shared" si="35"/>
        <v>-2.0725118183990712E-2</v>
      </c>
      <c r="F1125" s="49">
        <f t="shared" si="36"/>
        <v>-7.3708874353217773E-3</v>
      </c>
    </row>
    <row r="1126" spans="2:6">
      <c r="B1126" s="51">
        <v>44000</v>
      </c>
      <c r="C1126" s="32">
        <v>73.941999999999993</v>
      </c>
      <c r="D1126" s="7">
        <v>815.14</v>
      </c>
      <c r="E1126" s="49">
        <f t="shared" si="35"/>
        <v>3.7037244814954011E-2</v>
      </c>
      <c r="F1126" s="49">
        <f t="shared" si="36"/>
        <v>2.1391689205802916E-3</v>
      </c>
    </row>
    <row r="1127" spans="2:6">
      <c r="B1127" s="51">
        <v>44001</v>
      </c>
      <c r="C1127" s="32">
        <v>74.319199999999995</v>
      </c>
      <c r="D1127" s="7">
        <v>805.97</v>
      </c>
      <c r="E1127" s="49">
        <f t="shared" si="35"/>
        <v>5.101295610072787E-3</v>
      </c>
      <c r="F1127" s="49">
        <f t="shared" si="36"/>
        <v>-1.1249601295482935E-2</v>
      </c>
    </row>
    <row r="1128" spans="2:6">
      <c r="B1128" s="51">
        <v>44004</v>
      </c>
      <c r="C1128" s="32">
        <v>74.319199999999995</v>
      </c>
      <c r="D1128" s="7">
        <v>813.42</v>
      </c>
      <c r="E1128" s="49">
        <f t="shared" si="35"/>
        <v>0</v>
      </c>
      <c r="F1128" s="49">
        <f t="shared" si="36"/>
        <v>9.2435202302814396E-3</v>
      </c>
    </row>
    <row r="1129" spans="2:6">
      <c r="B1129" s="51">
        <v>44005</v>
      </c>
      <c r="C1129" s="32">
        <v>73.941999999999993</v>
      </c>
      <c r="D1129" s="7">
        <v>804.15</v>
      </c>
      <c r="E1129" s="49">
        <f t="shared" si="35"/>
        <v>-5.0754044715228637E-3</v>
      </c>
      <c r="F1129" s="49">
        <f t="shared" si="36"/>
        <v>-1.1396326620933813E-2</v>
      </c>
    </row>
    <row r="1130" spans="2:6">
      <c r="B1130" s="51">
        <v>44006</v>
      </c>
      <c r="C1130" s="32">
        <v>72.998800000000003</v>
      </c>
      <c r="D1130" s="7">
        <v>801.21</v>
      </c>
      <c r="E1130" s="49">
        <f t="shared" si="35"/>
        <v>-1.2755943847880641E-2</v>
      </c>
      <c r="F1130" s="49">
        <f t="shared" si="36"/>
        <v>-3.6560343219547856E-3</v>
      </c>
    </row>
    <row r="1131" spans="2:6">
      <c r="B1131" s="51">
        <v>44007</v>
      </c>
      <c r="C1131" s="32">
        <v>71.867099999999994</v>
      </c>
      <c r="D1131" s="7">
        <v>794.72</v>
      </c>
      <c r="E1131" s="49">
        <f t="shared" si="35"/>
        <v>-1.5502994569773876E-2</v>
      </c>
      <c r="F1131" s="49">
        <f t="shared" si="36"/>
        <v>-8.1002483743338304E-3</v>
      </c>
    </row>
    <row r="1132" spans="2:6">
      <c r="B1132" s="51">
        <v>44008</v>
      </c>
      <c r="C1132" s="32">
        <v>72.621600000000001</v>
      </c>
      <c r="D1132" s="7">
        <v>800.06</v>
      </c>
      <c r="E1132" s="49">
        <f t="shared" si="35"/>
        <v>1.0498545231406406E-2</v>
      </c>
      <c r="F1132" s="49">
        <f t="shared" si="36"/>
        <v>6.7193476947854814E-3</v>
      </c>
    </row>
    <row r="1133" spans="2:6">
      <c r="B1133" s="51">
        <v>44011</v>
      </c>
      <c r="C1133" s="32">
        <v>72.621600000000001</v>
      </c>
      <c r="D1133" s="7">
        <v>795.22</v>
      </c>
      <c r="E1133" s="49">
        <f t="shared" si="35"/>
        <v>0</v>
      </c>
      <c r="F1133" s="49">
        <f t="shared" si="36"/>
        <v>-6.049546284028596E-3</v>
      </c>
    </row>
    <row r="1134" spans="2:6">
      <c r="B1134" s="51">
        <v>44012</v>
      </c>
      <c r="C1134" s="32">
        <v>72.998800000000003</v>
      </c>
      <c r="D1134" s="7">
        <v>802.77</v>
      </c>
      <c r="E1134" s="49">
        <f t="shared" si="35"/>
        <v>5.1940469502186953E-3</v>
      </c>
      <c r="F1134" s="49">
        <f t="shared" si="36"/>
        <v>9.4942280123738766E-3</v>
      </c>
    </row>
    <row r="1135" spans="2:6">
      <c r="B1135" s="51">
        <v>44013</v>
      </c>
      <c r="C1135" s="32">
        <v>73.187399999999997</v>
      </c>
      <c r="D1135" s="7">
        <v>807.28</v>
      </c>
      <c r="E1135" s="49">
        <f t="shared" si="35"/>
        <v>2.5836041140401469E-3</v>
      </c>
      <c r="F1135" s="49">
        <f t="shared" si="36"/>
        <v>5.6180475104949E-3</v>
      </c>
    </row>
    <row r="1136" spans="2:6">
      <c r="B1136" s="51">
        <v>44014</v>
      </c>
      <c r="C1136" s="32">
        <v>74.130600000000001</v>
      </c>
      <c r="D1136" s="7">
        <v>801.68</v>
      </c>
      <c r="E1136" s="49">
        <f t="shared" si="35"/>
        <v>1.2887464235647182E-2</v>
      </c>
      <c r="F1136" s="49">
        <f t="shared" si="36"/>
        <v>-6.9368744425726174E-3</v>
      </c>
    </row>
    <row r="1137" spans="2:6">
      <c r="B1137" s="51">
        <v>44015</v>
      </c>
      <c r="C1137" s="32">
        <v>73.941999999999993</v>
      </c>
      <c r="D1137" s="7">
        <v>810</v>
      </c>
      <c r="E1137" s="49">
        <f t="shared" si="35"/>
        <v>-2.5441585526086137E-3</v>
      </c>
      <c r="F1137" s="49">
        <f t="shared" si="36"/>
        <v>1.03782057678875E-2</v>
      </c>
    </row>
    <row r="1138" spans="2:6">
      <c r="B1138" s="51">
        <v>44018</v>
      </c>
      <c r="C1138" s="32">
        <v>74.6965</v>
      </c>
      <c r="D1138" s="7">
        <v>808.92</v>
      </c>
      <c r="E1138" s="49">
        <f t="shared" si="35"/>
        <v>1.0203943631495054E-2</v>
      </c>
      <c r="F1138" s="49">
        <f t="shared" si="36"/>
        <v>-1.3333333333333838E-3</v>
      </c>
    </row>
    <row r="1139" spans="2:6">
      <c r="B1139" s="51">
        <v>44019</v>
      </c>
      <c r="C1139" s="32">
        <v>74.507800000000003</v>
      </c>
      <c r="D1139" s="7">
        <v>811.01</v>
      </c>
      <c r="E1139" s="49">
        <f t="shared" si="35"/>
        <v>-2.5262227815225241E-3</v>
      </c>
      <c r="F1139" s="49">
        <f t="shared" si="36"/>
        <v>2.5836918360283242E-3</v>
      </c>
    </row>
    <row r="1140" spans="2:6">
      <c r="B1140" s="51">
        <v>44020</v>
      </c>
      <c r="C1140" s="32">
        <v>74.319199999999995</v>
      </c>
      <c r="D1140" s="7">
        <v>800.96</v>
      </c>
      <c r="E1140" s="49">
        <f t="shared" si="35"/>
        <v>-2.5312786043878372E-3</v>
      </c>
      <c r="F1140" s="49">
        <f t="shared" si="36"/>
        <v>-1.2391955709547299E-2</v>
      </c>
    </row>
    <row r="1141" spans="2:6">
      <c r="B1141" s="51">
        <v>44021</v>
      </c>
      <c r="C1141" s="32">
        <v>73.564700000000002</v>
      </c>
      <c r="D1141" s="7">
        <v>801.59</v>
      </c>
      <c r="E1141" s="49">
        <f t="shared" si="35"/>
        <v>-1.0152154490360407E-2</v>
      </c>
      <c r="F1141" s="49">
        <f t="shared" si="36"/>
        <v>7.8655613264082529E-4</v>
      </c>
    </row>
    <row r="1142" spans="2:6">
      <c r="B1142" s="51">
        <v>44022</v>
      </c>
      <c r="C1142" s="32">
        <v>72.244299999999996</v>
      </c>
      <c r="D1142" s="7">
        <v>821</v>
      </c>
      <c r="E1142" s="49">
        <f t="shared" si="35"/>
        <v>-1.7948825999426442E-2</v>
      </c>
      <c r="F1142" s="49">
        <f t="shared" si="36"/>
        <v>2.4214373931810487E-2</v>
      </c>
    </row>
    <row r="1143" spans="2:6">
      <c r="B1143" s="51">
        <v>44025</v>
      </c>
      <c r="C1143" s="32">
        <v>70.358000000000004</v>
      </c>
      <c r="D1143" s="7">
        <v>823.65</v>
      </c>
      <c r="E1143" s="49">
        <f t="shared" si="35"/>
        <v>-2.611001836823101E-2</v>
      </c>
      <c r="F1143" s="49">
        <f t="shared" si="36"/>
        <v>3.2277710109622133E-3</v>
      </c>
    </row>
    <row r="1144" spans="2:6">
      <c r="B1144" s="51">
        <v>44026</v>
      </c>
      <c r="C1144" s="32">
        <v>68.849000000000004</v>
      </c>
      <c r="D1144" s="7">
        <v>840.82</v>
      </c>
      <c r="E1144" s="49">
        <f t="shared" si="35"/>
        <v>-2.144745444725547E-2</v>
      </c>
      <c r="F1144" s="49">
        <f t="shared" si="36"/>
        <v>2.0846233230134247E-2</v>
      </c>
    </row>
    <row r="1145" spans="2:6">
      <c r="B1145" s="51">
        <v>44027</v>
      </c>
      <c r="C1145" s="32">
        <v>69.792199999999994</v>
      </c>
      <c r="D1145" s="7">
        <v>836.14</v>
      </c>
      <c r="E1145" s="49">
        <f t="shared" si="35"/>
        <v>1.3699545381922617E-2</v>
      </c>
      <c r="F1145" s="49">
        <f t="shared" si="36"/>
        <v>-5.5659951000214831E-3</v>
      </c>
    </row>
    <row r="1146" spans="2:6">
      <c r="B1146" s="51">
        <v>44028</v>
      </c>
      <c r="C1146" s="32">
        <v>69.226299999999995</v>
      </c>
      <c r="D1146" s="7">
        <v>843.63</v>
      </c>
      <c r="E1146" s="49">
        <f t="shared" si="35"/>
        <v>-8.1083559480858783E-3</v>
      </c>
      <c r="F1146" s="49">
        <f t="shared" si="36"/>
        <v>8.9578300284641442E-3</v>
      </c>
    </row>
    <row r="1147" spans="2:6">
      <c r="B1147" s="51">
        <v>44029</v>
      </c>
      <c r="C1147" s="32">
        <v>68.849000000000004</v>
      </c>
      <c r="D1147" s="7">
        <v>856.21299999999997</v>
      </c>
      <c r="E1147" s="49">
        <f t="shared" si="35"/>
        <v>-5.4502407322071398E-3</v>
      </c>
      <c r="F1147" s="49">
        <f t="shared" si="36"/>
        <v>1.4915306473216896E-2</v>
      </c>
    </row>
    <row r="1148" spans="2:6">
      <c r="B1148" s="51">
        <v>44032</v>
      </c>
      <c r="C1148" s="32">
        <v>69.603499999999997</v>
      </c>
      <c r="D1148" s="7">
        <v>849.85</v>
      </c>
      <c r="E1148" s="49">
        <f t="shared" si="35"/>
        <v>1.0958764833185567E-2</v>
      </c>
      <c r="F1148" s="49">
        <f t="shared" si="36"/>
        <v>-7.4315620061829743E-3</v>
      </c>
    </row>
    <row r="1149" spans="2:6">
      <c r="B1149" s="51">
        <v>44033</v>
      </c>
      <c r="C1149" s="32">
        <v>69.414900000000003</v>
      </c>
      <c r="D1149" s="7">
        <v>843.55</v>
      </c>
      <c r="E1149" s="49">
        <f t="shared" si="35"/>
        <v>-2.7096338546192919E-3</v>
      </c>
      <c r="F1149" s="49">
        <f t="shared" si="36"/>
        <v>-7.413072895216883E-3</v>
      </c>
    </row>
    <row r="1150" spans="2:6">
      <c r="B1150" s="51">
        <v>44034</v>
      </c>
      <c r="C1150" s="32">
        <v>69.792199999999994</v>
      </c>
      <c r="D1150" s="7">
        <v>839.97</v>
      </c>
      <c r="E1150" s="49">
        <f t="shared" si="35"/>
        <v>5.4354324503815615E-3</v>
      </c>
      <c r="F1150" s="49">
        <f t="shared" si="36"/>
        <v>-4.2439689407858779E-3</v>
      </c>
    </row>
    <row r="1151" spans="2:6">
      <c r="B1151" s="51">
        <v>44035</v>
      </c>
      <c r="C1151" s="32">
        <v>69.037599999999998</v>
      </c>
      <c r="D1151" s="7">
        <v>839.97</v>
      </c>
      <c r="E1151" s="49">
        <f t="shared" si="35"/>
        <v>-1.0812096480695499E-2</v>
      </c>
      <c r="F1151" s="49">
        <f t="shared" si="36"/>
        <v>0</v>
      </c>
    </row>
    <row r="1152" spans="2:6">
      <c r="B1152" s="51">
        <v>44036</v>
      </c>
      <c r="C1152" s="32">
        <v>66.208200000000005</v>
      </c>
      <c r="D1152" s="7">
        <v>839.08</v>
      </c>
      <c r="E1152" s="49">
        <f t="shared" si="35"/>
        <v>-4.0983464083339985E-2</v>
      </c>
      <c r="F1152" s="49">
        <f t="shared" si="36"/>
        <v>-1.0595616510113294E-3</v>
      </c>
    </row>
    <row r="1153" spans="2:6">
      <c r="B1153" s="51">
        <v>44039</v>
      </c>
      <c r="C1153" s="32">
        <v>66.774100000000004</v>
      </c>
      <c r="D1153" s="7">
        <v>841.72</v>
      </c>
      <c r="E1153" s="49">
        <f t="shared" si="35"/>
        <v>8.5472796420987002E-3</v>
      </c>
      <c r="F1153" s="49">
        <f t="shared" si="36"/>
        <v>3.1463030938646925E-3</v>
      </c>
    </row>
    <row r="1154" spans="2:6">
      <c r="B1154" s="51">
        <v>44040</v>
      </c>
      <c r="C1154" s="32">
        <v>67.905900000000003</v>
      </c>
      <c r="D1154" s="7">
        <v>819.75</v>
      </c>
      <c r="E1154" s="49">
        <f t="shared" si="35"/>
        <v>1.6949685581685088E-2</v>
      </c>
      <c r="F1154" s="49">
        <f t="shared" si="36"/>
        <v>-2.6101316352231178E-2</v>
      </c>
    </row>
    <row r="1155" spans="2:6">
      <c r="B1155" s="51">
        <v>44041</v>
      </c>
      <c r="C1155" s="32">
        <v>69.226299999999995</v>
      </c>
      <c r="D1155" s="7">
        <v>826.23</v>
      </c>
      <c r="E1155" s="49">
        <f t="shared" si="35"/>
        <v>1.9444554891401074E-2</v>
      </c>
      <c r="F1155" s="49">
        <f t="shared" si="36"/>
        <v>7.904849039341284E-3</v>
      </c>
    </row>
    <row r="1156" spans="2:6">
      <c r="B1156" s="51">
        <v>44042</v>
      </c>
      <c r="C1156" s="32">
        <v>66.396900000000002</v>
      </c>
      <c r="D1156" s="7">
        <v>842.19</v>
      </c>
      <c r="E1156" s="49">
        <f t="shared" si="35"/>
        <v>-4.0871749609613581E-2</v>
      </c>
      <c r="F1156" s="49">
        <f t="shared" si="36"/>
        <v>1.931665516865768E-2</v>
      </c>
    </row>
    <row r="1157" spans="2:6">
      <c r="B1157" s="51">
        <v>44043</v>
      </c>
      <c r="C1157" s="32">
        <v>67.34</v>
      </c>
      <c r="D1157" s="7">
        <v>847.75</v>
      </c>
      <c r="E1157" s="49">
        <f t="shared" si="35"/>
        <v>1.4203976390464029E-2</v>
      </c>
      <c r="F1157" s="49">
        <f t="shared" si="36"/>
        <v>6.6018356902835997E-3</v>
      </c>
    </row>
    <row r="1158" spans="2:6">
      <c r="B1158" s="51">
        <v>44046</v>
      </c>
      <c r="C1158" s="32">
        <v>71.301199999999994</v>
      </c>
      <c r="D1158" s="7">
        <v>854.94</v>
      </c>
      <c r="E1158" s="49">
        <f t="shared" si="35"/>
        <v>5.8823878823878684E-2</v>
      </c>
      <c r="F1158" s="49">
        <f t="shared" si="36"/>
        <v>8.481273960483697E-3</v>
      </c>
    </row>
    <row r="1159" spans="2:6">
      <c r="B1159" s="51">
        <v>44047</v>
      </c>
      <c r="C1159" s="32">
        <v>70.358000000000004</v>
      </c>
      <c r="D1159" s="7">
        <v>854.88</v>
      </c>
      <c r="E1159" s="49">
        <f t="shared" si="35"/>
        <v>-1.3228388863020402E-2</v>
      </c>
      <c r="F1159" s="49">
        <f t="shared" si="36"/>
        <v>-7.0180363534352248E-5</v>
      </c>
    </row>
    <row r="1160" spans="2:6">
      <c r="B1160" s="51">
        <v>44048</v>
      </c>
      <c r="C1160" s="32">
        <v>70.358000000000004</v>
      </c>
      <c r="D1160" s="7">
        <v>854.63</v>
      </c>
      <c r="E1160" s="49">
        <f t="shared" si="35"/>
        <v>0</v>
      </c>
      <c r="F1160" s="49">
        <f t="shared" si="36"/>
        <v>-2.9243870484746399E-4</v>
      </c>
    </row>
    <row r="1161" spans="2:6">
      <c r="B1161" s="51">
        <v>44049</v>
      </c>
      <c r="C1161" s="32">
        <v>69.792199999999994</v>
      </c>
      <c r="D1161" s="7">
        <v>856.19</v>
      </c>
      <c r="E1161" s="49">
        <f t="shared" si="35"/>
        <v>-8.0417294408597472E-3</v>
      </c>
      <c r="F1161" s="49">
        <f t="shared" si="36"/>
        <v>1.8253513216246319E-3</v>
      </c>
    </row>
    <row r="1162" spans="2:6">
      <c r="B1162" s="51">
        <v>44050</v>
      </c>
      <c r="C1162" s="32">
        <v>69.980800000000002</v>
      </c>
      <c r="D1162" s="7">
        <v>870.64</v>
      </c>
      <c r="E1162" s="49">
        <f t="shared" si="35"/>
        <v>2.7023077077382301E-3</v>
      </c>
      <c r="F1162" s="49">
        <f t="shared" si="36"/>
        <v>1.6877095037316402E-2</v>
      </c>
    </row>
    <row r="1163" spans="2:6">
      <c r="B1163" s="51">
        <v>44053</v>
      </c>
      <c r="C1163" s="32">
        <v>70.358000000000004</v>
      </c>
      <c r="D1163" s="7">
        <v>875.94</v>
      </c>
      <c r="E1163" s="49">
        <f t="shared" si="35"/>
        <v>5.390049842242472E-3</v>
      </c>
      <c r="F1163" s="49">
        <f t="shared" si="36"/>
        <v>6.08747587981263E-3</v>
      </c>
    </row>
    <row r="1164" spans="2:6">
      <c r="B1164" s="51">
        <v>44054</v>
      </c>
      <c r="C1164" s="32">
        <v>70.546700000000001</v>
      </c>
      <c r="D1164" s="7">
        <v>878.04</v>
      </c>
      <c r="E1164" s="49">
        <f t="shared" si="35"/>
        <v>2.6819977827680888E-3</v>
      </c>
      <c r="F1164" s="49">
        <f t="shared" si="36"/>
        <v>2.3974244811287406E-3</v>
      </c>
    </row>
    <row r="1165" spans="2:6">
      <c r="B1165" s="51">
        <v>44055</v>
      </c>
      <c r="C1165" s="32">
        <v>71.301199999999994</v>
      </c>
      <c r="D1165" s="7">
        <v>871.91</v>
      </c>
      <c r="E1165" s="49">
        <f t="shared" si="35"/>
        <v>1.0695043141635158E-2</v>
      </c>
      <c r="F1165" s="49">
        <f t="shared" si="36"/>
        <v>-6.9814587034759184E-3</v>
      </c>
    </row>
    <row r="1166" spans="2:6">
      <c r="B1166" s="51">
        <v>44056</v>
      </c>
      <c r="C1166" s="32">
        <v>72.621600000000001</v>
      </c>
      <c r="D1166" s="7">
        <v>871.93</v>
      </c>
      <c r="E1166" s="49">
        <f t="shared" si="35"/>
        <v>1.8518622407477106E-2</v>
      </c>
      <c r="F1166" s="49">
        <f t="shared" si="36"/>
        <v>2.293814728582286E-5</v>
      </c>
    </row>
    <row r="1167" spans="2:6">
      <c r="B1167" s="51">
        <v>44057</v>
      </c>
      <c r="C1167" s="32">
        <v>73.376099999999994</v>
      </c>
      <c r="D1167" s="7">
        <v>866.69</v>
      </c>
      <c r="E1167" s="49">
        <f t="shared" ref="E1167:E1230" si="37">(C1167-C1166)/C1166</f>
        <v>1.0389470901219377E-2</v>
      </c>
      <c r="F1167" s="49">
        <f t="shared" ref="F1167:F1230" si="38">(D1167-D1166)/D1166</f>
        <v>-6.009656738499531E-3</v>
      </c>
    </row>
    <row r="1168" spans="2:6">
      <c r="B1168" s="51">
        <v>44060</v>
      </c>
      <c r="C1168" s="32">
        <v>74.130600000000001</v>
      </c>
      <c r="D1168" s="7">
        <v>868.28</v>
      </c>
      <c r="E1168" s="49">
        <f t="shared" si="37"/>
        <v>1.0282639715111697E-2</v>
      </c>
      <c r="F1168" s="49">
        <f t="shared" si="38"/>
        <v>1.8345659924539548E-3</v>
      </c>
    </row>
    <row r="1169" spans="2:6">
      <c r="B1169" s="51">
        <v>44061</v>
      </c>
      <c r="C1169" s="32">
        <v>72.244299999999996</v>
      </c>
      <c r="D1169" s="7">
        <v>862</v>
      </c>
      <c r="E1169" s="49">
        <f t="shared" si="37"/>
        <v>-2.5445632437886723E-2</v>
      </c>
      <c r="F1169" s="49">
        <f t="shared" si="38"/>
        <v>-7.2326899156953664E-3</v>
      </c>
    </row>
    <row r="1170" spans="2:6">
      <c r="B1170" s="51">
        <v>44062</v>
      </c>
      <c r="C1170" s="32">
        <v>70.735299999999995</v>
      </c>
      <c r="D1170" s="7">
        <v>860.7</v>
      </c>
      <c r="E1170" s="49">
        <f t="shared" si="37"/>
        <v>-2.0887461017685831E-2</v>
      </c>
      <c r="F1170" s="49">
        <f t="shared" si="38"/>
        <v>-1.5081206496519194E-3</v>
      </c>
    </row>
    <row r="1171" spans="2:6">
      <c r="B1171" s="51">
        <v>44063</v>
      </c>
      <c r="C1171" s="32">
        <v>75.073700000000002</v>
      </c>
      <c r="D1171" s="7">
        <v>875.98</v>
      </c>
      <c r="E1171" s="49">
        <f t="shared" si="37"/>
        <v>6.1332884712442123E-2</v>
      </c>
      <c r="F1171" s="49">
        <f t="shared" si="38"/>
        <v>1.7752991750900397E-2</v>
      </c>
    </row>
    <row r="1172" spans="2:6">
      <c r="B1172" s="51">
        <v>44064</v>
      </c>
      <c r="C1172" s="32">
        <v>76.394099999999995</v>
      </c>
      <c r="D1172" s="7">
        <v>872.79</v>
      </c>
      <c r="E1172" s="49">
        <f t="shared" si="37"/>
        <v>1.7588050142726311E-2</v>
      </c>
      <c r="F1172" s="49">
        <f t="shared" si="38"/>
        <v>-3.6416356537821121E-3</v>
      </c>
    </row>
    <row r="1173" spans="2:6">
      <c r="B1173" s="51">
        <v>44067</v>
      </c>
      <c r="C1173" s="32">
        <v>78.2804</v>
      </c>
      <c r="D1173" s="7">
        <v>870.12</v>
      </c>
      <c r="E1173" s="49">
        <f t="shared" si="37"/>
        <v>2.4691697395479568E-2</v>
      </c>
      <c r="F1173" s="49">
        <f t="shared" si="38"/>
        <v>-3.0591551232254715E-3</v>
      </c>
    </row>
    <row r="1174" spans="2:6">
      <c r="B1174" s="51">
        <v>44068</v>
      </c>
      <c r="C1174" s="32">
        <v>79.034899999999993</v>
      </c>
      <c r="D1174" s="7">
        <v>867.14</v>
      </c>
      <c r="E1174" s="49">
        <f t="shared" si="37"/>
        <v>9.6384280100765083E-3</v>
      </c>
      <c r="F1174" s="49">
        <f t="shared" si="38"/>
        <v>-3.4248149680504046E-3</v>
      </c>
    </row>
    <row r="1175" spans="2:6">
      <c r="B1175" s="51">
        <v>44069</v>
      </c>
      <c r="C1175" s="32">
        <v>76.394099999999995</v>
      </c>
      <c r="D1175" s="7">
        <v>862.93</v>
      </c>
      <c r="E1175" s="49">
        <f t="shared" si="37"/>
        <v>-3.3413087129862871E-2</v>
      </c>
      <c r="F1175" s="49">
        <f t="shared" si="38"/>
        <v>-4.8550407085361496E-3</v>
      </c>
    </row>
    <row r="1176" spans="2:6">
      <c r="B1176" s="51">
        <v>44070</v>
      </c>
      <c r="C1176" s="32">
        <v>75.828199999999995</v>
      </c>
      <c r="D1176" s="7">
        <v>859.26</v>
      </c>
      <c r="E1176" s="49">
        <f t="shared" si="37"/>
        <v>-7.4076401188049763E-3</v>
      </c>
      <c r="F1176" s="49">
        <f t="shared" si="38"/>
        <v>-4.2529521513911435E-3</v>
      </c>
    </row>
    <row r="1177" spans="2:6">
      <c r="B1177" s="51">
        <v>44071</v>
      </c>
      <c r="C1177" s="32">
        <v>76.959999999999994</v>
      </c>
      <c r="D1177" s="7">
        <v>859.59</v>
      </c>
      <c r="E1177" s="49">
        <f t="shared" si="37"/>
        <v>1.4925845529763313E-2</v>
      </c>
      <c r="F1177" s="49">
        <f t="shared" si="38"/>
        <v>3.8405139305919153E-4</v>
      </c>
    </row>
    <row r="1178" spans="2:6">
      <c r="B1178" s="51">
        <v>44074</v>
      </c>
      <c r="C1178" s="32">
        <v>78.2804</v>
      </c>
      <c r="D1178" s="7">
        <v>854.88</v>
      </c>
      <c r="E1178" s="49">
        <f t="shared" si="37"/>
        <v>1.7156964656964743E-2</v>
      </c>
      <c r="F1178" s="49">
        <f t="shared" si="38"/>
        <v>-5.4793564373713469E-3</v>
      </c>
    </row>
    <row r="1179" spans="2:6">
      <c r="B1179" s="51">
        <v>44075</v>
      </c>
      <c r="C1179" s="32">
        <v>79.600800000000007</v>
      </c>
      <c r="D1179" s="7">
        <v>852.11</v>
      </c>
      <c r="E1179" s="49">
        <f t="shared" si="37"/>
        <v>1.6867568382379326E-2</v>
      </c>
      <c r="F1179" s="49">
        <f t="shared" si="38"/>
        <v>-3.2402208497098795E-3</v>
      </c>
    </row>
    <row r="1180" spans="2:6">
      <c r="B1180" s="51">
        <v>44076</v>
      </c>
      <c r="C1180" s="32">
        <v>78.468999999999994</v>
      </c>
      <c r="D1180" s="7">
        <v>845.67</v>
      </c>
      <c r="E1180" s="49">
        <f t="shared" si="37"/>
        <v>-1.4218450065828642E-2</v>
      </c>
      <c r="F1180" s="49">
        <f t="shared" si="38"/>
        <v>-7.5577096853693239E-3</v>
      </c>
    </row>
    <row r="1181" spans="2:6">
      <c r="B1181" s="51">
        <v>44077</v>
      </c>
      <c r="C1181" s="32">
        <v>78.091800000000006</v>
      </c>
      <c r="D1181" s="7">
        <v>854.85</v>
      </c>
      <c r="E1181" s="49">
        <f t="shared" si="37"/>
        <v>-4.8069938447028483E-3</v>
      </c>
      <c r="F1181" s="49">
        <f t="shared" si="38"/>
        <v>1.0855298165951334E-2</v>
      </c>
    </row>
    <row r="1182" spans="2:6">
      <c r="B1182" s="51">
        <v>44078</v>
      </c>
      <c r="C1182" s="32">
        <v>79.223500000000001</v>
      </c>
      <c r="D1182" s="7">
        <v>842.58</v>
      </c>
      <c r="E1182" s="49">
        <f t="shared" si="37"/>
        <v>1.4491918485679611E-2</v>
      </c>
      <c r="F1182" s="49">
        <f t="shared" si="38"/>
        <v>-1.4353395332514455E-2</v>
      </c>
    </row>
    <row r="1183" spans="2:6">
      <c r="B1183" s="51">
        <v>44081</v>
      </c>
      <c r="C1183" s="32">
        <v>80.921199999999999</v>
      </c>
      <c r="D1183" s="7">
        <v>857.53</v>
      </c>
      <c r="E1183" s="49">
        <f t="shared" si="37"/>
        <v>2.1429247634855788E-2</v>
      </c>
      <c r="F1183" s="49">
        <f t="shared" si="38"/>
        <v>1.7743122314794954E-2</v>
      </c>
    </row>
    <row r="1184" spans="2:6">
      <c r="B1184" s="51">
        <v>44082</v>
      </c>
      <c r="C1184" s="32">
        <v>80.166700000000006</v>
      </c>
      <c r="D1184" s="7">
        <v>854.19</v>
      </c>
      <c r="E1184" s="49">
        <f t="shared" si="37"/>
        <v>-9.3238854589402162E-3</v>
      </c>
      <c r="F1184" s="49">
        <f t="shared" si="38"/>
        <v>-3.8949074667940695E-3</v>
      </c>
    </row>
    <row r="1185" spans="2:6">
      <c r="B1185" s="51">
        <v>44083</v>
      </c>
      <c r="C1185" s="32">
        <v>79.600800000000007</v>
      </c>
      <c r="D1185" s="7">
        <v>857.45</v>
      </c>
      <c r="E1185" s="49">
        <f t="shared" si="37"/>
        <v>-7.0590407238915803E-3</v>
      </c>
      <c r="F1185" s="49">
        <f t="shared" si="38"/>
        <v>3.8164811107598904E-3</v>
      </c>
    </row>
    <row r="1186" spans="2:6">
      <c r="B1186" s="51">
        <v>44084</v>
      </c>
      <c r="C1186" s="32">
        <v>78.657600000000002</v>
      </c>
      <c r="D1186" s="7">
        <v>854.62</v>
      </c>
      <c r="E1186" s="49">
        <f t="shared" si="37"/>
        <v>-1.1849127144450865E-2</v>
      </c>
      <c r="F1186" s="49">
        <f t="shared" si="38"/>
        <v>-3.3004839932358047E-3</v>
      </c>
    </row>
    <row r="1187" spans="2:6">
      <c r="B1187" s="51">
        <v>44085</v>
      </c>
      <c r="C1187" s="32">
        <v>79.223500000000001</v>
      </c>
      <c r="D1187" s="7">
        <v>862.78</v>
      </c>
      <c r="E1187" s="49">
        <f t="shared" si="37"/>
        <v>7.1944732613250231E-3</v>
      </c>
      <c r="F1187" s="49">
        <f t="shared" si="38"/>
        <v>9.5481032505674666E-3</v>
      </c>
    </row>
    <row r="1188" spans="2:6">
      <c r="B1188" s="51">
        <v>44088</v>
      </c>
      <c r="C1188" s="32">
        <v>79.600800000000007</v>
      </c>
      <c r="D1188" s="7">
        <v>865.63</v>
      </c>
      <c r="E1188" s="49">
        <f t="shared" si="37"/>
        <v>4.7624757805449806E-3</v>
      </c>
      <c r="F1188" s="49">
        <f t="shared" si="38"/>
        <v>3.3032754584019367E-3</v>
      </c>
    </row>
    <row r="1189" spans="2:6">
      <c r="B1189" s="51">
        <v>44089</v>
      </c>
      <c r="C1189" s="32">
        <v>79.223500000000001</v>
      </c>
      <c r="D1189" s="7">
        <v>865.89</v>
      </c>
      <c r="E1189" s="49">
        <f t="shared" si="37"/>
        <v>-4.7399021115366339E-3</v>
      </c>
      <c r="F1189" s="49">
        <f t="shared" si="38"/>
        <v>3.0035927590308899E-4</v>
      </c>
    </row>
    <row r="1190" spans="2:6">
      <c r="B1190" s="51">
        <v>44090</v>
      </c>
      <c r="C1190" s="32">
        <v>79.034899999999993</v>
      </c>
      <c r="D1190" s="7">
        <v>834.69</v>
      </c>
      <c r="E1190" s="49">
        <f t="shared" si="37"/>
        <v>-2.3806067644071278E-3</v>
      </c>
      <c r="F1190" s="49">
        <f t="shared" si="38"/>
        <v>-3.603229047569545E-2</v>
      </c>
    </row>
    <row r="1191" spans="2:6">
      <c r="B1191" s="51">
        <v>44091</v>
      </c>
      <c r="C1191" s="32">
        <v>77.525899999999993</v>
      </c>
      <c r="D1191" s="7">
        <v>845.09</v>
      </c>
      <c r="E1191" s="49">
        <f t="shared" si="37"/>
        <v>-1.9092831141685515E-2</v>
      </c>
      <c r="F1191" s="49">
        <f t="shared" si="38"/>
        <v>1.2459715583030797E-2</v>
      </c>
    </row>
    <row r="1192" spans="2:6">
      <c r="B1192" s="51">
        <v>44092</v>
      </c>
      <c r="C1192" s="32">
        <v>79.223500000000001</v>
      </c>
      <c r="D1192" s="7">
        <v>846.8</v>
      </c>
      <c r="E1192" s="49">
        <f t="shared" si="37"/>
        <v>2.1897198226657266E-2</v>
      </c>
      <c r="F1192" s="49">
        <f t="shared" si="38"/>
        <v>2.0234531233358846E-3</v>
      </c>
    </row>
    <row r="1193" spans="2:6">
      <c r="B1193" s="51">
        <v>44095</v>
      </c>
      <c r="C1193" s="32">
        <v>77.525899999999993</v>
      </c>
      <c r="D1193" s="7">
        <v>838.88</v>
      </c>
      <c r="E1193" s="49">
        <f t="shared" si="37"/>
        <v>-2.1427985383125063E-2</v>
      </c>
      <c r="F1193" s="49">
        <f t="shared" si="38"/>
        <v>-9.3528578176664615E-3</v>
      </c>
    </row>
    <row r="1194" spans="2:6">
      <c r="B1194" s="51">
        <v>44096</v>
      </c>
      <c r="C1194" s="32">
        <v>77.903099999999995</v>
      </c>
      <c r="D1194" s="7">
        <v>838.14</v>
      </c>
      <c r="E1194" s="49">
        <f t="shared" si="37"/>
        <v>4.8654707652539602E-3</v>
      </c>
      <c r="F1194" s="49">
        <f t="shared" si="38"/>
        <v>-8.8212855235553244E-4</v>
      </c>
    </row>
    <row r="1195" spans="2:6">
      <c r="B1195" s="51">
        <v>44097</v>
      </c>
      <c r="C1195" s="32">
        <v>78.468999999999994</v>
      </c>
      <c r="D1195" s="7">
        <v>851.55</v>
      </c>
      <c r="E1195" s="49">
        <f t="shared" si="37"/>
        <v>7.2641525176790041E-3</v>
      </c>
      <c r="F1195" s="49">
        <f t="shared" si="38"/>
        <v>1.5999713651657203E-2</v>
      </c>
    </row>
    <row r="1196" spans="2:6">
      <c r="B1196" s="51">
        <v>44098</v>
      </c>
      <c r="C1196" s="32">
        <v>79.223500000000001</v>
      </c>
      <c r="D1196" s="7">
        <v>850.34</v>
      </c>
      <c r="E1196" s="49">
        <f t="shared" si="37"/>
        <v>9.6152620780181643E-3</v>
      </c>
      <c r="F1196" s="49">
        <f t="shared" si="38"/>
        <v>-1.4209382890023167E-3</v>
      </c>
    </row>
    <row r="1197" spans="2:6">
      <c r="B1197" s="51">
        <v>44099</v>
      </c>
      <c r="C1197" s="32">
        <v>77.525899999999993</v>
      </c>
      <c r="D1197" s="7">
        <v>856.09</v>
      </c>
      <c r="E1197" s="49">
        <f t="shared" si="37"/>
        <v>-2.1427985383125063E-2</v>
      </c>
      <c r="F1197" s="49">
        <f t="shared" si="38"/>
        <v>6.762001081920173E-3</v>
      </c>
    </row>
    <row r="1198" spans="2:6">
      <c r="B1198" s="51">
        <v>44102</v>
      </c>
      <c r="C1198" s="32">
        <v>78.2804</v>
      </c>
      <c r="D1198" s="7">
        <v>852.73</v>
      </c>
      <c r="E1198" s="49">
        <f t="shared" si="37"/>
        <v>9.7322314220151893E-3</v>
      </c>
      <c r="F1198" s="49">
        <f t="shared" si="38"/>
        <v>-3.9248209884474921E-3</v>
      </c>
    </row>
    <row r="1199" spans="2:6">
      <c r="B1199" s="51">
        <v>44103</v>
      </c>
      <c r="C1199" s="32">
        <v>80.166700000000006</v>
      </c>
      <c r="D1199" s="7">
        <v>852.97</v>
      </c>
      <c r="E1199" s="49">
        <f t="shared" si="37"/>
        <v>2.4096708754681961E-2</v>
      </c>
      <c r="F1199" s="49">
        <f t="shared" si="38"/>
        <v>2.8144899323350776E-4</v>
      </c>
    </row>
    <row r="1200" spans="2:6">
      <c r="B1200" s="51">
        <v>44104</v>
      </c>
      <c r="C1200" s="32">
        <v>80.543899999999994</v>
      </c>
      <c r="D1200" s="7">
        <v>867.94</v>
      </c>
      <c r="E1200" s="49">
        <f t="shared" si="37"/>
        <v>4.7051955487750867E-3</v>
      </c>
      <c r="F1200" s="49">
        <f t="shared" si="38"/>
        <v>1.7550441398876897E-2</v>
      </c>
    </row>
    <row r="1201" spans="2:6">
      <c r="B1201" s="51">
        <v>44105</v>
      </c>
      <c r="C1201" s="32">
        <v>79.789400000000001</v>
      </c>
      <c r="D1201" s="7">
        <v>877.61</v>
      </c>
      <c r="E1201" s="49">
        <f t="shared" si="37"/>
        <v>-9.3675622859085931E-3</v>
      </c>
      <c r="F1201" s="49">
        <f t="shared" si="38"/>
        <v>1.1141323132935409E-2</v>
      </c>
    </row>
    <row r="1202" spans="2:6">
      <c r="B1202" s="51">
        <v>44106</v>
      </c>
      <c r="C1202" s="32">
        <v>79.600800000000007</v>
      </c>
      <c r="D1202" s="7">
        <v>872.1</v>
      </c>
      <c r="E1202" s="49">
        <f t="shared" si="37"/>
        <v>-2.3637224994798043E-3</v>
      </c>
      <c r="F1202" s="49">
        <f t="shared" si="38"/>
        <v>-6.2784152413942309E-3</v>
      </c>
    </row>
    <row r="1203" spans="2:6">
      <c r="B1203" s="51">
        <v>44109</v>
      </c>
      <c r="C1203" s="32">
        <v>81.8643</v>
      </c>
      <c r="D1203" s="7">
        <v>879.2</v>
      </c>
      <c r="E1203" s="49">
        <f t="shared" si="37"/>
        <v>2.8435643862875663E-2</v>
      </c>
      <c r="F1203" s="49">
        <f t="shared" si="38"/>
        <v>8.1412682031877341E-3</v>
      </c>
    </row>
    <row r="1204" spans="2:6">
      <c r="B1204" s="51">
        <v>44110</v>
      </c>
      <c r="C1204" s="32">
        <v>82.430199999999999</v>
      </c>
      <c r="D1204" s="7">
        <v>876.28</v>
      </c>
      <c r="E1204" s="49">
        <f t="shared" si="37"/>
        <v>6.9126591200315548E-3</v>
      </c>
      <c r="F1204" s="49">
        <f t="shared" si="38"/>
        <v>-3.3212010919018114E-3</v>
      </c>
    </row>
    <row r="1205" spans="2:6">
      <c r="B1205" s="51">
        <v>44111</v>
      </c>
      <c r="C1205" s="32">
        <v>84.882300000000001</v>
      </c>
      <c r="D1205" s="7">
        <v>878.13</v>
      </c>
      <c r="E1205" s="49">
        <f t="shared" si="37"/>
        <v>2.9747592508570907E-2</v>
      </c>
      <c r="F1205" s="49">
        <f t="shared" si="38"/>
        <v>2.1111973341854462E-3</v>
      </c>
    </row>
    <row r="1206" spans="2:6">
      <c r="B1206" s="51">
        <v>44112</v>
      </c>
      <c r="C1206" s="32">
        <v>86.58</v>
      </c>
      <c r="D1206" s="7">
        <v>875.37</v>
      </c>
      <c r="E1206" s="49">
        <f t="shared" si="37"/>
        <v>2.0000636175032928E-2</v>
      </c>
      <c r="F1206" s="49">
        <f t="shared" si="38"/>
        <v>-3.1430426018926481E-3</v>
      </c>
    </row>
    <row r="1207" spans="2:6">
      <c r="B1207" s="51">
        <v>44113</v>
      </c>
      <c r="C1207" s="32">
        <v>88.654899999999998</v>
      </c>
      <c r="D1207" s="7">
        <v>877.63</v>
      </c>
      <c r="E1207" s="49">
        <f t="shared" si="37"/>
        <v>2.3965118965118961E-2</v>
      </c>
      <c r="F1207" s="49">
        <f t="shared" si="38"/>
        <v>2.5817654249060294E-3</v>
      </c>
    </row>
    <row r="1208" spans="2:6">
      <c r="B1208" s="51">
        <v>44116</v>
      </c>
      <c r="C1208" s="32">
        <v>88.088999999999999</v>
      </c>
      <c r="D1208" s="7">
        <v>862.96</v>
      </c>
      <c r="E1208" s="49">
        <f t="shared" si="37"/>
        <v>-6.3831779179718117E-3</v>
      </c>
      <c r="F1208" s="49">
        <f t="shared" si="38"/>
        <v>-1.6715472351674348E-2</v>
      </c>
    </row>
    <row r="1209" spans="2:6">
      <c r="B1209" s="51">
        <v>44117</v>
      </c>
      <c r="C1209" s="32">
        <v>89.032200000000003</v>
      </c>
      <c r="D1209" s="7">
        <v>872.52</v>
      </c>
      <c r="E1209" s="49">
        <f t="shared" si="37"/>
        <v>1.0707352790927408E-2</v>
      </c>
      <c r="F1209" s="49">
        <f t="shared" si="38"/>
        <v>1.1078149624548004E-2</v>
      </c>
    </row>
    <row r="1210" spans="2:6">
      <c r="B1210" s="51">
        <v>44118</v>
      </c>
      <c r="C1210" s="32">
        <v>89.786699999999996</v>
      </c>
      <c r="D1210" s="7">
        <v>873.5</v>
      </c>
      <c r="E1210" s="49">
        <f t="shared" si="37"/>
        <v>8.4744620485621269E-3</v>
      </c>
      <c r="F1210" s="49">
        <f t="shared" si="38"/>
        <v>1.1231834227295857E-3</v>
      </c>
    </row>
    <row r="1211" spans="2:6">
      <c r="B1211" s="51">
        <v>44119</v>
      </c>
      <c r="C1211" s="32">
        <v>87.711799999999997</v>
      </c>
      <c r="D1211" s="7">
        <v>868.42</v>
      </c>
      <c r="E1211" s="49">
        <f t="shared" si="37"/>
        <v>-2.3109213279917846E-2</v>
      </c>
      <c r="F1211" s="49">
        <f t="shared" si="38"/>
        <v>-5.8156840297653592E-3</v>
      </c>
    </row>
    <row r="1212" spans="2:6">
      <c r="B1212" s="51">
        <v>44120</v>
      </c>
      <c r="C1212" s="32">
        <v>90.729799999999997</v>
      </c>
      <c r="D1212" s="7">
        <v>857.55</v>
      </c>
      <c r="E1212" s="49">
        <f t="shared" si="37"/>
        <v>3.4408141207910463E-2</v>
      </c>
      <c r="F1212" s="49">
        <f t="shared" si="38"/>
        <v>-1.2516984869072574E-2</v>
      </c>
    </row>
    <row r="1213" spans="2:6">
      <c r="B1213" s="51">
        <v>44123</v>
      </c>
      <c r="C1213" s="32">
        <v>88.088999999999999</v>
      </c>
      <c r="D1213" s="7">
        <v>848.5</v>
      </c>
      <c r="E1213" s="49">
        <f t="shared" si="37"/>
        <v>-2.910620325405764E-2</v>
      </c>
      <c r="F1213" s="49">
        <f t="shared" si="38"/>
        <v>-1.0553320506092886E-2</v>
      </c>
    </row>
    <row r="1214" spans="2:6">
      <c r="B1214" s="51">
        <v>44124</v>
      </c>
      <c r="C1214" s="32">
        <v>91.295699999999997</v>
      </c>
      <c r="D1214" s="7">
        <v>858.9</v>
      </c>
      <c r="E1214" s="49">
        <f t="shared" si="37"/>
        <v>3.6402956101215793E-2</v>
      </c>
      <c r="F1214" s="49">
        <f t="shared" si="38"/>
        <v>1.2256923983500269E-2</v>
      </c>
    </row>
    <row r="1215" spans="2:6">
      <c r="B1215" s="51">
        <v>44125</v>
      </c>
      <c r="C1215" s="32">
        <v>91.484300000000005</v>
      </c>
      <c r="D1215" s="7">
        <v>832.41</v>
      </c>
      <c r="E1215" s="49">
        <f t="shared" si="37"/>
        <v>2.0658147097837917E-3</v>
      </c>
      <c r="F1215" s="49">
        <f t="shared" si="38"/>
        <v>-3.0841774362556772E-2</v>
      </c>
    </row>
    <row r="1216" spans="2:6">
      <c r="B1216" s="51">
        <v>44126</v>
      </c>
      <c r="C1216" s="32">
        <v>90.541200000000003</v>
      </c>
      <c r="D1216" s="7">
        <v>826</v>
      </c>
      <c r="E1216" s="49">
        <f t="shared" si="37"/>
        <v>-1.0308872669955404E-2</v>
      </c>
      <c r="F1216" s="49">
        <f t="shared" si="38"/>
        <v>-7.7005321896661122E-3</v>
      </c>
    </row>
    <row r="1217" spans="2:6">
      <c r="B1217" s="51">
        <v>44127</v>
      </c>
      <c r="C1217" s="32">
        <v>88.088999999999999</v>
      </c>
      <c r="D1217" s="7">
        <v>799.68</v>
      </c>
      <c r="E1217" s="49">
        <f t="shared" si="37"/>
        <v>-2.7083802732899551E-2</v>
      </c>
      <c r="F1217" s="49">
        <f t="shared" si="38"/>
        <v>-3.1864406779661077E-2</v>
      </c>
    </row>
    <row r="1218" spans="2:6">
      <c r="B1218" s="51">
        <v>44130</v>
      </c>
      <c r="C1218" s="32">
        <v>86.391400000000004</v>
      </c>
      <c r="D1218" s="7">
        <v>810.04</v>
      </c>
      <c r="E1218" s="49">
        <f t="shared" si="37"/>
        <v>-1.9271418678836111E-2</v>
      </c>
      <c r="F1218" s="49">
        <f t="shared" si="38"/>
        <v>1.295518207282915E-2</v>
      </c>
    </row>
    <row r="1219" spans="2:6">
      <c r="B1219" s="51">
        <v>44131</v>
      </c>
      <c r="C1219" s="32">
        <v>82.430199999999999</v>
      </c>
      <c r="D1219" s="7">
        <v>811.85</v>
      </c>
      <c r="E1219" s="49">
        <f t="shared" si="37"/>
        <v>-4.5851786173160811E-2</v>
      </c>
      <c r="F1219" s="49">
        <f t="shared" si="38"/>
        <v>2.2344575576515469E-3</v>
      </c>
    </row>
    <row r="1220" spans="2:6">
      <c r="B1220" s="51">
        <v>44132</v>
      </c>
      <c r="C1220" s="32">
        <v>78.657600000000002</v>
      </c>
      <c r="D1220" s="7">
        <v>823.55</v>
      </c>
      <c r="E1220" s="49">
        <f t="shared" si="37"/>
        <v>-4.5767206679105436E-2</v>
      </c>
      <c r="F1220" s="49">
        <f t="shared" si="38"/>
        <v>1.4411529223378619E-2</v>
      </c>
    </row>
    <row r="1221" spans="2:6">
      <c r="B1221" s="51">
        <v>44133</v>
      </c>
      <c r="C1221" s="32">
        <v>82.807400000000001</v>
      </c>
      <c r="D1221" s="7">
        <v>829.36</v>
      </c>
      <c r="E1221" s="49">
        <f t="shared" si="37"/>
        <v>5.2757775472427319E-2</v>
      </c>
      <c r="F1221" s="49">
        <f t="shared" si="38"/>
        <v>7.0548236294093371E-3</v>
      </c>
    </row>
    <row r="1222" spans="2:6">
      <c r="B1222" s="51">
        <v>44134</v>
      </c>
      <c r="C1222" s="32">
        <v>81.675700000000006</v>
      </c>
      <c r="D1222" s="7">
        <v>841.57</v>
      </c>
      <c r="E1222" s="49">
        <f t="shared" si="37"/>
        <v>-1.3666652980289141E-2</v>
      </c>
      <c r="F1222" s="49">
        <f t="shared" si="38"/>
        <v>1.4722195427799793E-2</v>
      </c>
    </row>
    <row r="1223" spans="2:6">
      <c r="B1223" s="51">
        <v>44137</v>
      </c>
      <c r="C1223" s="32">
        <v>83.9392</v>
      </c>
      <c r="D1223" s="7">
        <v>845.03</v>
      </c>
      <c r="E1223" s="49">
        <f t="shared" si="37"/>
        <v>2.7713261104587942E-2</v>
      </c>
      <c r="F1223" s="49">
        <f t="shared" si="38"/>
        <v>4.1113632852881193E-3</v>
      </c>
    </row>
    <row r="1224" spans="2:6">
      <c r="B1224" s="51">
        <v>44138</v>
      </c>
      <c r="C1224" s="32">
        <v>89.032200000000003</v>
      </c>
      <c r="D1224" s="7">
        <v>845.72</v>
      </c>
      <c r="E1224" s="49">
        <f t="shared" si="37"/>
        <v>6.0674869429301254E-2</v>
      </c>
      <c r="F1224" s="49">
        <f t="shared" si="38"/>
        <v>8.1653905778499535E-4</v>
      </c>
    </row>
    <row r="1225" spans="2:6">
      <c r="B1225" s="51">
        <v>44139</v>
      </c>
      <c r="C1225" s="32">
        <v>90.541200000000003</v>
      </c>
      <c r="D1225" s="7">
        <v>883.14</v>
      </c>
      <c r="E1225" s="49">
        <f t="shared" si="37"/>
        <v>1.6948924097124413E-2</v>
      </c>
      <c r="F1225" s="49">
        <f t="shared" si="38"/>
        <v>4.4246322659981976E-2</v>
      </c>
    </row>
    <row r="1226" spans="2:6">
      <c r="B1226" s="51">
        <v>44140</v>
      </c>
      <c r="C1226" s="32">
        <v>95.728399999999993</v>
      </c>
      <c r="D1226" s="7">
        <v>878.93</v>
      </c>
      <c r="E1226" s="49">
        <f t="shared" si="37"/>
        <v>5.7291045402534865E-2</v>
      </c>
      <c r="F1226" s="49">
        <f t="shared" si="38"/>
        <v>-4.7670810969948551E-3</v>
      </c>
    </row>
    <row r="1227" spans="2:6">
      <c r="B1227" s="51">
        <v>44141</v>
      </c>
      <c r="C1227" s="32">
        <v>100.44410000000001</v>
      </c>
      <c r="D1227" s="7">
        <v>889.43</v>
      </c>
      <c r="E1227" s="49">
        <f t="shared" si="37"/>
        <v>4.9261243267410847E-2</v>
      </c>
      <c r="F1227" s="49">
        <f t="shared" si="38"/>
        <v>1.1946343849908413E-2</v>
      </c>
    </row>
    <row r="1228" spans="2:6">
      <c r="B1228" s="51">
        <v>44144</v>
      </c>
      <c r="C1228" s="32">
        <v>95.728399999999993</v>
      </c>
      <c r="D1228" s="7">
        <v>889.95</v>
      </c>
      <c r="E1228" s="49">
        <f t="shared" si="37"/>
        <v>-4.6948501703932957E-2</v>
      </c>
      <c r="F1228" s="49">
        <f t="shared" si="38"/>
        <v>5.8464409790550754E-4</v>
      </c>
    </row>
    <row r="1229" spans="2:6">
      <c r="B1229" s="51">
        <v>44145</v>
      </c>
      <c r="C1229" s="32">
        <v>96.2</v>
      </c>
      <c r="D1229" s="7">
        <v>892.01</v>
      </c>
      <c r="E1229" s="49">
        <f t="shared" si="37"/>
        <v>4.9264377133641573E-3</v>
      </c>
      <c r="F1229" s="49">
        <f t="shared" si="38"/>
        <v>2.3147367829652737E-3</v>
      </c>
    </row>
    <row r="1230" spans="2:6">
      <c r="B1230" s="51">
        <v>44146</v>
      </c>
      <c r="C1230" s="32">
        <v>93.8</v>
      </c>
      <c r="D1230" s="7">
        <v>908.96</v>
      </c>
      <c r="E1230" s="49">
        <f t="shared" si="37"/>
        <v>-2.4948024948025005E-2</v>
      </c>
      <c r="F1230" s="49">
        <f t="shared" si="38"/>
        <v>1.9002029125234073E-2</v>
      </c>
    </row>
    <row r="1231" spans="2:6">
      <c r="B1231" s="51">
        <v>44147</v>
      </c>
      <c r="C1231" s="32">
        <v>93.6</v>
      </c>
      <c r="D1231" s="7">
        <v>908.25</v>
      </c>
      <c r="E1231" s="49">
        <f t="shared" ref="E1231:E1294" si="39">(C1231-C1230)/C1230</f>
        <v>-2.1321961620469386E-3</v>
      </c>
      <c r="F1231" s="49">
        <f t="shared" ref="F1231:F1294" si="40">(D1231-D1230)/D1230</f>
        <v>-7.8111248019718837E-4</v>
      </c>
    </row>
    <row r="1232" spans="2:6">
      <c r="B1232" s="51">
        <v>44148</v>
      </c>
      <c r="C1232" s="32">
        <v>93</v>
      </c>
      <c r="D1232" s="7">
        <v>912.15</v>
      </c>
      <c r="E1232" s="49">
        <f t="shared" si="39"/>
        <v>-6.4102564102563502E-3</v>
      </c>
      <c r="F1232" s="49">
        <f t="shared" si="40"/>
        <v>4.2939719240297023E-3</v>
      </c>
    </row>
    <row r="1233" spans="2:6">
      <c r="B1233" s="51">
        <v>44151</v>
      </c>
      <c r="C1233" s="32">
        <v>92.2</v>
      </c>
      <c r="D1233" s="7">
        <v>902.94</v>
      </c>
      <c r="E1233" s="49">
        <f t="shared" si="39"/>
        <v>-8.6021505376343774E-3</v>
      </c>
      <c r="F1233" s="49">
        <f t="shared" si="40"/>
        <v>-1.0097023515869016E-2</v>
      </c>
    </row>
    <row r="1234" spans="2:6">
      <c r="B1234" s="51">
        <v>44152</v>
      </c>
      <c r="C1234" s="32">
        <v>91</v>
      </c>
      <c r="D1234" s="7">
        <v>908.44</v>
      </c>
      <c r="E1234" s="49">
        <f t="shared" si="39"/>
        <v>-1.3015184381778773E-2</v>
      </c>
      <c r="F1234" s="49">
        <f t="shared" si="40"/>
        <v>6.0912131481604534E-3</v>
      </c>
    </row>
    <row r="1235" spans="2:6">
      <c r="B1235" s="51">
        <v>44153</v>
      </c>
      <c r="C1235" s="32">
        <v>94.2</v>
      </c>
      <c r="D1235" s="7">
        <v>917.27</v>
      </c>
      <c r="E1235" s="49">
        <f t="shared" si="39"/>
        <v>3.5164835164835199E-2</v>
      </c>
      <c r="F1235" s="49">
        <f t="shared" si="40"/>
        <v>9.7199594909954719E-3</v>
      </c>
    </row>
    <row r="1236" spans="2:6">
      <c r="B1236" s="51">
        <v>44154</v>
      </c>
      <c r="C1236" s="32">
        <v>92.4</v>
      </c>
      <c r="D1236" s="7">
        <v>935.09</v>
      </c>
      <c r="E1236" s="49">
        <f t="shared" si="39"/>
        <v>-1.9108280254777038E-2</v>
      </c>
      <c r="F1236" s="49">
        <f t="shared" si="40"/>
        <v>1.9427213361387651E-2</v>
      </c>
    </row>
    <row r="1237" spans="2:6">
      <c r="B1237" s="51">
        <v>44155</v>
      </c>
      <c r="C1237" s="32">
        <v>91.4</v>
      </c>
      <c r="D1237" s="7">
        <v>933.78</v>
      </c>
      <c r="E1237" s="49">
        <f t="shared" si="39"/>
        <v>-1.0822510822510822E-2</v>
      </c>
      <c r="F1237" s="49">
        <f t="shared" si="40"/>
        <v>-1.4009346693901754E-3</v>
      </c>
    </row>
    <row r="1238" spans="2:6">
      <c r="B1238" s="51">
        <v>44158</v>
      </c>
      <c r="C1238" s="32">
        <v>89.2</v>
      </c>
      <c r="D1238" s="7">
        <v>935.81</v>
      </c>
      <c r="E1238" s="49">
        <f t="shared" si="39"/>
        <v>-2.4070021881838103E-2</v>
      </c>
      <c r="F1238" s="49">
        <f t="shared" si="40"/>
        <v>2.1739596050461274E-3</v>
      </c>
    </row>
    <row r="1239" spans="2:6">
      <c r="B1239" s="51">
        <v>44159</v>
      </c>
      <c r="C1239" s="32">
        <v>88.8</v>
      </c>
      <c r="D1239" s="7">
        <v>946.3</v>
      </c>
      <c r="E1239" s="49">
        <f t="shared" si="39"/>
        <v>-4.4843049327354893E-3</v>
      </c>
      <c r="F1239" s="49">
        <f t="shared" si="40"/>
        <v>1.1209540398157756E-2</v>
      </c>
    </row>
    <row r="1240" spans="2:6">
      <c r="B1240" s="51">
        <v>44160</v>
      </c>
      <c r="C1240" s="32">
        <v>89</v>
      </c>
      <c r="D1240" s="7">
        <v>930.39</v>
      </c>
      <c r="E1240" s="49">
        <f t="shared" si="39"/>
        <v>2.2522522522522843E-3</v>
      </c>
      <c r="F1240" s="49">
        <f t="shared" si="40"/>
        <v>-1.6812850047553597E-2</v>
      </c>
    </row>
    <row r="1241" spans="2:6">
      <c r="B1241" s="51">
        <v>44161</v>
      </c>
      <c r="C1241" s="32">
        <v>87.2</v>
      </c>
      <c r="D1241" s="7">
        <v>934.91</v>
      </c>
      <c r="E1241" s="49">
        <f t="shared" si="39"/>
        <v>-2.0224719101123563E-2</v>
      </c>
      <c r="F1241" s="49">
        <f t="shared" si="40"/>
        <v>4.8581777534152147E-3</v>
      </c>
    </row>
    <row r="1242" spans="2:6">
      <c r="B1242" s="51">
        <v>44162</v>
      </c>
      <c r="C1242" s="32">
        <v>90</v>
      </c>
      <c r="D1242" s="7">
        <v>928.1</v>
      </c>
      <c r="E1242" s="49">
        <f t="shared" si="39"/>
        <v>3.2110091743119233E-2</v>
      </c>
      <c r="F1242" s="49">
        <f t="shared" si="40"/>
        <v>-7.2841236054806829E-3</v>
      </c>
    </row>
    <row r="1243" spans="2:6">
      <c r="B1243" s="51">
        <v>44165</v>
      </c>
      <c r="C1243" s="32">
        <v>91.2</v>
      </c>
      <c r="D1243" s="7">
        <v>927.09</v>
      </c>
      <c r="E1243" s="49">
        <f t="shared" si="39"/>
        <v>1.3333333333333365E-2</v>
      </c>
      <c r="F1243" s="49">
        <f t="shared" si="40"/>
        <v>-1.0882448012067567E-3</v>
      </c>
    </row>
    <row r="1244" spans="2:6">
      <c r="B1244" s="51">
        <v>44166</v>
      </c>
      <c r="C1244" s="32">
        <v>94.4</v>
      </c>
      <c r="D1244" s="7">
        <v>935.41</v>
      </c>
      <c r="E1244" s="49">
        <f t="shared" si="39"/>
        <v>3.5087719298245647E-2</v>
      </c>
      <c r="F1244" s="49">
        <f t="shared" si="40"/>
        <v>8.9743174880539487E-3</v>
      </c>
    </row>
    <row r="1245" spans="2:6">
      <c r="B1245" s="51">
        <v>44167</v>
      </c>
      <c r="C1245" s="32">
        <v>92.4</v>
      </c>
      <c r="D1245" s="7">
        <v>932.99</v>
      </c>
      <c r="E1245" s="49">
        <f t="shared" si="39"/>
        <v>-2.1186440677966101E-2</v>
      </c>
      <c r="F1245" s="49">
        <f t="shared" si="40"/>
        <v>-2.5871008434803552E-3</v>
      </c>
    </row>
    <row r="1246" spans="2:6">
      <c r="B1246" s="51">
        <v>44168</v>
      </c>
      <c r="C1246" s="32">
        <v>93.2</v>
      </c>
      <c r="D1246" s="7">
        <v>933.51</v>
      </c>
      <c r="E1246" s="49">
        <f t="shared" si="39"/>
        <v>8.6580086580086268E-3</v>
      </c>
      <c r="F1246" s="49">
        <f t="shared" si="40"/>
        <v>5.5734788154211917E-4</v>
      </c>
    </row>
    <row r="1247" spans="2:6">
      <c r="B1247" s="51">
        <v>44169</v>
      </c>
      <c r="C1247" s="32">
        <v>92.8</v>
      </c>
      <c r="D1247" s="7">
        <v>942.93</v>
      </c>
      <c r="E1247" s="49">
        <f t="shared" si="39"/>
        <v>-4.2918454935622925E-3</v>
      </c>
      <c r="F1247" s="49">
        <f t="shared" si="40"/>
        <v>1.0090947070732995E-2</v>
      </c>
    </row>
    <row r="1248" spans="2:6">
      <c r="B1248" s="51">
        <v>44172</v>
      </c>
      <c r="C1248" s="32">
        <v>92.8</v>
      </c>
      <c r="D1248" s="7">
        <v>942.58</v>
      </c>
      <c r="E1248" s="49">
        <f t="shared" si="39"/>
        <v>0</v>
      </c>
      <c r="F1248" s="49">
        <f t="shared" si="40"/>
        <v>-3.7118343885538592E-4</v>
      </c>
    </row>
    <row r="1249" spans="2:6">
      <c r="B1249" s="51">
        <v>44173</v>
      </c>
      <c r="C1249" s="32">
        <v>91.2</v>
      </c>
      <c r="D1249" s="7">
        <v>937.58</v>
      </c>
      <c r="E1249" s="49">
        <f t="shared" si="39"/>
        <v>-1.7241379310344768E-2</v>
      </c>
      <c r="F1249" s="49">
        <f t="shared" si="40"/>
        <v>-5.3045895308621019E-3</v>
      </c>
    </row>
    <row r="1250" spans="2:6">
      <c r="B1250" s="51">
        <v>44174</v>
      </c>
      <c r="C1250" s="32">
        <v>91.4</v>
      </c>
      <c r="D1250" s="7">
        <v>936.64</v>
      </c>
      <c r="E1250" s="49">
        <f t="shared" si="39"/>
        <v>2.192982456140382E-3</v>
      </c>
      <c r="F1250" s="49">
        <f t="shared" si="40"/>
        <v>-1.0025811130784088E-3</v>
      </c>
    </row>
    <row r="1251" spans="2:6">
      <c r="B1251" s="51">
        <v>44175</v>
      </c>
      <c r="C1251" s="32">
        <v>91</v>
      </c>
      <c r="D1251" s="7">
        <v>936.66</v>
      </c>
      <c r="E1251" s="49">
        <f t="shared" si="39"/>
        <v>-4.3763676148797122E-3</v>
      </c>
      <c r="F1251" s="49">
        <f t="shared" si="40"/>
        <v>2.1352921079584269E-5</v>
      </c>
    </row>
    <row r="1252" spans="2:6">
      <c r="B1252" s="51">
        <v>44176</v>
      </c>
      <c r="C1252" s="32">
        <v>94</v>
      </c>
      <c r="D1252" s="7">
        <v>939.89</v>
      </c>
      <c r="E1252" s="49">
        <f t="shared" si="39"/>
        <v>3.2967032967032968E-2</v>
      </c>
      <c r="F1252" s="49">
        <f t="shared" si="40"/>
        <v>3.4484231204492755E-3</v>
      </c>
    </row>
    <row r="1253" spans="2:6">
      <c r="B1253" s="51">
        <v>44179</v>
      </c>
      <c r="C1253" s="32">
        <v>93</v>
      </c>
      <c r="D1253" s="7">
        <v>942.2</v>
      </c>
      <c r="E1253" s="49">
        <f t="shared" si="39"/>
        <v>-1.0638297872340425E-2</v>
      </c>
      <c r="F1253" s="49">
        <f t="shared" si="40"/>
        <v>2.4577344157295632E-3</v>
      </c>
    </row>
    <row r="1254" spans="2:6">
      <c r="B1254" s="51">
        <v>44180</v>
      </c>
      <c r="C1254" s="32">
        <v>92.2</v>
      </c>
      <c r="D1254" s="7">
        <v>950.5</v>
      </c>
      <c r="E1254" s="49">
        <f t="shared" si="39"/>
        <v>-8.6021505376343774E-3</v>
      </c>
      <c r="F1254" s="49">
        <f t="shared" si="40"/>
        <v>8.8091700275949418E-3</v>
      </c>
    </row>
    <row r="1255" spans="2:6">
      <c r="B1255" s="51">
        <v>44181</v>
      </c>
      <c r="C1255" s="32">
        <v>93</v>
      </c>
      <c r="D1255" s="7">
        <v>928.23</v>
      </c>
      <c r="E1255" s="49">
        <f t="shared" si="39"/>
        <v>8.6767895878524636E-3</v>
      </c>
      <c r="F1255" s="49">
        <f t="shared" si="40"/>
        <v>-2.3429773803261424E-2</v>
      </c>
    </row>
    <row r="1256" spans="2:6">
      <c r="B1256" s="51">
        <v>44182</v>
      </c>
      <c r="C1256" s="32">
        <v>93.6</v>
      </c>
      <c r="D1256" s="7">
        <v>938.83</v>
      </c>
      <c r="E1256" s="49">
        <f t="shared" si="39"/>
        <v>6.4516129032257457E-3</v>
      </c>
      <c r="F1256" s="49">
        <f t="shared" si="40"/>
        <v>1.1419583508397727E-2</v>
      </c>
    </row>
    <row r="1257" spans="2:6">
      <c r="B1257" s="51">
        <v>44183</v>
      </c>
      <c r="C1257" s="32">
        <v>96</v>
      </c>
      <c r="D1257" s="7">
        <v>953.65</v>
      </c>
      <c r="E1257" s="49">
        <f t="shared" si="39"/>
        <v>2.5641025641025703E-2</v>
      </c>
      <c r="F1257" s="49">
        <f t="shared" si="40"/>
        <v>1.5785605487681407E-2</v>
      </c>
    </row>
    <row r="1258" spans="2:6">
      <c r="B1258" s="51">
        <v>44186</v>
      </c>
      <c r="C1258" s="32">
        <v>92.8</v>
      </c>
      <c r="D1258" s="7">
        <v>953.65</v>
      </c>
      <c r="E1258" s="49">
        <f t="shared" si="39"/>
        <v>-3.3333333333333361E-2</v>
      </c>
      <c r="F1258" s="49">
        <f t="shared" si="40"/>
        <v>0</v>
      </c>
    </row>
    <row r="1259" spans="2:6">
      <c r="B1259" s="51">
        <v>44187</v>
      </c>
      <c r="C1259" s="32">
        <v>94.6</v>
      </c>
      <c r="D1259" s="7">
        <v>966.67</v>
      </c>
      <c r="E1259" s="49">
        <f t="shared" si="39"/>
        <v>1.93965517241379E-2</v>
      </c>
      <c r="F1259" s="49">
        <f t="shared" si="40"/>
        <v>1.3652807633827906E-2</v>
      </c>
    </row>
    <row r="1260" spans="2:6">
      <c r="B1260" s="51">
        <v>44188</v>
      </c>
      <c r="C1260" s="32">
        <v>97.8</v>
      </c>
      <c r="D1260" s="7">
        <v>970.3</v>
      </c>
      <c r="E1260" s="49">
        <f t="shared" si="39"/>
        <v>3.3826638477801298E-2</v>
      </c>
      <c r="F1260" s="49">
        <f t="shared" si="40"/>
        <v>3.7551594649673577E-3</v>
      </c>
    </row>
    <row r="1261" spans="2:6">
      <c r="B1261" s="51">
        <v>44193</v>
      </c>
      <c r="C1261" s="32">
        <v>96.8</v>
      </c>
      <c r="D1261" s="7">
        <v>973.97</v>
      </c>
      <c r="E1261" s="49">
        <f t="shared" si="39"/>
        <v>-1.0224948875255624E-2</v>
      </c>
      <c r="F1261" s="49">
        <f t="shared" si="40"/>
        <v>3.7823353601979521E-3</v>
      </c>
    </row>
    <row r="1262" spans="2:6">
      <c r="B1262" s="51">
        <v>44194</v>
      </c>
      <c r="C1262" s="32">
        <v>96.2</v>
      </c>
      <c r="D1262" s="7">
        <v>973.97</v>
      </c>
      <c r="E1262" s="49">
        <f t="shared" si="39"/>
        <v>-6.1983471074379577E-3</v>
      </c>
      <c r="F1262" s="49">
        <f t="shared" si="40"/>
        <v>0</v>
      </c>
    </row>
    <row r="1263" spans="2:6">
      <c r="B1263" s="51">
        <v>44195</v>
      </c>
      <c r="C1263" s="32">
        <v>95.4</v>
      </c>
      <c r="D1263" s="7">
        <v>965.95</v>
      </c>
      <c r="E1263" s="49">
        <f t="shared" si="39"/>
        <v>-8.316008316008287E-3</v>
      </c>
      <c r="F1263" s="49">
        <f t="shared" si="40"/>
        <v>-8.2343398667309893E-3</v>
      </c>
    </row>
    <row r="1264" spans="2:6">
      <c r="B1264" s="51">
        <v>44200</v>
      </c>
      <c r="C1264" s="32">
        <v>93.4</v>
      </c>
      <c r="D1264" s="7">
        <v>964.13</v>
      </c>
      <c r="E1264" s="49">
        <f t="shared" si="39"/>
        <v>-2.0964360587002094E-2</v>
      </c>
      <c r="F1264" s="49">
        <f t="shared" si="40"/>
        <v>-1.8841554945908691E-3</v>
      </c>
    </row>
    <row r="1265" spans="2:6">
      <c r="B1265" s="51">
        <v>44201</v>
      </c>
      <c r="C1265" s="32">
        <v>92.6</v>
      </c>
      <c r="D1265" s="7">
        <v>975.86</v>
      </c>
      <c r="E1265" s="49">
        <f t="shared" si="39"/>
        <v>-8.5653104925054752E-3</v>
      </c>
      <c r="F1265" s="49">
        <f t="shared" si="40"/>
        <v>1.2166409094209307E-2</v>
      </c>
    </row>
    <row r="1266" spans="2:6">
      <c r="B1266" s="51">
        <v>44202</v>
      </c>
      <c r="C1266" s="32">
        <v>95.2</v>
      </c>
      <c r="D1266" s="7">
        <v>991.22</v>
      </c>
      <c r="E1266" s="49">
        <f t="shared" si="39"/>
        <v>2.8077753779697717E-2</v>
      </c>
      <c r="F1266" s="49">
        <f t="shared" si="40"/>
        <v>1.5739962699567574E-2</v>
      </c>
    </row>
    <row r="1267" spans="2:6">
      <c r="B1267" s="51">
        <v>44203</v>
      </c>
      <c r="C1267" s="32">
        <v>99</v>
      </c>
      <c r="D1267" s="7">
        <v>1001.16</v>
      </c>
      <c r="E1267" s="49">
        <f t="shared" si="39"/>
        <v>3.9915966386554591E-2</v>
      </c>
      <c r="F1267" s="49">
        <f t="shared" si="40"/>
        <v>1.0028046246040173E-2</v>
      </c>
    </row>
    <row r="1268" spans="2:6">
      <c r="B1268" s="51">
        <v>44204</v>
      </c>
      <c r="C1268" s="32">
        <v>99</v>
      </c>
      <c r="D1268" s="7">
        <v>990.91</v>
      </c>
      <c r="E1268" s="49">
        <f t="shared" si="39"/>
        <v>0</v>
      </c>
      <c r="F1268" s="49">
        <f t="shared" si="40"/>
        <v>-1.0238123776419354E-2</v>
      </c>
    </row>
    <row r="1269" spans="2:6">
      <c r="B1269" s="51">
        <v>44207</v>
      </c>
      <c r="C1269" s="32">
        <v>94.6</v>
      </c>
      <c r="D1269" s="7">
        <v>998.56</v>
      </c>
      <c r="E1269" s="49">
        <f t="shared" si="39"/>
        <v>-4.4444444444444502E-2</v>
      </c>
      <c r="F1269" s="49">
        <f t="shared" si="40"/>
        <v>7.7201764035078639E-3</v>
      </c>
    </row>
    <row r="1270" spans="2:6">
      <c r="B1270" s="51">
        <v>44208</v>
      </c>
      <c r="C1270" s="32">
        <v>96</v>
      </c>
      <c r="D1270" s="7">
        <v>990.4</v>
      </c>
      <c r="E1270" s="49">
        <f t="shared" si="39"/>
        <v>1.4799154334038117E-2</v>
      </c>
      <c r="F1270" s="49">
        <f t="shared" si="40"/>
        <v>-8.1717673449767346E-3</v>
      </c>
    </row>
    <row r="1271" spans="2:6">
      <c r="B1271" s="51">
        <v>44209</v>
      </c>
      <c r="C1271" s="32">
        <v>93.8</v>
      </c>
      <c r="D1271" s="7">
        <v>998.77</v>
      </c>
      <c r="E1271" s="49">
        <f t="shared" si="39"/>
        <v>-2.2916666666666696E-2</v>
      </c>
      <c r="F1271" s="49">
        <f t="shared" si="40"/>
        <v>8.4511308562197143E-3</v>
      </c>
    </row>
    <row r="1272" spans="2:6">
      <c r="B1272" s="51">
        <v>44210</v>
      </c>
      <c r="C1272" s="32">
        <v>93.4</v>
      </c>
      <c r="D1272" s="7">
        <v>987.92</v>
      </c>
      <c r="E1272" s="49">
        <f t="shared" si="39"/>
        <v>-4.2643923240937255E-3</v>
      </c>
      <c r="F1272" s="49">
        <f t="shared" si="40"/>
        <v>-1.0863361935180295E-2</v>
      </c>
    </row>
    <row r="1273" spans="2:6">
      <c r="B1273" s="51">
        <v>44211</v>
      </c>
      <c r="C1273" s="32">
        <v>92</v>
      </c>
      <c r="D1273" s="7">
        <v>993.8</v>
      </c>
      <c r="E1273" s="49">
        <f t="shared" si="39"/>
        <v>-1.4989293361884428E-2</v>
      </c>
      <c r="F1273" s="49">
        <f t="shared" si="40"/>
        <v>5.9518989391853551E-3</v>
      </c>
    </row>
    <row r="1274" spans="2:6">
      <c r="B1274" s="51">
        <v>44214</v>
      </c>
      <c r="C1274" s="32">
        <v>93.6</v>
      </c>
      <c r="D1274" s="7">
        <v>1004.69</v>
      </c>
      <c r="E1274" s="49">
        <f t="shared" si="39"/>
        <v>1.7391304347826025E-2</v>
      </c>
      <c r="F1274" s="49">
        <f t="shared" si="40"/>
        <v>1.0957939223183841E-2</v>
      </c>
    </row>
    <row r="1275" spans="2:6">
      <c r="B1275" s="51">
        <v>44215</v>
      </c>
      <c r="C1275" s="32">
        <v>92</v>
      </c>
      <c r="D1275" s="7">
        <v>1002.69</v>
      </c>
      <c r="E1275" s="49">
        <f t="shared" si="39"/>
        <v>-1.7094017094017033E-2</v>
      </c>
      <c r="F1275" s="49">
        <f t="shared" si="40"/>
        <v>-1.9906637868397216E-3</v>
      </c>
    </row>
    <row r="1276" spans="2:6">
      <c r="B1276" s="51">
        <v>44216</v>
      </c>
      <c r="C1276" s="32">
        <v>92.8</v>
      </c>
      <c r="D1276" s="7">
        <v>1001.54</v>
      </c>
      <c r="E1276" s="49">
        <f t="shared" si="39"/>
        <v>8.6956521739130124E-3</v>
      </c>
      <c r="F1276" s="49">
        <f t="shared" si="40"/>
        <v>-1.146914799190269E-3</v>
      </c>
    </row>
    <row r="1277" spans="2:6">
      <c r="B1277" s="51">
        <v>44217</v>
      </c>
      <c r="C1277" s="32">
        <v>90.4</v>
      </c>
      <c r="D1277" s="7">
        <v>994.21</v>
      </c>
      <c r="E1277" s="49">
        <f t="shared" si="39"/>
        <v>-2.5862068965517151E-2</v>
      </c>
      <c r="F1277" s="49">
        <f t="shared" si="40"/>
        <v>-7.3187291570979965E-3</v>
      </c>
    </row>
    <row r="1278" spans="2:6">
      <c r="B1278" s="51">
        <v>44218</v>
      </c>
      <c r="C1278" s="32">
        <v>88.6</v>
      </c>
      <c r="D1278" s="7">
        <v>983.99</v>
      </c>
      <c r="E1278" s="49">
        <f t="shared" si="39"/>
        <v>-1.9911504424778886E-2</v>
      </c>
      <c r="F1278" s="49">
        <f t="shared" si="40"/>
        <v>-1.0279518411603209E-2</v>
      </c>
    </row>
    <row r="1279" spans="2:6">
      <c r="B1279" s="51">
        <v>44221</v>
      </c>
      <c r="C1279" s="32">
        <v>86.2</v>
      </c>
      <c r="D1279" s="7">
        <v>977.01</v>
      </c>
      <c r="E1279" s="49">
        <f t="shared" si="39"/>
        <v>-2.7088036117381396E-2</v>
      </c>
      <c r="F1279" s="49">
        <f t="shared" si="40"/>
        <v>-7.0935680240653033E-3</v>
      </c>
    </row>
    <row r="1280" spans="2:6">
      <c r="B1280" s="51">
        <v>44222</v>
      </c>
      <c r="C1280" s="32">
        <v>86</v>
      </c>
      <c r="D1280" s="7">
        <v>962.56</v>
      </c>
      <c r="E1280" s="49">
        <f t="shared" si="39"/>
        <v>-2.3201856148492208E-3</v>
      </c>
      <c r="F1280" s="49">
        <f t="shared" si="40"/>
        <v>-1.4790022620034642E-2</v>
      </c>
    </row>
    <row r="1281" spans="2:6">
      <c r="B1281" s="51">
        <v>44223</v>
      </c>
      <c r="C1281" s="32">
        <v>83</v>
      </c>
      <c r="D1281" s="7">
        <v>965.73</v>
      </c>
      <c r="E1281" s="49">
        <f t="shared" si="39"/>
        <v>-3.4883720930232558E-2</v>
      </c>
      <c r="F1281" s="49">
        <f t="shared" si="40"/>
        <v>3.2933011968085866E-3</v>
      </c>
    </row>
    <row r="1282" spans="2:6">
      <c r="B1282" s="51">
        <v>44224</v>
      </c>
      <c r="C1282" s="32">
        <v>87.4</v>
      </c>
      <c r="D1282" s="7">
        <v>966.9</v>
      </c>
      <c r="E1282" s="49">
        <f t="shared" si="39"/>
        <v>5.3012048192771152E-2</v>
      </c>
      <c r="F1282" s="49">
        <f t="shared" si="40"/>
        <v>1.2115187474759602E-3</v>
      </c>
    </row>
    <row r="1283" spans="2:6">
      <c r="B1283" s="51">
        <v>44225</v>
      </c>
      <c r="C1283" s="32">
        <v>85.6</v>
      </c>
      <c r="D1283" s="7">
        <v>971.83</v>
      </c>
      <c r="E1283" s="49">
        <f t="shared" si="39"/>
        <v>-2.0594965675057336E-2</v>
      </c>
      <c r="F1283" s="49">
        <f t="shared" si="40"/>
        <v>5.098769262591854E-3</v>
      </c>
    </row>
    <row r="1284" spans="2:6">
      <c r="B1284" s="51">
        <v>44228</v>
      </c>
      <c r="C1284" s="32">
        <v>86.8</v>
      </c>
      <c r="D1284" s="7">
        <v>984.56</v>
      </c>
      <c r="E1284" s="49">
        <f t="shared" si="39"/>
        <v>1.4018691588785081E-2</v>
      </c>
      <c r="F1284" s="49">
        <f t="shared" si="40"/>
        <v>1.3098998796085635E-2</v>
      </c>
    </row>
    <row r="1285" spans="2:6">
      <c r="B1285" s="51">
        <v>44229</v>
      </c>
      <c r="C1285" s="32">
        <v>87.4</v>
      </c>
      <c r="D1285" s="7">
        <v>992.83</v>
      </c>
      <c r="E1285" s="49">
        <f t="shared" si="39"/>
        <v>6.9124423963134625E-3</v>
      </c>
      <c r="F1285" s="49">
        <f t="shared" si="40"/>
        <v>8.3996912326319336E-3</v>
      </c>
    </row>
    <row r="1286" spans="2:6">
      <c r="B1286" s="51">
        <v>44230</v>
      </c>
      <c r="C1286" s="32">
        <v>87.4</v>
      </c>
      <c r="D1286" s="7">
        <v>997.7</v>
      </c>
      <c r="E1286" s="49">
        <f t="shared" si="39"/>
        <v>0</v>
      </c>
      <c r="F1286" s="49">
        <f t="shared" si="40"/>
        <v>4.9051700693975853E-3</v>
      </c>
    </row>
    <row r="1287" spans="2:6">
      <c r="B1287" s="51">
        <v>44231</v>
      </c>
      <c r="C1287" s="32">
        <v>90</v>
      </c>
      <c r="D1287" s="7">
        <v>996.54</v>
      </c>
      <c r="E1287" s="49">
        <f t="shared" si="39"/>
        <v>2.9748283752860344E-2</v>
      </c>
      <c r="F1287" s="49">
        <f t="shared" si="40"/>
        <v>-1.1626741505463385E-3</v>
      </c>
    </row>
    <row r="1288" spans="2:6">
      <c r="B1288" s="51">
        <v>44232</v>
      </c>
      <c r="C1288" s="32">
        <v>89.4</v>
      </c>
      <c r="D1288" s="7">
        <v>1000.49</v>
      </c>
      <c r="E1288" s="49">
        <f t="shared" si="39"/>
        <v>-6.6666666666666038E-3</v>
      </c>
      <c r="F1288" s="49">
        <f t="shared" si="40"/>
        <v>3.9637144520039795E-3</v>
      </c>
    </row>
    <row r="1289" spans="2:6">
      <c r="B1289" s="51">
        <v>44235</v>
      </c>
      <c r="C1289" s="32">
        <v>87.2</v>
      </c>
      <c r="D1289" s="7">
        <v>992.53</v>
      </c>
      <c r="E1289" s="49">
        <f t="shared" si="39"/>
        <v>-2.4608501118568264E-2</v>
      </c>
      <c r="F1289" s="49">
        <f t="shared" si="40"/>
        <v>-7.9561015102600097E-3</v>
      </c>
    </row>
    <row r="1290" spans="2:6">
      <c r="B1290" s="51">
        <v>44236</v>
      </c>
      <c r="C1290" s="32">
        <v>88.2</v>
      </c>
      <c r="D1290" s="7">
        <v>991.27</v>
      </c>
      <c r="E1290" s="49">
        <f t="shared" si="39"/>
        <v>1.146788990825688E-2</v>
      </c>
      <c r="F1290" s="49">
        <f t="shared" si="40"/>
        <v>-1.2694830382960626E-3</v>
      </c>
    </row>
    <row r="1291" spans="2:6">
      <c r="B1291" s="51">
        <v>44237</v>
      </c>
      <c r="C1291" s="32">
        <v>86.6</v>
      </c>
      <c r="D1291" s="7">
        <v>995.65</v>
      </c>
      <c r="E1291" s="49">
        <f t="shared" si="39"/>
        <v>-1.8140589569161095E-2</v>
      </c>
      <c r="F1291" s="49">
        <f t="shared" si="40"/>
        <v>4.4185741523500108E-3</v>
      </c>
    </row>
    <row r="1292" spans="2:6">
      <c r="B1292" s="51">
        <v>44238</v>
      </c>
      <c r="C1292" s="32">
        <v>89</v>
      </c>
      <c r="D1292" s="7">
        <v>991.78</v>
      </c>
      <c r="E1292" s="49">
        <f t="shared" si="39"/>
        <v>2.7713625866050876E-2</v>
      </c>
      <c r="F1292" s="49">
        <f t="shared" si="40"/>
        <v>-3.8869080500175809E-3</v>
      </c>
    </row>
    <row r="1293" spans="2:6">
      <c r="B1293" s="51">
        <v>44239</v>
      </c>
      <c r="C1293" s="32">
        <v>86</v>
      </c>
      <c r="D1293" s="7">
        <v>995.59</v>
      </c>
      <c r="E1293" s="49">
        <f t="shared" si="39"/>
        <v>-3.3707865168539325E-2</v>
      </c>
      <c r="F1293" s="49">
        <f t="shared" si="40"/>
        <v>3.8415777692634044E-3</v>
      </c>
    </row>
    <row r="1294" spans="2:6">
      <c r="B1294" s="51">
        <v>44242</v>
      </c>
      <c r="C1294" s="32">
        <v>88</v>
      </c>
      <c r="D1294" s="7">
        <v>999.65</v>
      </c>
      <c r="E1294" s="49">
        <f t="shared" si="39"/>
        <v>2.3255813953488372E-2</v>
      </c>
      <c r="F1294" s="49">
        <f t="shared" si="40"/>
        <v>4.0779839090388063E-3</v>
      </c>
    </row>
    <row r="1295" spans="2:6">
      <c r="B1295" s="51">
        <v>44243</v>
      </c>
      <c r="C1295" s="32">
        <v>90.6</v>
      </c>
      <c r="D1295" s="7">
        <v>995.78</v>
      </c>
      <c r="E1295" s="49">
        <f t="shared" ref="E1295:E1300" si="41">(C1295-C1294)/C1294</f>
        <v>2.9545454545454482E-2</v>
      </c>
      <c r="F1295" s="49">
        <f t="shared" ref="F1295:F1301" si="42">(D1295-D1294)/D1294</f>
        <v>-3.8713549742409891E-3</v>
      </c>
    </row>
    <row r="1296" spans="2:6">
      <c r="B1296" s="51">
        <v>44244</v>
      </c>
      <c r="C1296" s="32">
        <v>88.4</v>
      </c>
      <c r="D1296" s="7">
        <v>981.17</v>
      </c>
      <c r="E1296" s="49">
        <f t="shared" si="41"/>
        <v>-2.4282560706401644E-2</v>
      </c>
      <c r="F1296" s="49">
        <f t="shared" si="42"/>
        <v>-1.4671915483339707E-2</v>
      </c>
    </row>
    <row r="1297" spans="2:6">
      <c r="B1297" s="51">
        <v>44245</v>
      </c>
      <c r="C1297" s="32">
        <v>90.8</v>
      </c>
      <c r="D1297" s="7">
        <v>993.62</v>
      </c>
      <c r="E1297" s="49">
        <f t="shared" si="41"/>
        <v>2.7149321266968226E-2</v>
      </c>
      <c r="F1297" s="49">
        <f t="shared" si="42"/>
        <v>1.2688932600874513E-2</v>
      </c>
    </row>
    <row r="1298" spans="2:6">
      <c r="B1298" s="51">
        <v>44246</v>
      </c>
      <c r="C1298" s="32">
        <v>95</v>
      </c>
      <c r="D1298" s="7">
        <v>1003.3</v>
      </c>
      <c r="E1298" s="49">
        <f t="shared" si="41"/>
        <v>4.6255506607929549E-2</v>
      </c>
      <c r="F1298" s="49">
        <f t="shared" si="42"/>
        <v>9.7421549485718385E-3</v>
      </c>
    </row>
    <row r="1299" spans="2:6">
      <c r="B1299" s="51">
        <v>44249</v>
      </c>
      <c r="C1299" s="32">
        <v>100</v>
      </c>
      <c r="D1299" s="7">
        <v>1007.47</v>
      </c>
      <c r="E1299" s="49">
        <f t="shared" si="41"/>
        <v>5.2631578947368418E-2</v>
      </c>
      <c r="F1299" s="49">
        <f t="shared" si="42"/>
        <v>4.1562842619356855E-3</v>
      </c>
    </row>
    <row r="1300" spans="2:6">
      <c r="B1300" s="51">
        <v>44250</v>
      </c>
      <c r="C1300" s="32">
        <v>104</v>
      </c>
      <c r="D1300" s="7">
        <v>1013.63</v>
      </c>
      <c r="E1300" s="49">
        <f t="shared" si="41"/>
        <v>0.04</v>
      </c>
      <c r="F1300" s="49">
        <f t="shared" si="42"/>
        <v>6.1143259848928187E-3</v>
      </c>
    </row>
    <row r="1301" spans="2:6">
      <c r="B1301" s="52">
        <v>44251</v>
      </c>
      <c r="C1301" s="35">
        <v>104.5</v>
      </c>
      <c r="D1301" s="36">
        <v>1027.1600000000001</v>
      </c>
      <c r="E1301" s="50">
        <f>(C1301-C1300)/C1300</f>
        <v>4.807692307692308E-3</v>
      </c>
      <c r="F1301" s="50">
        <f t="shared" si="42"/>
        <v>1.3348065862296978E-2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1442"/>
  <sheetViews>
    <sheetView zoomScaleNormal="70" workbookViewId="0">
      <selection activeCell="R19" sqref="R19"/>
    </sheetView>
  </sheetViews>
  <sheetFormatPr defaultColWidth="10.84375" defaultRowHeight="14.6"/>
  <cols>
    <col min="1" max="1" width="10.84375" style="407"/>
    <col min="2" max="2" width="14.69140625" style="407" customWidth="1"/>
    <col min="3" max="3" width="15.69140625" style="407" customWidth="1"/>
    <col min="4" max="6" width="10.84375" style="407"/>
    <col min="7" max="7" width="12.3046875" style="407" bestFit="1" customWidth="1"/>
    <col min="8" max="8" width="10.84375" style="407"/>
    <col min="9" max="9" width="23" style="407" customWidth="1"/>
    <col min="10" max="10" width="16.4609375" style="407" customWidth="1"/>
    <col min="11" max="11" width="3.4609375" style="407" customWidth="1"/>
    <col min="12" max="12" width="13" style="407" customWidth="1"/>
    <col min="13" max="13" width="11.84375" style="407" customWidth="1"/>
    <col min="14" max="14" width="18.84375" style="407" customWidth="1"/>
    <col min="15" max="15" width="21" style="407" bestFit="1" customWidth="1"/>
    <col min="16" max="17" width="10.84375" style="407"/>
    <col min="18" max="18" width="13.3046875" style="407" bestFit="1" customWidth="1"/>
    <col min="19" max="16384" width="10.84375" style="407"/>
  </cols>
  <sheetData>
    <row r="2" spans="2:13">
      <c r="B2" s="407" t="s">
        <v>136</v>
      </c>
    </row>
    <row r="3" spans="2:13">
      <c r="D3" s="407" t="s">
        <v>165</v>
      </c>
    </row>
    <row r="4" spans="2:13">
      <c r="C4" s="407">
        <v>0</v>
      </c>
      <c r="D4" s="407">
        <v>1</v>
      </c>
      <c r="E4" s="407">
        <v>2</v>
      </c>
      <c r="F4" s="407">
        <v>3</v>
      </c>
      <c r="G4" s="407">
        <v>4</v>
      </c>
      <c r="H4" s="407">
        <v>5</v>
      </c>
      <c r="L4" s="408" t="s">
        <v>280</v>
      </c>
      <c r="M4" s="409">
        <f>Beta!C1263</f>
        <v>95.4</v>
      </c>
    </row>
    <row r="5" spans="2:13">
      <c r="B5" s="407" t="s">
        <v>136</v>
      </c>
      <c r="D5" s="410">
        <v>226232.44116578798</v>
      </c>
      <c r="E5" s="410">
        <v>244567.66833677742</v>
      </c>
      <c r="F5" s="410">
        <v>294525.5290710713</v>
      </c>
      <c r="G5" s="410">
        <v>269387.92110417027</v>
      </c>
      <c r="H5" s="410">
        <v>263504.93061756372</v>
      </c>
      <c r="L5" s="60"/>
      <c r="M5" s="411"/>
    </row>
    <row r="6" spans="2:13">
      <c r="B6" s="407" t="s">
        <v>161</v>
      </c>
      <c r="D6" s="412">
        <v>4.5127661831054246E-2</v>
      </c>
      <c r="E6" s="412">
        <v>4.5538863211814981E-2</v>
      </c>
      <c r="F6" s="412">
        <v>4.6366959839898386E-2</v>
      </c>
      <c r="G6" s="412">
        <v>4.6948909025533066E-2</v>
      </c>
      <c r="H6" s="412">
        <v>4.7493391479671632E-2</v>
      </c>
      <c r="L6" s="60" t="s">
        <v>161</v>
      </c>
      <c r="M6" s="413">
        <f>H6</f>
        <v>4.7493391479671632E-2</v>
      </c>
    </row>
    <row r="7" spans="2:13">
      <c r="B7" s="407" t="s">
        <v>166</v>
      </c>
      <c r="C7" s="414"/>
      <c r="D7" s="415">
        <v>0.95682090956047317</v>
      </c>
      <c r="E7" s="415">
        <v>0.91478627321846351</v>
      </c>
      <c r="F7" s="415">
        <v>0.87286674209924964</v>
      </c>
      <c r="G7" s="415">
        <v>0.83233478538065964</v>
      </c>
      <c r="H7" s="415">
        <v>0.79294586978480275</v>
      </c>
      <c r="L7" s="60"/>
      <c r="M7" s="411"/>
    </row>
    <row r="8" spans="2:13">
      <c r="B8" s="407" t="s">
        <v>272</v>
      </c>
      <c r="C8" s="414"/>
      <c r="D8" s="414"/>
      <c r="E8" s="414"/>
      <c r="F8" s="414"/>
      <c r="G8" s="414">
        <v>7028036.6810890464</v>
      </c>
      <c r="H8" s="414"/>
      <c r="L8" s="416" t="s">
        <v>281</v>
      </c>
      <c r="M8" s="417">
        <v>0.01</v>
      </c>
    </row>
    <row r="9" spans="2:13">
      <c r="B9" s="407" t="s">
        <v>271</v>
      </c>
      <c r="C9" s="414"/>
      <c r="D9" s="414"/>
      <c r="E9" s="414"/>
      <c r="F9" s="414"/>
      <c r="G9" s="414">
        <v>5849679.4026016546</v>
      </c>
      <c r="H9" s="414"/>
    </row>
    <row r="10" spans="2:13">
      <c r="B10" s="407" t="s">
        <v>273</v>
      </c>
      <c r="C10" s="414"/>
      <c r="D10" s="414">
        <v>216463.93012833549</v>
      </c>
      <c r="E10" s="414">
        <v>223727.14586752985</v>
      </c>
      <c r="F10" s="414">
        <v>257081.53902532384</v>
      </c>
      <c r="G10" s="414">
        <v>224220.93749638164</v>
      </c>
      <c r="H10" s="414"/>
    </row>
    <row r="11" spans="2:13">
      <c r="B11" s="407" t="s">
        <v>270</v>
      </c>
      <c r="C11" s="414">
        <v>6771172.9551192252</v>
      </c>
      <c r="E11" s="414"/>
      <c r="F11" s="414"/>
      <c r="G11" s="414"/>
      <c r="H11" s="414"/>
    </row>
    <row r="12" spans="2:13">
      <c r="B12" s="407" t="s">
        <v>54</v>
      </c>
      <c r="C12" s="414">
        <v>1210425</v>
      </c>
      <c r="D12" s="414"/>
      <c r="E12" s="414"/>
      <c r="F12" s="414"/>
      <c r="G12" s="414"/>
      <c r="H12" s="414"/>
    </row>
    <row r="13" spans="2:13">
      <c r="B13" s="407" t="s">
        <v>274</v>
      </c>
      <c r="C13" s="414">
        <v>5560747.9551192252</v>
      </c>
      <c r="D13" s="414"/>
      <c r="E13" s="414"/>
      <c r="F13" s="414"/>
      <c r="G13" s="414"/>
      <c r="H13" s="414"/>
    </row>
    <row r="14" spans="2:13">
      <c r="B14" s="407" t="s">
        <v>172</v>
      </c>
      <c r="C14" s="418">
        <v>136.81205047526259</v>
      </c>
    </row>
    <row r="17" spans="2:21">
      <c r="B17" s="419"/>
      <c r="C17" s="710" t="s">
        <v>297</v>
      </c>
      <c r="D17" s="710"/>
      <c r="E17" s="710"/>
      <c r="F17" s="710"/>
      <c r="G17" s="710"/>
      <c r="H17" s="710"/>
      <c r="I17" s="420" t="s">
        <v>333</v>
      </c>
      <c r="J17" s="421"/>
      <c r="N17" s="57" t="s">
        <v>282</v>
      </c>
    </row>
    <row r="18" spans="2:21">
      <c r="B18" s="419"/>
      <c r="C18" s="419"/>
      <c r="D18" s="419"/>
      <c r="E18" s="419"/>
      <c r="F18" s="419"/>
      <c r="G18" s="419"/>
      <c r="H18" s="419"/>
      <c r="I18" s="419" t="s">
        <v>333</v>
      </c>
      <c r="J18" s="55"/>
      <c r="N18" s="422" t="s">
        <v>283</v>
      </c>
      <c r="O18" s="422" t="s">
        <v>284</v>
      </c>
      <c r="P18" s="422" t="s">
        <v>285</v>
      </c>
      <c r="Q18" s="422" t="s">
        <v>286</v>
      </c>
      <c r="R18" s="423" t="s">
        <v>287</v>
      </c>
    </row>
    <row r="19" spans="2:21">
      <c r="B19" s="419" t="s">
        <v>298</v>
      </c>
      <c r="C19" s="419"/>
      <c r="D19" s="419"/>
      <c r="E19" s="419"/>
      <c r="F19" s="419"/>
      <c r="G19" s="419"/>
      <c r="H19" s="419"/>
      <c r="I19" s="419"/>
      <c r="J19" s="55"/>
      <c r="N19" s="422" t="s">
        <v>161</v>
      </c>
      <c r="O19" s="424">
        <v>4.7500000000000001E-2</v>
      </c>
      <c r="P19" s="424">
        <v>5.0000000000000001E-3</v>
      </c>
      <c r="Q19" s="425">
        <f ca="1">RAND()</f>
        <v>0.3224586364203843</v>
      </c>
      <c r="R19" s="426">
        <f ca="1">O19+_xlfn.NORM.S.INV(Q19)*P19</f>
        <v>4.5195826978848629E-2</v>
      </c>
    </row>
    <row r="20" spans="2:21">
      <c r="B20" s="419" t="s">
        <v>299</v>
      </c>
      <c r="C20" s="419"/>
      <c r="D20" s="427"/>
      <c r="E20" s="427"/>
      <c r="F20" s="427"/>
      <c r="G20" s="427"/>
      <c r="H20" s="427"/>
      <c r="I20" s="427"/>
      <c r="J20" s="428"/>
      <c r="N20" s="422" t="s">
        <v>288</v>
      </c>
      <c r="O20" s="424">
        <v>0.01</v>
      </c>
      <c r="P20" s="424">
        <v>0.01</v>
      </c>
      <c r="Q20" s="425">
        <f t="shared" ref="Q20" ca="1" si="0">RAND()</f>
        <v>0.41027362844308313</v>
      </c>
      <c r="R20" s="426">
        <f t="shared" ref="R20" ca="1" si="1">O20+_xlfn.NORM.S.INV(Q20)*P20</f>
        <v>7.7315884011794067E-3</v>
      </c>
    </row>
    <row r="21" spans="2:21">
      <c r="B21" s="419" t="s">
        <v>300</v>
      </c>
      <c r="C21" s="419"/>
      <c r="D21" s="427"/>
      <c r="E21" s="427"/>
      <c r="F21" s="427"/>
      <c r="G21" s="427"/>
      <c r="H21" s="427"/>
      <c r="I21" s="427"/>
      <c r="J21" s="428"/>
      <c r="N21" s="422"/>
      <c r="O21" s="429"/>
      <c r="P21" s="429"/>
      <c r="Q21" s="425"/>
      <c r="R21" s="426"/>
    </row>
    <row r="22" spans="2:21">
      <c r="B22" s="419" t="s">
        <v>5</v>
      </c>
      <c r="C22" s="419"/>
      <c r="D22" s="427"/>
      <c r="E22" s="427"/>
      <c r="F22" s="427" t="s">
        <v>333</v>
      </c>
      <c r="G22" s="427"/>
      <c r="H22" s="427"/>
      <c r="I22" s="427"/>
      <c r="J22" s="428"/>
    </row>
    <row r="23" spans="2:21">
      <c r="B23" s="419" t="s">
        <v>7</v>
      </c>
      <c r="C23" s="419"/>
      <c r="D23" s="427"/>
      <c r="E23" s="427"/>
      <c r="F23" s="427"/>
      <c r="G23" s="427"/>
      <c r="H23" s="427" t="s">
        <v>333</v>
      </c>
      <c r="I23" s="427"/>
      <c r="J23" s="428"/>
      <c r="N23" s="422" t="s">
        <v>289</v>
      </c>
      <c r="O23" s="422">
        <v>10000</v>
      </c>
    </row>
    <row r="24" spans="2:21">
      <c r="B24" s="430" t="s">
        <v>301</v>
      </c>
      <c r="C24" s="419"/>
      <c r="D24" s="431"/>
      <c r="E24" s="431"/>
      <c r="F24" s="431"/>
      <c r="G24" s="431"/>
      <c r="H24" s="431"/>
      <c r="I24" s="431"/>
      <c r="J24" s="432"/>
      <c r="N24" s="422" t="s">
        <v>290</v>
      </c>
      <c r="O24" s="422">
        <f>COUNT(O32:O10031)</f>
        <v>1000</v>
      </c>
    </row>
    <row r="25" spans="2:21">
      <c r="B25" s="419" t="s">
        <v>302</v>
      </c>
      <c r="C25" s="419"/>
      <c r="D25" s="427"/>
      <c r="E25" s="427"/>
      <c r="F25" s="427"/>
      <c r="G25" s="427"/>
      <c r="H25" s="427"/>
      <c r="I25" s="427"/>
      <c r="J25" s="428"/>
      <c r="N25" s="422" t="s">
        <v>171</v>
      </c>
      <c r="O25" s="425">
        <f>AVERAGE(O32:O531)</f>
        <v>159.79902465053183</v>
      </c>
    </row>
    <row r="26" spans="2:21">
      <c r="B26" s="419" t="s">
        <v>303</v>
      </c>
      <c r="C26" s="419"/>
      <c r="D26" s="427"/>
      <c r="E26" s="427"/>
      <c r="F26" s="427"/>
      <c r="G26" s="427"/>
      <c r="H26" s="427"/>
      <c r="I26" s="427"/>
      <c r="J26" s="428"/>
      <c r="R26" s="433"/>
    </row>
    <row r="27" spans="2:21">
      <c r="B27" s="430" t="s">
        <v>304</v>
      </c>
      <c r="C27" s="419"/>
      <c r="D27" s="431"/>
      <c r="E27" s="431"/>
      <c r="F27" s="431"/>
      <c r="G27" s="431"/>
      <c r="H27" s="431"/>
      <c r="I27" s="431"/>
      <c r="J27" s="432"/>
      <c r="N27" s="423" t="s">
        <v>291</v>
      </c>
    </row>
    <row r="28" spans="2:21">
      <c r="B28" s="55"/>
      <c r="C28" s="55"/>
      <c r="D28" s="55"/>
      <c r="E28" s="55"/>
      <c r="F28" s="55"/>
      <c r="G28" s="55"/>
      <c r="H28" s="55"/>
      <c r="I28" s="55"/>
      <c r="J28" s="55"/>
      <c r="N28" s="423" t="s">
        <v>311</v>
      </c>
      <c r="O28" s="434">
        <f>COUNTIF(O32:O531,"&gt;138,33")/O24</f>
        <v>0.26500000000000001</v>
      </c>
      <c r="Q28" s="407" t="s">
        <v>309</v>
      </c>
      <c r="R28" s="407">
        <f>M4*(1+S28)</f>
        <v>138.33000000000001</v>
      </c>
      <c r="S28" s="435">
        <v>0.45</v>
      </c>
    </row>
    <row r="29" spans="2:21">
      <c r="B29" s="55"/>
      <c r="C29" s="436">
        <v>0</v>
      </c>
      <c r="D29" s="436">
        <v>1</v>
      </c>
      <c r="E29" s="436">
        <v>2</v>
      </c>
      <c r="F29" s="436">
        <v>3</v>
      </c>
      <c r="G29" s="436">
        <v>4</v>
      </c>
      <c r="H29" s="436">
        <v>5</v>
      </c>
      <c r="I29" s="436"/>
      <c r="J29" s="436">
        <v>7</v>
      </c>
      <c r="N29" s="423" t="s">
        <v>312</v>
      </c>
      <c r="O29" s="434">
        <f>COUNTIF(O32:O531,"&lt;76,32")/O24</f>
        <v>7.0000000000000001E-3</v>
      </c>
      <c r="Q29" s="407" t="s">
        <v>310</v>
      </c>
      <c r="R29" s="407">
        <f>M4*(1-S29)</f>
        <v>76.320000000000007</v>
      </c>
      <c r="S29" s="435">
        <v>0.2</v>
      </c>
    </row>
    <row r="30" spans="2:21">
      <c r="B30" s="437" t="s">
        <v>305</v>
      </c>
      <c r="C30" s="438"/>
      <c r="D30" s="410">
        <v>226232.44116578798</v>
      </c>
      <c r="E30" s="410">
        <v>244567.66833677742</v>
      </c>
      <c r="F30" s="410">
        <v>294525.5290710713</v>
      </c>
      <c r="G30" s="410">
        <v>269387.92110417027</v>
      </c>
      <c r="H30" s="410">
        <f ca="1">G30*(1+R20)</f>
        <v>271470.71763039712</v>
      </c>
      <c r="I30" s="439"/>
      <c r="J30" s="440">
        <f ca="1">I30*(1+R20)</f>
        <v>0</v>
      </c>
    </row>
    <row r="31" spans="2:21" ht="15" thickBot="1">
      <c r="B31" s="441" t="s">
        <v>170</v>
      </c>
      <c r="C31" s="442">
        <f ca="1">1/((1+$R$19)^C29)</f>
        <v>1</v>
      </c>
      <c r="D31" s="442">
        <f t="shared" ref="D31:G31" ca="1" si="2">1/((1+$R$19)^D29)</f>
        <v>0.95675850801137652</v>
      </c>
      <c r="E31" s="442">
        <f t="shared" ca="1" si="2"/>
        <v>0.9153868426521552</v>
      </c>
      <c r="F31" s="442">
        <f t="shared" ca="1" si="2"/>
        <v>0.8758041498291208</v>
      </c>
      <c r="G31" s="442">
        <f t="shared" ca="1" si="2"/>
        <v>0.83793307170068165</v>
      </c>
      <c r="H31" s="442"/>
      <c r="I31" s="443"/>
      <c r="J31" s="444"/>
      <c r="N31" s="423" t="s">
        <v>292</v>
      </c>
      <c r="O31" s="423" t="s">
        <v>293</v>
      </c>
    </row>
    <row r="32" spans="2:21">
      <c r="B32" s="441" t="s">
        <v>295</v>
      </c>
      <c r="C32" s="55"/>
      <c r="D32" s="441"/>
      <c r="E32" s="444"/>
      <c r="F32" s="444"/>
      <c r="G32" s="445">
        <f ca="1">H30/(R19-R20)</f>
        <v>7246129.3205678239</v>
      </c>
      <c r="H32" s="69"/>
      <c r="I32" s="445"/>
      <c r="J32" s="444"/>
      <c r="N32" s="407">
        <v>1</v>
      </c>
      <c r="O32" s="407">
        <v>161.33385819048937</v>
      </c>
      <c r="R32" s="405" t="s">
        <v>314</v>
      </c>
      <c r="S32" s="405"/>
      <c r="U32" s="407" t="s">
        <v>328</v>
      </c>
    </row>
    <row r="33" spans="2:22">
      <c r="B33" s="441" t="s">
        <v>306</v>
      </c>
      <c r="C33" s="55"/>
      <c r="D33" s="443">
        <f t="shared" ref="D33:F33" ca="1" si="3">D31*D30</f>
        <v>216449.81287355084</v>
      </c>
      <c r="E33" s="446">
        <f t="shared" ca="1" si="3"/>
        <v>223874.02573360215</v>
      </c>
      <c r="F33" s="446">
        <f t="shared" ca="1" si="3"/>
        <v>257946.68059106159</v>
      </c>
      <c r="G33" s="443">
        <f ca="1">G31*G30</f>
        <v>225729.04820987827</v>
      </c>
      <c r="H33" s="447"/>
      <c r="I33" s="443"/>
      <c r="J33" s="444"/>
      <c r="N33" s="407">
        <v>2</v>
      </c>
      <c r="O33" s="407">
        <v>237.05318622690081</v>
      </c>
      <c r="R33" s="402"/>
      <c r="S33" s="402"/>
      <c r="U33" s="407" t="s">
        <v>329</v>
      </c>
      <c r="V33" s="407">
        <f>S44-S43</f>
        <v>66521.786185372941</v>
      </c>
    </row>
    <row r="34" spans="2:22">
      <c r="B34" s="448" t="s">
        <v>307</v>
      </c>
      <c r="C34" s="449">
        <f ca="1">G32*G31</f>
        <v>6071771.3995237704</v>
      </c>
      <c r="D34" s="448"/>
      <c r="E34" s="450"/>
      <c r="F34" s="450"/>
      <c r="G34" s="448"/>
      <c r="H34" s="451"/>
      <c r="I34" s="452"/>
      <c r="J34" s="450"/>
      <c r="N34" s="407">
        <v>3</v>
      </c>
      <c r="O34" s="407">
        <v>181.49407411389089</v>
      </c>
      <c r="R34" s="402" t="s">
        <v>315</v>
      </c>
      <c r="S34" s="402">
        <v>156.80255834489245</v>
      </c>
      <c r="U34" s="407">
        <f>V33/V34</f>
        <v>6.6521786185372944</v>
      </c>
      <c r="V34" s="407">
        <v>10000</v>
      </c>
    </row>
    <row r="35" spans="2:22">
      <c r="B35" s="453" t="s">
        <v>308</v>
      </c>
      <c r="C35" s="454">
        <f ca="1">C34+SUM(D33:G33)</f>
        <v>6995770.9669318637</v>
      </c>
      <c r="D35" s="55"/>
      <c r="E35" s="55"/>
      <c r="F35" s="55"/>
      <c r="G35" s="55"/>
      <c r="H35" s="55"/>
      <c r="I35" s="55"/>
      <c r="J35" s="55"/>
      <c r="N35" s="407">
        <v>4</v>
      </c>
      <c r="O35" s="407">
        <v>145.50396694805468</v>
      </c>
      <c r="R35" s="402" t="s">
        <v>316</v>
      </c>
      <c r="S35" s="402">
        <v>5.9795328882607661</v>
      </c>
    </row>
    <row r="36" spans="2:22">
      <c r="N36" s="407">
        <v>5</v>
      </c>
      <c r="O36" s="407">
        <v>116.82559420913968</v>
      </c>
      <c r="R36" s="402" t="s">
        <v>317</v>
      </c>
      <c r="S36" s="402">
        <v>141.05809599293306</v>
      </c>
      <c r="U36" s="455">
        <f>PERCENTILE(O32:O1031,0.05)</f>
        <v>88.659748566697345</v>
      </c>
    </row>
    <row r="37" spans="2:22">
      <c r="I37" s="423" t="s">
        <v>294</v>
      </c>
      <c r="J37" s="454">
        <f ca="1">C35*1000</f>
        <v>6995770966.9318638</v>
      </c>
      <c r="N37" s="407">
        <v>6</v>
      </c>
      <c r="O37" s="407">
        <v>134.2419189496658</v>
      </c>
      <c r="R37" s="402" t="s">
        <v>318</v>
      </c>
      <c r="S37" s="402" t="e">
        <v>#N/A</v>
      </c>
      <c r="U37" s="455"/>
    </row>
    <row r="38" spans="2:22">
      <c r="I38" s="423" t="s">
        <v>295</v>
      </c>
      <c r="J38" s="454">
        <f ca="1">C34*1000</f>
        <v>6071771399.5237703</v>
      </c>
      <c r="N38" s="407">
        <v>7</v>
      </c>
      <c r="O38" s="407">
        <v>224.71504716974763</v>
      </c>
      <c r="R38" s="402" t="s">
        <v>319</v>
      </c>
      <c r="S38" s="402">
        <v>597.95328882607657</v>
      </c>
      <c r="U38" s="455"/>
    </row>
    <row r="39" spans="2:22">
      <c r="I39" s="423" t="s">
        <v>70</v>
      </c>
      <c r="J39" s="454">
        <f ca="1">J37-J40</f>
        <v>5785345966.9318638</v>
      </c>
      <c r="N39" s="407">
        <v>8</v>
      </c>
      <c r="O39" s="407">
        <v>249.48960193080489</v>
      </c>
      <c r="R39" s="402" t="s">
        <v>320</v>
      </c>
      <c r="S39" s="402">
        <v>357548.13561792136</v>
      </c>
      <c r="U39" s="455"/>
    </row>
    <row r="40" spans="2:22" ht="15" thickBot="1">
      <c r="I40" s="456" t="s">
        <v>296</v>
      </c>
      <c r="J40" s="454">
        <f>C12*1000</f>
        <v>1210425000</v>
      </c>
      <c r="N40" s="407">
        <v>9</v>
      </c>
      <c r="O40" s="407">
        <v>115.58210834297685</v>
      </c>
      <c r="R40" s="402" t="s">
        <v>321</v>
      </c>
      <c r="S40" s="402">
        <v>8165.2259225787784</v>
      </c>
      <c r="U40" s="455"/>
    </row>
    <row r="41" spans="2:22" ht="15" thickBot="1">
      <c r="I41" s="457" t="s">
        <v>293</v>
      </c>
      <c r="J41" s="458">
        <f ca="1">J39/J42</f>
        <v>142.33787447893218</v>
      </c>
      <c r="N41" s="407">
        <v>10</v>
      </c>
      <c r="O41" s="407">
        <v>224.46775784890559</v>
      </c>
      <c r="R41" s="402" t="s">
        <v>322</v>
      </c>
      <c r="S41" s="402">
        <v>-85.529332617787915</v>
      </c>
      <c r="U41" s="455"/>
    </row>
    <row r="42" spans="2:22">
      <c r="I42" s="407" t="s">
        <v>313</v>
      </c>
      <c r="J42" s="459">
        <v>40645162</v>
      </c>
      <c r="N42" s="407">
        <v>11</v>
      </c>
      <c r="O42" s="407">
        <v>128.16815921599925</v>
      </c>
      <c r="R42" s="402" t="s">
        <v>323</v>
      </c>
      <c r="S42" s="402">
        <v>66521.786185372941</v>
      </c>
      <c r="U42" s="455"/>
    </row>
    <row r="43" spans="2:22">
      <c r="N43" s="407">
        <v>12</v>
      </c>
      <c r="O43" s="407">
        <v>165.28453237818619</v>
      </c>
      <c r="R43" s="402" t="s">
        <v>324</v>
      </c>
      <c r="S43" s="402">
        <v>-56658.561173069225</v>
      </c>
      <c r="U43" s="455"/>
    </row>
    <row r="44" spans="2:22">
      <c r="N44" s="407">
        <v>13</v>
      </c>
      <c r="O44" s="407">
        <v>230.50044470124726</v>
      </c>
      <c r="R44" s="402" t="s">
        <v>325</v>
      </c>
      <c r="S44" s="402">
        <v>9863.225012303712</v>
      </c>
      <c r="U44" s="455"/>
    </row>
    <row r="45" spans="2:22">
      <c r="N45" s="407">
        <v>14</v>
      </c>
      <c r="O45" s="407">
        <v>104.19212253573525</v>
      </c>
      <c r="R45" s="402" t="s">
        <v>326</v>
      </c>
      <c r="S45" s="402">
        <v>1568025.5834489246</v>
      </c>
      <c r="U45" s="455"/>
    </row>
    <row r="46" spans="2:22" ht="15" thickBot="1">
      <c r="N46" s="407">
        <v>15</v>
      </c>
      <c r="O46" s="407">
        <v>129.10858428886982</v>
      </c>
      <c r="R46" s="403" t="s">
        <v>327</v>
      </c>
      <c r="S46" s="403">
        <v>10000</v>
      </c>
      <c r="U46" s="455"/>
    </row>
    <row r="47" spans="2:22">
      <c r="B47" s="365"/>
      <c r="C47" s="365"/>
      <c r="D47" s="365"/>
      <c r="N47" s="407">
        <v>16</v>
      </c>
      <c r="O47" s="407">
        <v>191.72648085774918</v>
      </c>
      <c r="U47" s="455"/>
    </row>
    <row r="48" spans="2:22">
      <c r="B48" s="365"/>
      <c r="C48" s="365"/>
      <c r="D48" s="365"/>
      <c r="N48" s="407">
        <v>17</v>
      </c>
      <c r="O48" s="407">
        <v>161.77688544524244</v>
      </c>
      <c r="U48" s="455"/>
    </row>
    <row r="49" spans="2:21">
      <c r="B49" s="460"/>
      <c r="C49" s="460"/>
      <c r="D49" s="365"/>
      <c r="N49" s="407">
        <v>18</v>
      </c>
      <c r="O49" s="407">
        <v>90.730986084815868</v>
      </c>
      <c r="U49" s="455"/>
    </row>
    <row r="50" spans="2:21">
      <c r="B50" s="406"/>
      <c r="C50" s="402"/>
      <c r="D50" s="365"/>
      <c r="N50" s="407">
        <v>19</v>
      </c>
      <c r="O50" s="407">
        <v>140.33343566541063</v>
      </c>
      <c r="U50" s="455"/>
    </row>
    <row r="51" spans="2:21">
      <c r="B51" s="406"/>
      <c r="C51" s="402"/>
      <c r="D51" s="365"/>
      <c r="N51" s="407">
        <v>20</v>
      </c>
      <c r="O51" s="407">
        <v>219.98884028595137</v>
      </c>
      <c r="S51" s="407" t="s">
        <v>334</v>
      </c>
      <c r="U51" s="455"/>
    </row>
    <row r="52" spans="2:21">
      <c r="B52" s="406"/>
      <c r="C52" s="402"/>
      <c r="D52" s="365"/>
      <c r="N52" s="407">
        <v>21</v>
      </c>
      <c r="O52" s="407">
        <v>129.77669101663398</v>
      </c>
      <c r="S52" s="455">
        <f>U886+$U$34</f>
        <v>6.6521786185372944</v>
      </c>
      <c r="U52" s="455"/>
    </row>
    <row r="53" spans="2:21">
      <c r="B53" s="406"/>
      <c r="C53" s="402"/>
      <c r="D53" s="365"/>
      <c r="N53" s="407">
        <v>22</v>
      </c>
      <c r="O53" s="407">
        <v>73.117174390659116</v>
      </c>
      <c r="S53" s="455">
        <f t="shared" ref="S53:S66" si="4">S52+$U$34</f>
        <v>13.304357237074589</v>
      </c>
      <c r="U53" s="455"/>
    </row>
    <row r="54" spans="2:21">
      <c r="B54" s="406"/>
      <c r="C54" s="402"/>
      <c r="D54" s="365"/>
      <c r="N54" s="407">
        <v>23</v>
      </c>
      <c r="O54" s="407">
        <v>121.39414326494511</v>
      </c>
      <c r="S54" s="455">
        <f t="shared" si="4"/>
        <v>19.956535855611882</v>
      </c>
      <c r="U54" s="455"/>
    </row>
    <row r="55" spans="2:21">
      <c r="B55" s="406"/>
      <c r="C55" s="402"/>
      <c r="D55" s="365"/>
      <c r="N55" s="407">
        <v>24</v>
      </c>
      <c r="O55" s="407">
        <v>182.80399991251826</v>
      </c>
      <c r="S55" s="455">
        <f t="shared" si="4"/>
        <v>26.608714474149178</v>
      </c>
      <c r="U55" s="455"/>
    </row>
    <row r="56" spans="2:21">
      <c r="B56" s="406"/>
      <c r="C56" s="402"/>
      <c r="D56" s="365"/>
      <c r="N56" s="407">
        <v>25</v>
      </c>
      <c r="O56" s="407">
        <v>95.595582437968204</v>
      </c>
      <c r="S56" s="455">
        <f t="shared" si="4"/>
        <v>33.260893092686473</v>
      </c>
      <c r="U56" s="455"/>
    </row>
    <row r="57" spans="2:21">
      <c r="B57" s="406"/>
      <c r="C57" s="402"/>
      <c r="D57" s="365"/>
      <c r="N57" s="407">
        <v>26</v>
      </c>
      <c r="O57" s="407">
        <v>105.82697695680052</v>
      </c>
      <c r="S57" s="455">
        <f t="shared" si="4"/>
        <v>39.913071711223765</v>
      </c>
      <c r="U57" s="455"/>
    </row>
    <row r="58" spans="2:21">
      <c r="B58" s="406"/>
      <c r="C58" s="402"/>
      <c r="D58" s="365"/>
      <c r="N58" s="407">
        <v>27</v>
      </c>
      <c r="O58" s="407">
        <v>125.36391383370926</v>
      </c>
      <c r="S58" s="455">
        <f t="shared" si="4"/>
        <v>46.565250329761056</v>
      </c>
      <c r="U58" s="455"/>
    </row>
    <row r="59" spans="2:21">
      <c r="B59" s="406"/>
      <c r="C59" s="402"/>
      <c r="D59" s="365"/>
      <c r="N59" s="407">
        <v>28</v>
      </c>
      <c r="O59" s="407">
        <v>83.367291831573169</v>
      </c>
      <c r="S59" s="455">
        <f t="shared" si="4"/>
        <v>53.217428948298348</v>
      </c>
      <c r="U59" s="455"/>
    </row>
    <row r="60" spans="2:21">
      <c r="B60" s="406"/>
      <c r="C60" s="402"/>
      <c r="D60" s="365"/>
      <c r="N60" s="407">
        <v>29</v>
      </c>
      <c r="O60" s="407">
        <v>86.436311658287508</v>
      </c>
      <c r="S60" s="455">
        <f t="shared" si="4"/>
        <v>59.86960756683564</v>
      </c>
      <c r="U60" s="455"/>
    </row>
    <row r="61" spans="2:21">
      <c r="B61" s="406"/>
      <c r="C61" s="402"/>
      <c r="D61" s="365"/>
      <c r="N61" s="407">
        <v>30</v>
      </c>
      <c r="O61" s="407">
        <v>117.99393289832676</v>
      </c>
      <c r="S61" s="455">
        <f t="shared" si="4"/>
        <v>66.521786185372932</v>
      </c>
      <c r="U61" s="455"/>
    </row>
    <row r="62" spans="2:21">
      <c r="B62" s="406"/>
      <c r="C62" s="402"/>
      <c r="D62" s="365"/>
      <c r="N62" s="407">
        <v>31</v>
      </c>
      <c r="O62" s="407">
        <v>182.27338196099913</v>
      </c>
      <c r="S62" s="455">
        <f t="shared" si="4"/>
        <v>73.173964803910224</v>
      </c>
      <c r="U62" s="455"/>
    </row>
    <row r="63" spans="2:21">
      <c r="B63" s="406"/>
      <c r="C63" s="402"/>
      <c r="D63" s="365"/>
      <c r="N63" s="407">
        <v>32</v>
      </c>
      <c r="O63" s="407">
        <v>125.64092176702535</v>
      </c>
      <c r="S63" s="455">
        <f t="shared" si="4"/>
        <v>79.826143422447515</v>
      </c>
      <c r="U63" s="455"/>
    </row>
    <row r="64" spans="2:21">
      <c r="B64" s="406"/>
      <c r="C64" s="402"/>
      <c r="D64" s="365"/>
      <c r="N64" s="407">
        <v>33</v>
      </c>
      <c r="O64" s="407">
        <v>128.30776305414025</v>
      </c>
      <c r="S64" s="455">
        <f t="shared" si="4"/>
        <v>86.478322040984807</v>
      </c>
      <c r="U64" s="455"/>
    </row>
    <row r="65" spans="2:21">
      <c r="B65" s="406"/>
      <c r="C65" s="402"/>
      <c r="D65" s="365"/>
      <c r="N65" s="407">
        <v>34</v>
      </c>
      <c r="O65" s="407">
        <v>113.64949921986948</v>
      </c>
      <c r="S65" s="455">
        <f t="shared" si="4"/>
        <v>93.130500659522099</v>
      </c>
      <c r="U65" s="455"/>
    </row>
    <row r="66" spans="2:21">
      <c r="B66" s="406"/>
      <c r="C66" s="402"/>
      <c r="D66" s="365"/>
      <c r="N66" s="407">
        <v>35</v>
      </c>
      <c r="O66" s="407">
        <v>220.13201373339547</v>
      </c>
      <c r="S66" s="455">
        <f t="shared" si="4"/>
        <v>99.782679278059391</v>
      </c>
      <c r="U66" s="455"/>
    </row>
    <row r="67" spans="2:21">
      <c r="B67" s="406"/>
      <c r="C67" s="402"/>
      <c r="D67" s="365"/>
      <c r="N67" s="407">
        <v>36</v>
      </c>
      <c r="O67" s="407">
        <v>106.2613854350477</v>
      </c>
      <c r="S67" s="455">
        <f t="shared" ref="S67:S116" si="5">S66+$U$34</f>
        <v>106.43485789659668</v>
      </c>
      <c r="U67" s="455"/>
    </row>
    <row r="68" spans="2:21">
      <c r="B68" s="406"/>
      <c r="C68" s="402"/>
      <c r="D68" s="365"/>
      <c r="N68" s="407">
        <v>37</v>
      </c>
      <c r="O68" s="407">
        <v>110.08134548363964</v>
      </c>
      <c r="S68" s="455">
        <f t="shared" si="5"/>
        <v>113.08703651513397</v>
      </c>
      <c r="U68" s="455"/>
    </row>
    <row r="69" spans="2:21">
      <c r="B69" s="406"/>
      <c r="C69" s="402"/>
      <c r="D69" s="365"/>
      <c r="N69" s="407">
        <v>38</v>
      </c>
      <c r="O69" s="407">
        <v>138.12324185621256</v>
      </c>
      <c r="S69" s="455">
        <f t="shared" si="5"/>
        <v>119.73921513367127</v>
      </c>
      <c r="U69" s="455"/>
    </row>
    <row r="70" spans="2:21">
      <c r="B70" s="406"/>
      <c r="C70" s="402"/>
      <c r="D70" s="365"/>
      <c r="N70" s="407">
        <v>39</v>
      </c>
      <c r="O70" s="407">
        <v>187.9446095576952</v>
      </c>
      <c r="S70" s="455">
        <f t="shared" si="5"/>
        <v>126.39139375220856</v>
      </c>
      <c r="U70" s="455"/>
    </row>
    <row r="71" spans="2:21">
      <c r="B71" s="406"/>
      <c r="C71" s="402"/>
      <c r="D71" s="365"/>
      <c r="N71" s="407">
        <v>40</v>
      </c>
      <c r="O71" s="407">
        <v>166.41703809264692</v>
      </c>
      <c r="S71" s="455">
        <f t="shared" si="5"/>
        <v>133.04357237074586</v>
      </c>
      <c r="U71" s="455"/>
    </row>
    <row r="72" spans="2:21">
      <c r="B72" s="406"/>
      <c r="C72" s="402"/>
      <c r="D72" s="365"/>
      <c r="N72" s="407">
        <v>41</v>
      </c>
      <c r="O72" s="407">
        <v>118.6956051928106</v>
      </c>
      <c r="S72" s="455">
        <f t="shared" si="5"/>
        <v>139.69575098928317</v>
      </c>
      <c r="U72" s="455"/>
    </row>
    <row r="73" spans="2:21">
      <c r="B73" s="406"/>
      <c r="C73" s="402"/>
      <c r="D73" s="365"/>
      <c r="N73" s="407">
        <v>42</v>
      </c>
      <c r="O73" s="407">
        <v>204.16547970809955</v>
      </c>
      <c r="S73" s="455">
        <f t="shared" si="5"/>
        <v>146.34792960782048</v>
      </c>
      <c r="U73" s="455"/>
    </row>
    <row r="74" spans="2:21">
      <c r="B74" s="406"/>
      <c r="C74" s="402"/>
      <c r="D74" s="365"/>
      <c r="N74" s="407">
        <v>43</v>
      </c>
      <c r="O74" s="407">
        <v>153.77157476130085</v>
      </c>
      <c r="S74" s="455">
        <f t="shared" si="5"/>
        <v>153.00010822635778</v>
      </c>
      <c r="U74" s="455"/>
    </row>
    <row r="75" spans="2:21">
      <c r="B75" s="406"/>
      <c r="C75" s="402"/>
      <c r="D75" s="365"/>
      <c r="N75" s="407">
        <v>44</v>
      </c>
      <c r="O75" s="407">
        <v>195.30008064562233</v>
      </c>
      <c r="S75" s="455">
        <f t="shared" si="5"/>
        <v>159.65228684489509</v>
      </c>
      <c r="U75" s="455"/>
    </row>
    <row r="76" spans="2:21">
      <c r="B76" s="406"/>
      <c r="C76" s="402"/>
      <c r="D76" s="365"/>
      <c r="N76" s="407">
        <v>45</v>
      </c>
      <c r="O76" s="407">
        <v>89.226572462749701</v>
      </c>
      <c r="S76" s="455">
        <f t="shared" si="5"/>
        <v>166.30446546343239</v>
      </c>
      <c r="U76" s="455"/>
    </row>
    <row r="77" spans="2:21">
      <c r="B77" s="406"/>
      <c r="C77" s="402"/>
      <c r="D77" s="365"/>
      <c r="N77" s="407">
        <v>46</v>
      </c>
      <c r="O77" s="407">
        <v>293.6370326710765</v>
      </c>
      <c r="S77" s="455">
        <f t="shared" si="5"/>
        <v>172.9566440819697</v>
      </c>
      <c r="U77" s="455"/>
    </row>
    <row r="78" spans="2:21">
      <c r="B78" s="406"/>
      <c r="C78" s="402"/>
      <c r="D78" s="365"/>
      <c r="N78" s="407">
        <v>47</v>
      </c>
      <c r="O78" s="407">
        <v>255.60236781564575</v>
      </c>
      <c r="S78" s="455">
        <f t="shared" si="5"/>
        <v>179.60882270050701</v>
      </c>
    </row>
    <row r="79" spans="2:21">
      <c r="B79" s="406"/>
      <c r="C79" s="402"/>
      <c r="D79" s="365"/>
      <c r="N79" s="407">
        <v>48</v>
      </c>
      <c r="O79" s="407">
        <v>234.61548436140171</v>
      </c>
      <c r="S79" s="455">
        <f t="shared" si="5"/>
        <v>186.26100131904431</v>
      </c>
    </row>
    <row r="80" spans="2:21">
      <c r="B80" s="406"/>
      <c r="C80" s="402"/>
      <c r="D80" s="365"/>
      <c r="N80" s="407">
        <v>49</v>
      </c>
      <c r="O80" s="407">
        <v>217.30874945592487</v>
      </c>
      <c r="S80" s="455">
        <f t="shared" si="5"/>
        <v>192.91317993758162</v>
      </c>
    </row>
    <row r="81" spans="2:19">
      <c r="B81" s="402"/>
      <c r="C81" s="402"/>
      <c r="D81" s="365"/>
      <c r="N81" s="407">
        <v>50</v>
      </c>
      <c r="O81" s="407">
        <v>154.32144127685646</v>
      </c>
      <c r="S81" s="455">
        <f t="shared" si="5"/>
        <v>199.56535855611892</v>
      </c>
    </row>
    <row r="82" spans="2:19">
      <c r="B82" s="406"/>
      <c r="C82" s="402"/>
      <c r="D82" s="365"/>
      <c r="N82" s="407">
        <v>51</v>
      </c>
      <c r="O82" s="407">
        <v>124.01109904714561</v>
      </c>
      <c r="S82" s="455">
        <f t="shared" si="5"/>
        <v>206.21753717465623</v>
      </c>
    </row>
    <row r="83" spans="2:19">
      <c r="B83" s="406"/>
      <c r="C83" s="402"/>
      <c r="N83" s="407">
        <v>52</v>
      </c>
      <c r="O83" s="407">
        <v>215.26593071404668</v>
      </c>
      <c r="S83" s="455">
        <f t="shared" si="5"/>
        <v>212.86971579319354</v>
      </c>
    </row>
    <row r="84" spans="2:19">
      <c r="B84" s="406"/>
      <c r="C84" s="402"/>
      <c r="N84" s="407">
        <v>53</v>
      </c>
      <c r="O84" s="407">
        <v>130.15714327345927</v>
      </c>
      <c r="S84" s="455">
        <f t="shared" si="5"/>
        <v>219.52189441173084</v>
      </c>
    </row>
    <row r="85" spans="2:19">
      <c r="B85" s="406"/>
      <c r="C85" s="402"/>
      <c r="N85" s="407">
        <v>54</v>
      </c>
      <c r="O85" s="407">
        <v>108.92728909158318</v>
      </c>
      <c r="S85" s="455">
        <f t="shared" si="5"/>
        <v>226.17407303026815</v>
      </c>
    </row>
    <row r="86" spans="2:19">
      <c r="B86" s="406"/>
      <c r="C86" s="402"/>
      <c r="N86" s="407">
        <v>55</v>
      </c>
      <c r="O86" s="407">
        <v>89.964063100051604</v>
      </c>
      <c r="S86" s="455">
        <f t="shared" si="5"/>
        <v>232.82625164880545</v>
      </c>
    </row>
    <row r="87" spans="2:19">
      <c r="B87" s="406"/>
      <c r="C87" s="402"/>
      <c r="N87" s="407">
        <v>56</v>
      </c>
      <c r="O87" s="407">
        <v>167.5393299820243</v>
      </c>
      <c r="S87" s="455">
        <f t="shared" si="5"/>
        <v>239.47843026734276</v>
      </c>
    </row>
    <row r="88" spans="2:19">
      <c r="B88" s="406"/>
      <c r="C88" s="402"/>
      <c r="N88" s="407">
        <v>57</v>
      </c>
      <c r="O88" s="407">
        <v>131.88032672019762</v>
      </c>
      <c r="S88" s="455">
        <f t="shared" si="5"/>
        <v>246.13060888588006</v>
      </c>
    </row>
    <row r="89" spans="2:19">
      <c r="B89" s="406"/>
      <c r="C89" s="402"/>
      <c r="N89" s="407">
        <v>58</v>
      </c>
      <c r="O89" s="407">
        <v>118.9032510369676</v>
      </c>
      <c r="S89" s="455">
        <f t="shared" si="5"/>
        <v>252.78278750441737</v>
      </c>
    </row>
    <row r="90" spans="2:19">
      <c r="B90" s="406"/>
      <c r="C90" s="402"/>
      <c r="N90" s="407">
        <v>59</v>
      </c>
      <c r="O90" s="407">
        <v>114.83999812471644</v>
      </c>
      <c r="S90" s="455">
        <f t="shared" si="5"/>
        <v>259.43496612295468</v>
      </c>
    </row>
    <row r="91" spans="2:19">
      <c r="B91" s="406"/>
      <c r="C91" s="402"/>
      <c r="N91" s="407">
        <v>60</v>
      </c>
      <c r="O91" s="407">
        <v>177.84770918596763</v>
      </c>
      <c r="S91" s="455">
        <f t="shared" si="5"/>
        <v>266.08714474149195</v>
      </c>
    </row>
    <row r="92" spans="2:19">
      <c r="B92" s="406"/>
      <c r="C92" s="402"/>
      <c r="N92" s="407">
        <v>61</v>
      </c>
      <c r="O92" s="407">
        <v>279.08740208580281</v>
      </c>
      <c r="S92" s="455">
        <f t="shared" si="5"/>
        <v>272.73932336002923</v>
      </c>
    </row>
    <row r="93" spans="2:19">
      <c r="B93" s="406"/>
      <c r="C93" s="402"/>
      <c r="N93" s="407">
        <v>62</v>
      </c>
      <c r="O93" s="407">
        <v>134.96283226008305</v>
      </c>
      <c r="S93" s="455">
        <f t="shared" si="5"/>
        <v>279.39150197856651</v>
      </c>
    </row>
    <row r="94" spans="2:19">
      <c r="B94" s="406"/>
      <c r="C94" s="402"/>
      <c r="N94" s="407">
        <v>63</v>
      </c>
      <c r="O94" s="407">
        <v>127.50078882570985</v>
      </c>
      <c r="S94" s="455">
        <f t="shared" si="5"/>
        <v>286.04368059710379</v>
      </c>
    </row>
    <row r="95" spans="2:19">
      <c r="B95" s="406"/>
      <c r="C95" s="402"/>
      <c r="N95" s="407">
        <v>64</v>
      </c>
      <c r="O95" s="407">
        <v>145.37077903673514</v>
      </c>
      <c r="S95" s="455">
        <f t="shared" si="5"/>
        <v>292.69585921564106</v>
      </c>
    </row>
    <row r="96" spans="2:19">
      <c r="B96" s="406"/>
      <c r="C96" s="402"/>
      <c r="N96" s="407">
        <v>65</v>
      </c>
      <c r="O96" s="407">
        <v>115.75465578854069</v>
      </c>
      <c r="S96" s="455">
        <f t="shared" si="5"/>
        <v>299.34803783417834</v>
      </c>
    </row>
    <row r="97" spans="2:21">
      <c r="B97" s="406"/>
      <c r="C97" s="402"/>
      <c r="N97" s="407">
        <v>66</v>
      </c>
      <c r="O97" s="407">
        <v>129.27806168179566</v>
      </c>
      <c r="S97" s="455">
        <f t="shared" si="5"/>
        <v>306.00021645271562</v>
      </c>
    </row>
    <row r="98" spans="2:21">
      <c r="B98" s="406"/>
      <c r="C98" s="402"/>
      <c r="N98" s="407">
        <v>67</v>
      </c>
      <c r="O98" s="407">
        <v>137.0007038261644</v>
      </c>
      <c r="S98" s="455">
        <f t="shared" si="5"/>
        <v>312.6523950712529</v>
      </c>
    </row>
    <row r="99" spans="2:21">
      <c r="B99" s="406"/>
      <c r="C99" s="402"/>
      <c r="N99" s="407">
        <v>68</v>
      </c>
      <c r="O99" s="407">
        <v>155.77991950624556</v>
      </c>
      <c r="S99" s="455">
        <f t="shared" si="5"/>
        <v>319.30457368979017</v>
      </c>
    </row>
    <row r="100" spans="2:21">
      <c r="B100" s="406"/>
      <c r="C100" s="402"/>
      <c r="N100" s="407">
        <v>69</v>
      </c>
      <c r="O100" s="407">
        <v>148.23128404876181</v>
      </c>
      <c r="S100" s="455">
        <f t="shared" si="5"/>
        <v>325.95675230832745</v>
      </c>
      <c r="U100" s="461"/>
    </row>
    <row r="101" spans="2:21">
      <c r="B101" s="406"/>
      <c r="C101" s="402"/>
      <c r="N101" s="407">
        <v>70</v>
      </c>
      <c r="O101" s="407">
        <v>168.88018888480249</v>
      </c>
      <c r="S101" s="455">
        <f t="shared" si="5"/>
        <v>332.60893092686473</v>
      </c>
    </row>
    <row r="102" spans="2:21">
      <c r="B102" s="406"/>
      <c r="C102" s="402"/>
      <c r="N102" s="407">
        <v>71</v>
      </c>
      <c r="O102" s="407">
        <v>295.85458633810003</v>
      </c>
      <c r="S102" s="455">
        <f t="shared" si="5"/>
        <v>339.26110954540201</v>
      </c>
    </row>
    <row r="103" spans="2:21">
      <c r="B103" s="406"/>
      <c r="C103" s="402"/>
      <c r="N103" s="407">
        <v>72</v>
      </c>
      <c r="O103" s="407">
        <v>172.07262230251649</v>
      </c>
      <c r="S103" s="455">
        <f t="shared" si="5"/>
        <v>345.91328816393928</v>
      </c>
    </row>
    <row r="104" spans="2:21">
      <c r="B104" s="406"/>
      <c r="C104" s="402"/>
      <c r="N104" s="407">
        <v>73</v>
      </c>
      <c r="O104" s="407">
        <v>104.10213355727898</v>
      </c>
      <c r="S104" s="455">
        <f t="shared" si="5"/>
        <v>352.56546678247656</v>
      </c>
    </row>
    <row r="105" spans="2:21">
      <c r="B105" s="406"/>
      <c r="C105" s="402"/>
      <c r="N105" s="407">
        <v>74</v>
      </c>
      <c r="O105" s="407">
        <v>122.71256686405096</v>
      </c>
      <c r="S105" s="455">
        <f t="shared" si="5"/>
        <v>359.21764540101384</v>
      </c>
    </row>
    <row r="106" spans="2:21">
      <c r="B106" s="406"/>
      <c r="C106" s="402"/>
      <c r="N106" s="407">
        <v>75</v>
      </c>
      <c r="O106" s="407">
        <v>233.23499563158401</v>
      </c>
      <c r="S106" s="455">
        <f t="shared" si="5"/>
        <v>365.86982401955112</v>
      </c>
    </row>
    <row r="107" spans="2:21">
      <c r="B107" s="406"/>
      <c r="C107" s="402"/>
      <c r="N107" s="407">
        <v>76</v>
      </c>
      <c r="O107" s="407">
        <v>107.31359564811126</v>
      </c>
      <c r="S107" s="455">
        <f t="shared" si="5"/>
        <v>372.5220026380884</v>
      </c>
    </row>
    <row r="108" spans="2:21">
      <c r="B108" s="406"/>
      <c r="C108" s="402"/>
      <c r="N108" s="407">
        <v>77</v>
      </c>
      <c r="O108" s="407">
        <v>98.930514432154709</v>
      </c>
      <c r="S108" s="455">
        <f t="shared" si="5"/>
        <v>379.17418125662567</v>
      </c>
    </row>
    <row r="109" spans="2:21">
      <c r="B109" s="406"/>
      <c r="C109" s="402"/>
      <c r="N109" s="407">
        <v>78</v>
      </c>
      <c r="O109" s="407">
        <v>93.794773423933151</v>
      </c>
      <c r="S109" s="455">
        <f t="shared" si="5"/>
        <v>385.82635987516295</v>
      </c>
      <c r="U109" s="455"/>
    </row>
    <row r="110" spans="2:21">
      <c r="B110" s="406"/>
      <c r="C110" s="402"/>
      <c r="N110" s="407">
        <v>79</v>
      </c>
      <c r="O110" s="407">
        <v>94.353792717962051</v>
      </c>
      <c r="S110" s="455">
        <f t="shared" si="5"/>
        <v>392.47853849370023</v>
      </c>
      <c r="U110" s="455"/>
    </row>
    <row r="111" spans="2:21">
      <c r="B111" s="406"/>
      <c r="C111" s="402"/>
      <c r="N111" s="407">
        <v>80</v>
      </c>
      <c r="O111" s="407">
        <v>159.119287365774</v>
      </c>
      <c r="S111" s="455">
        <f t="shared" si="5"/>
        <v>399.13071711223751</v>
      </c>
      <c r="U111" s="455"/>
    </row>
    <row r="112" spans="2:21">
      <c r="B112" s="406"/>
      <c r="C112" s="402"/>
      <c r="N112" s="407">
        <v>81</v>
      </c>
      <c r="O112" s="407">
        <v>160.98234729242787</v>
      </c>
      <c r="S112" s="455">
        <f t="shared" si="5"/>
        <v>405.78289573077478</v>
      </c>
      <c r="U112" s="455"/>
    </row>
    <row r="113" spans="2:21">
      <c r="B113" s="406"/>
      <c r="C113" s="402"/>
      <c r="N113" s="407">
        <v>82</v>
      </c>
      <c r="O113" s="407">
        <v>106.64206146744783</v>
      </c>
      <c r="S113" s="455">
        <f t="shared" si="5"/>
        <v>412.43507434931206</v>
      </c>
      <c r="U113" s="455"/>
    </row>
    <row r="114" spans="2:21">
      <c r="B114" s="406"/>
      <c r="C114" s="402"/>
      <c r="N114" s="407">
        <v>83</v>
      </c>
      <c r="O114" s="407">
        <v>117.44634427757558</v>
      </c>
      <c r="S114" s="455">
        <f t="shared" si="5"/>
        <v>419.08725296784934</v>
      </c>
      <c r="U114" s="455"/>
    </row>
    <row r="115" spans="2:21">
      <c r="B115" s="406"/>
      <c r="C115" s="402"/>
      <c r="N115" s="407">
        <v>84</v>
      </c>
      <c r="O115" s="407">
        <v>123.74258338639872</v>
      </c>
      <c r="S115" s="455">
        <f t="shared" si="5"/>
        <v>425.73943158638662</v>
      </c>
      <c r="U115" s="455"/>
    </row>
    <row r="116" spans="2:21">
      <c r="B116" s="406"/>
      <c r="C116" s="402"/>
      <c r="N116" s="407">
        <v>85</v>
      </c>
      <c r="O116" s="407">
        <v>65.494758694080417</v>
      </c>
      <c r="S116" s="455">
        <f t="shared" si="5"/>
        <v>432.39161020492389</v>
      </c>
      <c r="U116" s="455"/>
    </row>
    <row r="117" spans="2:21">
      <c r="B117" s="406"/>
      <c r="C117" s="402"/>
      <c r="N117" s="407">
        <v>86</v>
      </c>
      <c r="O117" s="407">
        <v>163.57632560976035</v>
      </c>
      <c r="S117" s="455"/>
      <c r="U117" s="455"/>
    </row>
    <row r="118" spans="2:21">
      <c r="B118" s="406"/>
      <c r="C118" s="402"/>
      <c r="N118" s="407">
        <v>87</v>
      </c>
      <c r="O118" s="407">
        <v>93.62823765911061</v>
      </c>
      <c r="S118" s="455"/>
      <c r="U118" s="455"/>
    </row>
    <row r="119" spans="2:21">
      <c r="B119" s="406"/>
      <c r="C119" s="402"/>
      <c r="N119" s="407">
        <v>88</v>
      </c>
      <c r="O119" s="407">
        <v>164.80990569316958</v>
      </c>
      <c r="S119" s="455"/>
      <c r="U119" s="455"/>
    </row>
    <row r="120" spans="2:21">
      <c r="B120" s="406"/>
      <c r="C120" s="402"/>
      <c r="N120" s="407">
        <v>89</v>
      </c>
      <c r="O120" s="407">
        <v>218.44544210238098</v>
      </c>
      <c r="S120" s="455"/>
      <c r="U120" s="455"/>
    </row>
    <row r="121" spans="2:21">
      <c r="B121" s="406"/>
      <c r="C121" s="402"/>
      <c r="N121" s="407">
        <v>90</v>
      </c>
      <c r="O121" s="407">
        <v>2019.1088141386469</v>
      </c>
      <c r="S121" s="455"/>
      <c r="U121" s="455"/>
    </row>
    <row r="122" spans="2:21">
      <c r="B122" s="406"/>
      <c r="C122" s="402"/>
      <c r="N122" s="407">
        <v>91</v>
      </c>
      <c r="O122" s="407">
        <v>75.086373832493535</v>
      </c>
      <c r="S122" s="455"/>
      <c r="U122" s="455"/>
    </row>
    <row r="123" spans="2:21">
      <c r="B123" s="406"/>
      <c r="C123" s="402"/>
      <c r="N123" s="407">
        <v>92</v>
      </c>
      <c r="O123" s="407">
        <v>91.57240085672629</v>
      </c>
      <c r="S123" s="455"/>
      <c r="U123" s="455"/>
    </row>
    <row r="124" spans="2:21">
      <c r="B124" s="406"/>
      <c r="C124" s="402"/>
      <c r="N124" s="407">
        <v>93</v>
      </c>
      <c r="O124" s="407">
        <v>107.58452370657879</v>
      </c>
      <c r="S124" s="455"/>
      <c r="U124" s="455"/>
    </row>
    <row r="125" spans="2:21">
      <c r="B125" s="406"/>
      <c r="C125" s="402"/>
      <c r="N125" s="407">
        <v>94</v>
      </c>
      <c r="O125" s="407">
        <v>174.90850185141917</v>
      </c>
      <c r="S125" s="455"/>
      <c r="U125" s="455"/>
    </row>
    <row r="126" spans="2:21">
      <c r="B126" s="406"/>
      <c r="C126" s="402"/>
      <c r="N126" s="407">
        <v>95</v>
      </c>
      <c r="O126" s="407">
        <v>159.61453890227708</v>
      </c>
      <c r="S126" s="455"/>
      <c r="U126" s="455"/>
    </row>
    <row r="127" spans="2:21">
      <c r="B127" s="406"/>
      <c r="C127" s="402"/>
      <c r="N127" s="407">
        <v>96</v>
      </c>
      <c r="O127" s="407">
        <v>143.55477851360652</v>
      </c>
      <c r="S127" s="455"/>
      <c r="U127" s="455"/>
    </row>
    <row r="128" spans="2:21">
      <c r="B128" s="406"/>
      <c r="C128" s="402"/>
      <c r="N128" s="407">
        <v>97</v>
      </c>
      <c r="O128" s="407">
        <v>85.561113524082174</v>
      </c>
      <c r="S128" s="455"/>
      <c r="U128" s="455"/>
    </row>
    <row r="129" spans="2:21">
      <c r="B129" s="406"/>
      <c r="C129" s="402"/>
      <c r="N129" s="407">
        <v>98</v>
      </c>
      <c r="O129" s="407">
        <v>181.02220361814841</v>
      </c>
      <c r="S129" s="455"/>
      <c r="U129" s="455"/>
    </row>
    <row r="130" spans="2:21">
      <c r="B130" s="406"/>
      <c r="C130" s="402"/>
      <c r="N130" s="407">
        <v>99</v>
      </c>
      <c r="O130" s="407">
        <v>132.70287497539346</v>
      </c>
      <c r="S130" s="455"/>
      <c r="U130" s="455"/>
    </row>
    <row r="131" spans="2:21">
      <c r="B131" s="406"/>
      <c r="C131" s="402"/>
      <c r="N131" s="407">
        <v>100</v>
      </c>
      <c r="O131" s="407">
        <v>156.47273020630394</v>
      </c>
      <c r="S131" s="455"/>
      <c r="U131" s="455"/>
    </row>
    <row r="132" spans="2:21">
      <c r="B132" s="406"/>
      <c r="C132" s="402"/>
      <c r="N132" s="407">
        <v>101</v>
      </c>
      <c r="O132" s="407">
        <v>178.29476305202587</v>
      </c>
      <c r="S132" s="455"/>
      <c r="U132" s="455"/>
    </row>
    <row r="133" spans="2:21">
      <c r="B133" s="406"/>
      <c r="C133" s="402"/>
      <c r="N133" s="407">
        <v>102</v>
      </c>
      <c r="O133" s="407">
        <v>90.109890140031851</v>
      </c>
      <c r="S133" s="455"/>
      <c r="U133" s="455"/>
    </row>
    <row r="134" spans="2:21">
      <c r="B134" s="406"/>
      <c r="C134" s="402"/>
      <c r="N134" s="407">
        <v>103</v>
      </c>
      <c r="O134" s="407">
        <v>132.35527741296323</v>
      </c>
      <c r="S134" s="455"/>
      <c r="U134" s="455"/>
    </row>
    <row r="135" spans="2:21">
      <c r="B135" s="406"/>
      <c r="C135" s="402"/>
      <c r="N135" s="407">
        <v>104</v>
      </c>
      <c r="O135" s="407">
        <v>128.77578387509263</v>
      </c>
      <c r="S135" s="455"/>
      <c r="U135" s="455"/>
    </row>
    <row r="136" spans="2:21">
      <c r="B136" s="406"/>
      <c r="C136" s="402"/>
      <c r="N136" s="407">
        <v>105</v>
      </c>
      <c r="O136" s="407">
        <v>122.83840796189845</v>
      </c>
      <c r="S136" s="455"/>
      <c r="U136" s="455"/>
    </row>
    <row r="137" spans="2:21">
      <c r="B137" s="406"/>
      <c r="C137" s="402"/>
      <c r="N137" s="407">
        <v>106</v>
      </c>
      <c r="O137" s="407">
        <v>281.4325932020115</v>
      </c>
      <c r="S137" s="455"/>
      <c r="U137" s="455"/>
    </row>
    <row r="138" spans="2:21">
      <c r="B138" s="406"/>
      <c r="C138" s="402"/>
      <c r="N138" s="407">
        <v>107</v>
      </c>
      <c r="O138" s="407">
        <v>201.58067664730959</v>
      </c>
      <c r="S138" s="455"/>
      <c r="U138" s="455"/>
    </row>
    <row r="139" spans="2:21">
      <c r="B139" s="406"/>
      <c r="C139" s="402"/>
      <c r="N139" s="407">
        <v>108</v>
      </c>
      <c r="O139" s="407">
        <v>233.946318204449</v>
      </c>
      <c r="S139" s="455"/>
      <c r="U139" s="455"/>
    </row>
    <row r="140" spans="2:21">
      <c r="B140" s="406"/>
      <c r="C140" s="402"/>
      <c r="N140" s="407">
        <v>109</v>
      </c>
      <c r="O140" s="407">
        <v>113.80873587445302</v>
      </c>
      <c r="S140" s="455"/>
      <c r="U140" s="455"/>
    </row>
    <row r="141" spans="2:21">
      <c r="B141" s="406"/>
      <c r="C141" s="402"/>
      <c r="N141" s="407">
        <v>110</v>
      </c>
      <c r="O141" s="407">
        <v>120.10022995445939</v>
      </c>
      <c r="S141" s="455"/>
      <c r="U141" s="455"/>
    </row>
    <row r="142" spans="2:21">
      <c r="B142" s="406"/>
      <c r="C142" s="402"/>
      <c r="N142" s="407">
        <v>111</v>
      </c>
      <c r="O142" s="407">
        <v>109.99508131180606</v>
      </c>
      <c r="S142" s="455"/>
      <c r="U142" s="455"/>
    </row>
    <row r="143" spans="2:21">
      <c r="B143" s="406"/>
      <c r="C143" s="402"/>
      <c r="N143" s="407">
        <v>112</v>
      </c>
      <c r="O143" s="407">
        <v>214.36428617848185</v>
      </c>
      <c r="S143" s="455"/>
      <c r="U143" s="455"/>
    </row>
    <row r="144" spans="2:21">
      <c r="B144" s="406"/>
      <c r="C144" s="402"/>
      <c r="N144" s="407">
        <v>113</v>
      </c>
      <c r="O144" s="407">
        <v>177.55309545502388</v>
      </c>
      <c r="S144" s="455"/>
      <c r="U144" s="455"/>
    </row>
    <row r="145" spans="2:21">
      <c r="B145" s="406"/>
      <c r="C145" s="402"/>
      <c r="N145" s="407">
        <v>114</v>
      </c>
      <c r="O145" s="407">
        <v>219.22033960776693</v>
      </c>
      <c r="S145" s="455"/>
      <c r="U145" s="455"/>
    </row>
    <row r="146" spans="2:21">
      <c r="B146" s="406"/>
      <c r="C146" s="402"/>
      <c r="N146" s="407">
        <v>115</v>
      </c>
      <c r="O146" s="407">
        <v>118.30790776610525</v>
      </c>
      <c r="S146" s="455"/>
      <c r="U146" s="455"/>
    </row>
    <row r="147" spans="2:21">
      <c r="B147" s="406"/>
      <c r="C147" s="402"/>
      <c r="N147" s="407">
        <v>116</v>
      </c>
      <c r="O147" s="407">
        <v>113.66092772996176</v>
      </c>
      <c r="S147" s="455"/>
      <c r="U147" s="455"/>
    </row>
    <row r="148" spans="2:21">
      <c r="B148" s="406"/>
      <c r="C148" s="402"/>
      <c r="N148" s="407">
        <v>117</v>
      </c>
      <c r="O148" s="407">
        <v>167.41961606938014</v>
      </c>
      <c r="S148" s="455"/>
      <c r="U148" s="455"/>
    </row>
    <row r="149" spans="2:21">
      <c r="B149" s="406"/>
      <c r="C149" s="402"/>
      <c r="N149" s="407">
        <v>118</v>
      </c>
      <c r="O149" s="407">
        <v>140.38073468295775</v>
      </c>
      <c r="S149" s="455"/>
      <c r="U149" s="455"/>
    </row>
    <row r="150" spans="2:21" ht="15" thickBot="1">
      <c r="B150" s="403"/>
      <c r="C150" s="403"/>
      <c r="N150" s="407">
        <v>119</v>
      </c>
      <c r="O150" s="407">
        <v>97.700460028373939</v>
      </c>
      <c r="S150" s="455"/>
      <c r="U150" s="455"/>
    </row>
    <row r="151" spans="2:21">
      <c r="N151" s="407">
        <v>120</v>
      </c>
      <c r="O151" s="407">
        <v>146.48339772266158</v>
      </c>
      <c r="S151" s="455"/>
      <c r="U151" s="455"/>
    </row>
    <row r="152" spans="2:21">
      <c r="N152" s="407">
        <v>121</v>
      </c>
      <c r="O152" s="407">
        <v>196.09252488743036</v>
      </c>
      <c r="S152" s="455"/>
      <c r="U152" s="455"/>
    </row>
    <row r="153" spans="2:21">
      <c r="N153" s="407">
        <v>122</v>
      </c>
      <c r="O153" s="407">
        <v>201.54720272073999</v>
      </c>
      <c r="S153" s="455"/>
      <c r="U153" s="455"/>
    </row>
    <row r="154" spans="2:21">
      <c r="N154" s="407">
        <v>123</v>
      </c>
      <c r="O154" s="407">
        <v>164.80637254908655</v>
      </c>
      <c r="S154" s="455"/>
      <c r="U154" s="455"/>
    </row>
    <row r="155" spans="2:21">
      <c r="N155" s="407">
        <v>124</v>
      </c>
      <c r="O155" s="407">
        <v>161.13563166843582</v>
      </c>
      <c r="S155" s="455"/>
      <c r="U155" s="455"/>
    </row>
    <row r="156" spans="2:21">
      <c r="N156" s="407">
        <v>125</v>
      </c>
      <c r="O156" s="407">
        <v>153.66165734813904</v>
      </c>
      <c r="S156" s="455"/>
      <c r="U156" s="455"/>
    </row>
    <row r="157" spans="2:21">
      <c r="N157" s="407">
        <v>126</v>
      </c>
      <c r="O157" s="407">
        <v>175.69605247128379</v>
      </c>
      <c r="S157" s="455"/>
      <c r="U157" s="455"/>
    </row>
    <row r="158" spans="2:21">
      <c r="N158" s="407">
        <v>127</v>
      </c>
      <c r="O158" s="407">
        <v>85.867910868643165</v>
      </c>
      <c r="S158" s="455"/>
      <c r="U158" s="455"/>
    </row>
    <row r="159" spans="2:21">
      <c r="N159" s="407">
        <v>128</v>
      </c>
      <c r="O159" s="407">
        <v>156.50819024680308</v>
      </c>
      <c r="S159" s="455"/>
      <c r="U159" s="455"/>
    </row>
    <row r="160" spans="2:21">
      <c r="N160" s="407">
        <v>129</v>
      </c>
      <c r="O160" s="407">
        <v>161.62651914604413</v>
      </c>
      <c r="S160" s="455"/>
      <c r="U160" s="455"/>
    </row>
    <row r="161" spans="14:21">
      <c r="N161" s="407">
        <v>130</v>
      </c>
      <c r="O161" s="407">
        <v>199.71342504343281</v>
      </c>
      <c r="S161" s="455"/>
      <c r="U161" s="455"/>
    </row>
    <row r="162" spans="14:21">
      <c r="N162" s="407">
        <v>131</v>
      </c>
      <c r="O162" s="407">
        <v>153.48412521096927</v>
      </c>
      <c r="S162" s="455"/>
      <c r="U162" s="455"/>
    </row>
    <row r="163" spans="14:21">
      <c r="N163" s="407">
        <v>132</v>
      </c>
      <c r="O163" s="407">
        <v>180.32007752412048</v>
      </c>
      <c r="S163" s="455"/>
      <c r="U163" s="455"/>
    </row>
    <row r="164" spans="14:21">
      <c r="N164" s="407">
        <v>133</v>
      </c>
      <c r="O164" s="407">
        <v>84.538843335809062</v>
      </c>
      <c r="S164" s="455"/>
      <c r="U164" s="455"/>
    </row>
    <row r="165" spans="14:21">
      <c r="N165" s="407">
        <v>134</v>
      </c>
      <c r="O165" s="407">
        <v>144.33669050503573</v>
      </c>
      <c r="S165" s="455"/>
      <c r="U165" s="455"/>
    </row>
    <row r="166" spans="14:21">
      <c r="N166" s="407">
        <v>135</v>
      </c>
      <c r="O166" s="407">
        <v>155.83745652595746</v>
      </c>
      <c r="S166" s="455"/>
      <c r="U166" s="455"/>
    </row>
    <row r="167" spans="14:21">
      <c r="N167" s="407">
        <v>136</v>
      </c>
      <c r="O167" s="407">
        <v>217.76413637998562</v>
      </c>
      <c r="S167" s="455"/>
      <c r="U167" s="455"/>
    </row>
    <row r="168" spans="14:21">
      <c r="N168" s="407">
        <v>137</v>
      </c>
      <c r="O168" s="407">
        <v>97.280080401951665</v>
      </c>
      <c r="S168" s="455"/>
      <c r="U168" s="455"/>
    </row>
    <row r="169" spans="14:21">
      <c r="N169" s="407">
        <v>138</v>
      </c>
      <c r="O169" s="407">
        <v>163.93006149571963</v>
      </c>
      <c r="S169" s="455"/>
      <c r="U169" s="455"/>
    </row>
    <row r="170" spans="14:21">
      <c r="N170" s="407">
        <v>139</v>
      </c>
      <c r="O170" s="407">
        <v>198.55055603634341</v>
      </c>
      <c r="S170" s="455"/>
      <c r="U170" s="455"/>
    </row>
    <row r="171" spans="14:21">
      <c r="N171" s="407">
        <v>140</v>
      </c>
      <c r="O171" s="407">
        <v>187.10471842308434</v>
      </c>
      <c r="S171" s="455"/>
      <c r="U171" s="455"/>
    </row>
    <row r="172" spans="14:21">
      <c r="N172" s="407">
        <v>141</v>
      </c>
      <c r="O172" s="407">
        <v>93.544777683170835</v>
      </c>
      <c r="S172" s="455"/>
      <c r="U172" s="455"/>
    </row>
    <row r="173" spans="14:21">
      <c r="N173" s="407">
        <v>142</v>
      </c>
      <c r="O173" s="407">
        <v>135.97631058979081</v>
      </c>
      <c r="S173" s="455"/>
      <c r="U173" s="455"/>
    </row>
    <row r="174" spans="14:21">
      <c r="N174" s="407">
        <v>143</v>
      </c>
      <c r="O174" s="407">
        <v>121.03154594697864</v>
      </c>
      <c r="S174" s="455"/>
    </row>
    <row r="175" spans="14:21">
      <c r="N175" s="407">
        <v>144</v>
      </c>
      <c r="O175" s="407">
        <v>90.824484019223803</v>
      </c>
      <c r="S175" s="455"/>
    </row>
    <row r="176" spans="14:21">
      <c r="N176" s="407">
        <v>145</v>
      </c>
      <c r="O176" s="407">
        <v>161.3088586372568</v>
      </c>
      <c r="S176" s="455"/>
    </row>
    <row r="177" spans="14:19">
      <c r="N177" s="407">
        <v>146</v>
      </c>
      <c r="O177" s="407">
        <v>109.40366514786321</v>
      </c>
      <c r="S177" s="455"/>
    </row>
    <row r="178" spans="14:19">
      <c r="N178" s="407">
        <v>147</v>
      </c>
      <c r="O178" s="407">
        <v>92.875688827561135</v>
      </c>
      <c r="S178" s="455"/>
    </row>
    <row r="179" spans="14:19">
      <c r="N179" s="407">
        <v>148</v>
      </c>
      <c r="O179" s="407">
        <v>128.62664265792301</v>
      </c>
      <c r="S179" s="455"/>
    </row>
    <row r="180" spans="14:19">
      <c r="N180" s="407">
        <v>149</v>
      </c>
      <c r="O180" s="407">
        <v>153.74024376249625</v>
      </c>
      <c r="S180" s="455"/>
    </row>
    <row r="181" spans="14:19">
      <c r="N181" s="407">
        <v>150</v>
      </c>
      <c r="O181" s="407">
        <v>121.98994996661544</v>
      </c>
      <c r="S181" s="455"/>
    </row>
    <row r="182" spans="14:19">
      <c r="N182" s="407">
        <v>151</v>
      </c>
      <c r="O182" s="407">
        <v>105.51140811537597</v>
      </c>
      <c r="S182" s="455"/>
    </row>
    <row r="183" spans="14:19">
      <c r="N183" s="407">
        <v>152</v>
      </c>
      <c r="O183" s="407">
        <v>106.67841438602035</v>
      </c>
      <c r="S183" s="455"/>
    </row>
    <row r="184" spans="14:19">
      <c r="N184" s="407">
        <v>153</v>
      </c>
      <c r="O184" s="407">
        <v>142.60442443873217</v>
      </c>
      <c r="S184" s="455"/>
    </row>
    <row r="185" spans="14:19">
      <c r="N185" s="407">
        <v>154</v>
      </c>
      <c r="O185" s="407">
        <v>151.28496499816515</v>
      </c>
      <c r="S185" s="455"/>
    </row>
    <row r="186" spans="14:19">
      <c r="N186" s="407">
        <v>155</v>
      </c>
      <c r="O186" s="407">
        <v>168.58220469853049</v>
      </c>
      <c r="S186" s="455"/>
    </row>
    <row r="187" spans="14:19">
      <c r="N187" s="407">
        <v>156</v>
      </c>
      <c r="O187" s="407">
        <v>291.48746155281009</v>
      </c>
      <c r="S187" s="455"/>
    </row>
    <row r="188" spans="14:19">
      <c r="N188" s="407">
        <v>157</v>
      </c>
      <c r="O188" s="407">
        <v>120.87277721670667</v>
      </c>
      <c r="S188" s="455"/>
    </row>
    <row r="189" spans="14:19">
      <c r="N189" s="407">
        <v>158</v>
      </c>
      <c r="O189" s="407">
        <v>211.06043581113255</v>
      </c>
      <c r="S189" s="455"/>
    </row>
    <row r="190" spans="14:19">
      <c r="N190" s="407">
        <v>159</v>
      </c>
      <c r="O190" s="407">
        <v>185.07728124487844</v>
      </c>
      <c r="S190" s="455"/>
    </row>
    <row r="191" spans="14:19">
      <c r="N191" s="407">
        <v>160</v>
      </c>
      <c r="O191" s="407">
        <v>87.159696659350118</v>
      </c>
      <c r="S191" s="455"/>
    </row>
    <row r="192" spans="14:19">
      <c r="N192" s="407">
        <v>161</v>
      </c>
      <c r="O192" s="407">
        <v>246.86029499061618</v>
      </c>
      <c r="S192" s="455"/>
    </row>
    <row r="193" spans="14:21">
      <c r="N193" s="407">
        <v>162</v>
      </c>
      <c r="O193" s="407">
        <v>123.45394456705341</v>
      </c>
      <c r="S193" s="455"/>
    </row>
    <row r="194" spans="14:21">
      <c r="N194" s="407">
        <v>163</v>
      </c>
      <c r="O194" s="407">
        <v>142.26293831296456</v>
      </c>
      <c r="S194" s="455"/>
    </row>
    <row r="195" spans="14:21">
      <c r="N195" s="407">
        <v>164</v>
      </c>
      <c r="O195" s="407">
        <v>144.25107752278529</v>
      </c>
      <c r="S195" s="455"/>
    </row>
    <row r="196" spans="14:21">
      <c r="N196" s="407">
        <v>165</v>
      </c>
      <c r="O196" s="407">
        <v>136.46107038173733</v>
      </c>
      <c r="S196" s="455"/>
    </row>
    <row r="197" spans="14:21">
      <c r="N197" s="407">
        <v>166</v>
      </c>
      <c r="O197" s="407">
        <v>115.83306057394346</v>
      </c>
      <c r="S197" s="455"/>
    </row>
    <row r="198" spans="14:21">
      <c r="N198" s="407">
        <v>167</v>
      </c>
      <c r="O198" s="407">
        <v>207.7239951031803</v>
      </c>
      <c r="S198" s="455"/>
    </row>
    <row r="199" spans="14:21">
      <c r="N199" s="407">
        <v>168</v>
      </c>
      <c r="O199" s="407">
        <v>83.019319653515268</v>
      </c>
      <c r="S199" s="455"/>
    </row>
    <row r="200" spans="14:21">
      <c r="N200" s="407">
        <v>169</v>
      </c>
      <c r="O200" s="407">
        <v>141.80968741458361</v>
      </c>
      <c r="S200" s="455"/>
    </row>
    <row r="201" spans="14:21">
      <c r="N201" s="407">
        <v>170</v>
      </c>
      <c r="O201" s="407">
        <v>200.72402411298279</v>
      </c>
      <c r="S201" s="455"/>
    </row>
    <row r="202" spans="14:21">
      <c r="N202" s="407">
        <v>171</v>
      </c>
      <c r="O202" s="407">
        <v>277.65686216084794</v>
      </c>
      <c r="S202" s="455"/>
    </row>
    <row r="203" spans="14:21">
      <c r="N203" s="407">
        <v>172</v>
      </c>
      <c r="O203" s="407">
        <v>118.36836816676797</v>
      </c>
      <c r="S203" s="455"/>
    </row>
    <row r="204" spans="14:21">
      <c r="N204" s="407">
        <v>173</v>
      </c>
      <c r="O204" s="407">
        <v>200.55689385251856</v>
      </c>
      <c r="S204" s="455"/>
    </row>
    <row r="205" spans="14:21">
      <c r="N205" s="407">
        <v>174</v>
      </c>
      <c r="O205" s="407">
        <v>83.366015117543398</v>
      </c>
      <c r="S205" s="455"/>
      <c r="U205" s="455"/>
    </row>
    <row r="206" spans="14:21">
      <c r="N206" s="407">
        <v>175</v>
      </c>
      <c r="O206" s="407">
        <v>99.516810841391546</v>
      </c>
      <c r="S206" s="455"/>
      <c r="U206" s="455"/>
    </row>
    <row r="207" spans="14:21">
      <c r="N207" s="407">
        <v>176</v>
      </c>
      <c r="O207" s="407">
        <v>275.1979032194331</v>
      </c>
      <c r="S207" s="455"/>
      <c r="U207" s="455"/>
    </row>
    <row r="208" spans="14:21">
      <c r="N208" s="407">
        <v>177</v>
      </c>
      <c r="O208" s="407">
        <v>100.48227317038811</v>
      </c>
      <c r="S208" s="455"/>
      <c r="U208" s="455"/>
    </row>
    <row r="209" spans="14:21">
      <c r="N209" s="407">
        <v>178</v>
      </c>
      <c r="O209" s="407">
        <v>97.160841249416961</v>
      </c>
      <c r="S209" s="455"/>
      <c r="U209" s="455"/>
    </row>
    <row r="210" spans="14:21">
      <c r="N210" s="407">
        <v>179</v>
      </c>
      <c r="O210" s="407">
        <v>151.52684782245018</v>
      </c>
      <c r="S210" s="455"/>
      <c r="U210" s="455"/>
    </row>
    <row r="211" spans="14:21">
      <c r="N211" s="407">
        <v>180</v>
      </c>
      <c r="O211" s="407">
        <v>81.214949541329688</v>
      </c>
      <c r="S211" s="455"/>
      <c r="U211" s="455"/>
    </row>
    <row r="212" spans="14:21">
      <c r="N212" s="407">
        <v>181</v>
      </c>
      <c r="O212" s="407">
        <v>143.43940696347352</v>
      </c>
      <c r="S212" s="455"/>
      <c r="U212" s="455"/>
    </row>
    <row r="213" spans="14:21">
      <c r="N213" s="407">
        <v>182</v>
      </c>
      <c r="O213" s="407">
        <v>94.241678772812705</v>
      </c>
      <c r="S213" s="455"/>
      <c r="U213" s="455"/>
    </row>
    <row r="214" spans="14:21">
      <c r="N214" s="407">
        <v>183</v>
      </c>
      <c r="O214" s="407">
        <v>162.15192346775993</v>
      </c>
      <c r="S214" s="455"/>
      <c r="U214" s="455"/>
    </row>
    <row r="215" spans="14:21">
      <c r="N215" s="407">
        <v>184</v>
      </c>
      <c r="O215" s="407">
        <v>135.7720296028227</v>
      </c>
      <c r="S215" s="455"/>
      <c r="U215" s="455"/>
    </row>
    <row r="216" spans="14:21">
      <c r="N216" s="407">
        <v>185</v>
      </c>
      <c r="O216" s="407">
        <v>601.80023491685984</v>
      </c>
      <c r="S216" s="455"/>
      <c r="U216" s="455"/>
    </row>
    <row r="217" spans="14:21">
      <c r="N217" s="407">
        <v>186</v>
      </c>
      <c r="O217" s="407">
        <v>138.36319177482039</v>
      </c>
      <c r="S217" s="455"/>
      <c r="U217" s="455"/>
    </row>
    <row r="218" spans="14:21">
      <c r="N218" s="407">
        <v>187</v>
      </c>
      <c r="O218" s="407">
        <v>227.40163026497331</v>
      </c>
      <c r="S218" s="455"/>
      <c r="U218" s="455"/>
    </row>
    <row r="219" spans="14:21">
      <c r="N219" s="407">
        <v>188</v>
      </c>
      <c r="O219" s="407">
        <v>110.09182006784893</v>
      </c>
      <c r="S219" s="455"/>
      <c r="U219" s="455"/>
    </row>
    <row r="220" spans="14:21">
      <c r="N220" s="407">
        <v>189</v>
      </c>
      <c r="O220" s="407">
        <v>127.01875877686031</v>
      </c>
      <c r="S220" s="455"/>
      <c r="U220" s="455"/>
    </row>
    <row r="221" spans="14:21">
      <c r="N221" s="407">
        <v>190</v>
      </c>
      <c r="O221" s="407">
        <v>154.36015683591032</v>
      </c>
      <c r="S221" s="455"/>
      <c r="U221" s="455"/>
    </row>
    <row r="222" spans="14:21">
      <c r="N222" s="407">
        <v>191</v>
      </c>
      <c r="O222" s="407">
        <v>162.15580825733568</v>
      </c>
      <c r="S222" s="455"/>
      <c r="U222" s="455"/>
    </row>
    <row r="223" spans="14:21">
      <c r="N223" s="407">
        <v>192</v>
      </c>
      <c r="O223" s="407">
        <v>136.70239857909792</v>
      </c>
      <c r="S223" s="455"/>
      <c r="U223" s="455"/>
    </row>
    <row r="224" spans="14:21">
      <c r="N224" s="407">
        <v>193</v>
      </c>
      <c r="O224" s="407">
        <v>152.49218285926921</v>
      </c>
      <c r="S224" s="455"/>
      <c r="U224" s="455"/>
    </row>
    <row r="225" spans="14:21">
      <c r="N225" s="407">
        <v>194</v>
      </c>
      <c r="O225" s="407">
        <v>171.06893104211039</v>
      </c>
      <c r="S225" s="455"/>
      <c r="U225" s="455"/>
    </row>
    <row r="226" spans="14:21">
      <c r="N226" s="407">
        <v>195</v>
      </c>
      <c r="O226" s="407">
        <v>136.79103932826331</v>
      </c>
      <c r="S226" s="455"/>
      <c r="U226" s="455"/>
    </row>
    <row r="227" spans="14:21">
      <c r="N227" s="407">
        <v>196</v>
      </c>
      <c r="O227" s="407">
        <v>127.00471202184183</v>
      </c>
      <c r="S227" s="455"/>
      <c r="U227" s="455"/>
    </row>
    <row r="228" spans="14:21">
      <c r="N228" s="407">
        <v>197</v>
      </c>
      <c r="O228" s="407">
        <v>178.71369172778955</v>
      </c>
      <c r="S228" s="455"/>
      <c r="U228" s="455"/>
    </row>
    <row r="229" spans="14:21">
      <c r="N229" s="407">
        <v>198</v>
      </c>
      <c r="O229" s="407">
        <v>116.36035859004272</v>
      </c>
      <c r="S229" s="455"/>
      <c r="U229" s="455"/>
    </row>
    <row r="230" spans="14:21">
      <c r="N230" s="407">
        <v>199</v>
      </c>
      <c r="O230" s="407">
        <v>176.48195887157263</v>
      </c>
      <c r="S230" s="455"/>
      <c r="U230" s="455"/>
    </row>
    <row r="231" spans="14:21">
      <c r="N231" s="407">
        <v>200</v>
      </c>
      <c r="O231" s="407">
        <v>205.00974380938436</v>
      </c>
      <c r="S231" s="455"/>
      <c r="U231" s="455"/>
    </row>
    <row r="232" spans="14:21">
      <c r="N232" s="407">
        <v>201</v>
      </c>
      <c r="O232" s="407">
        <v>127.94043617429644</v>
      </c>
      <c r="S232" s="455"/>
      <c r="U232" s="455"/>
    </row>
    <row r="233" spans="14:21">
      <c r="N233" s="407">
        <v>202</v>
      </c>
      <c r="O233" s="407">
        <v>172.73073006691791</v>
      </c>
      <c r="S233" s="455"/>
      <c r="U233" s="455"/>
    </row>
    <row r="234" spans="14:21">
      <c r="N234" s="407">
        <v>203</v>
      </c>
      <c r="O234" s="407">
        <v>163.56586207705706</v>
      </c>
      <c r="S234" s="455"/>
      <c r="U234" s="455"/>
    </row>
    <row r="235" spans="14:21">
      <c r="N235" s="407">
        <v>204</v>
      </c>
      <c r="O235" s="407">
        <v>230.42648067493772</v>
      </c>
      <c r="S235" s="455"/>
      <c r="U235" s="455"/>
    </row>
    <row r="236" spans="14:21">
      <c r="N236" s="407">
        <v>205</v>
      </c>
      <c r="O236" s="407">
        <v>101.50304642416485</v>
      </c>
      <c r="S236" s="455"/>
      <c r="U236" s="455"/>
    </row>
    <row r="237" spans="14:21">
      <c r="N237" s="407">
        <v>206</v>
      </c>
      <c r="O237" s="407">
        <v>123.52350636493448</v>
      </c>
      <c r="S237" s="455"/>
      <c r="U237" s="455"/>
    </row>
    <row r="238" spans="14:21">
      <c r="N238" s="407">
        <v>207</v>
      </c>
      <c r="O238" s="407">
        <v>130.00901117224299</v>
      </c>
      <c r="S238" s="455"/>
      <c r="U238" s="455"/>
    </row>
    <row r="239" spans="14:21">
      <c r="N239" s="407">
        <v>208</v>
      </c>
      <c r="O239" s="407">
        <v>113.66607252988531</v>
      </c>
      <c r="S239" s="455"/>
      <c r="U239" s="455"/>
    </row>
    <row r="240" spans="14:21">
      <c r="N240" s="407">
        <v>209</v>
      </c>
      <c r="O240" s="407">
        <v>126.18721497018255</v>
      </c>
      <c r="S240" s="455"/>
      <c r="U240" s="455"/>
    </row>
    <row r="241" spans="14:21">
      <c r="N241" s="407">
        <v>210</v>
      </c>
      <c r="O241" s="407">
        <v>133.37781506722385</v>
      </c>
      <c r="S241" s="455"/>
      <c r="U241" s="455"/>
    </row>
    <row r="242" spans="14:21">
      <c r="N242" s="407">
        <v>211</v>
      </c>
      <c r="O242" s="407">
        <v>394.81084815113218</v>
      </c>
      <c r="S242" s="455"/>
      <c r="U242" s="455"/>
    </row>
    <row r="243" spans="14:21">
      <c r="N243" s="407">
        <v>212</v>
      </c>
      <c r="O243" s="407">
        <v>240.38807067367682</v>
      </c>
      <c r="S243" s="455"/>
      <c r="U243" s="455"/>
    </row>
    <row r="244" spans="14:21">
      <c r="N244" s="407">
        <v>213</v>
      </c>
      <c r="O244" s="407">
        <v>196.25520648592479</v>
      </c>
      <c r="S244" s="455"/>
      <c r="U244" s="455"/>
    </row>
    <row r="245" spans="14:21">
      <c r="N245" s="407">
        <v>214</v>
      </c>
      <c r="O245" s="407">
        <v>141.26029841021386</v>
      </c>
      <c r="S245" s="455"/>
      <c r="U245" s="455"/>
    </row>
    <row r="246" spans="14:21">
      <c r="N246" s="407">
        <v>215</v>
      </c>
      <c r="O246" s="407">
        <v>119.81084009262258</v>
      </c>
      <c r="S246" s="455"/>
      <c r="U246" s="455"/>
    </row>
    <row r="247" spans="14:21">
      <c r="N247" s="407">
        <v>216</v>
      </c>
      <c r="O247" s="407">
        <v>121.92614985359462</v>
      </c>
      <c r="S247" s="455"/>
      <c r="U247" s="455"/>
    </row>
    <row r="248" spans="14:21">
      <c r="N248" s="407">
        <v>217</v>
      </c>
      <c r="O248" s="407">
        <v>511.03516495374379</v>
      </c>
      <c r="S248" s="455"/>
      <c r="U248" s="455"/>
    </row>
    <row r="249" spans="14:21">
      <c r="N249" s="407">
        <v>218</v>
      </c>
      <c r="O249" s="407">
        <v>147.11003879435094</v>
      </c>
      <c r="S249" s="455"/>
      <c r="U249" s="455"/>
    </row>
    <row r="250" spans="14:21">
      <c r="N250" s="407">
        <v>219</v>
      </c>
      <c r="O250" s="407">
        <v>263.85791682957068</v>
      </c>
      <c r="S250" s="455"/>
      <c r="U250" s="455"/>
    </row>
    <row r="251" spans="14:21">
      <c r="N251" s="407">
        <v>220</v>
      </c>
      <c r="O251" s="407">
        <v>188.81916597606147</v>
      </c>
      <c r="S251" s="455"/>
      <c r="U251" s="455"/>
    </row>
    <row r="252" spans="14:21">
      <c r="N252" s="407">
        <v>221</v>
      </c>
      <c r="O252" s="407">
        <v>106.87292959359802</v>
      </c>
      <c r="S252" s="455"/>
      <c r="U252" s="455"/>
    </row>
    <row r="253" spans="14:21">
      <c r="N253" s="407">
        <v>222</v>
      </c>
      <c r="O253" s="407">
        <v>119.00971603039093</v>
      </c>
      <c r="S253" s="455"/>
      <c r="U253" s="455"/>
    </row>
    <row r="254" spans="14:21">
      <c r="N254" s="407">
        <v>223</v>
      </c>
      <c r="O254" s="407">
        <v>119.42327065493637</v>
      </c>
      <c r="S254" s="455"/>
      <c r="U254" s="455"/>
    </row>
    <row r="255" spans="14:21">
      <c r="N255" s="407">
        <v>224</v>
      </c>
      <c r="O255" s="407">
        <v>139.4153133837473</v>
      </c>
      <c r="S255" s="455"/>
      <c r="U255" s="455"/>
    </row>
    <row r="256" spans="14:21">
      <c r="N256" s="407">
        <v>225</v>
      </c>
      <c r="O256" s="407">
        <v>146.47555590145313</v>
      </c>
      <c r="S256" s="455"/>
      <c r="U256" s="455"/>
    </row>
    <row r="257" spans="14:21">
      <c r="N257" s="407">
        <v>226</v>
      </c>
      <c r="O257" s="407">
        <v>276.50181919900285</v>
      </c>
      <c r="S257" s="455"/>
      <c r="U257" s="455"/>
    </row>
    <row r="258" spans="14:21">
      <c r="N258" s="407">
        <v>227</v>
      </c>
      <c r="O258" s="407">
        <v>104.33380691553312</v>
      </c>
      <c r="S258" s="455"/>
      <c r="U258" s="455"/>
    </row>
    <row r="259" spans="14:21">
      <c r="N259" s="407">
        <v>228</v>
      </c>
      <c r="O259" s="407">
        <v>138.48347256072967</v>
      </c>
      <c r="S259" s="455"/>
      <c r="U259" s="455"/>
    </row>
    <row r="260" spans="14:21">
      <c r="N260" s="407">
        <v>229</v>
      </c>
      <c r="O260" s="407">
        <v>115.80389427380078</v>
      </c>
      <c r="S260" s="455"/>
      <c r="U260" s="455"/>
    </row>
    <row r="261" spans="14:21">
      <c r="N261" s="407">
        <v>230</v>
      </c>
      <c r="O261" s="407">
        <v>126.85834947527519</v>
      </c>
      <c r="S261" s="455"/>
      <c r="U261" s="455"/>
    </row>
    <row r="262" spans="14:21">
      <c r="N262" s="407">
        <v>231</v>
      </c>
      <c r="O262" s="407">
        <v>172.97324942499213</v>
      </c>
      <c r="S262" s="455"/>
      <c r="U262" s="455"/>
    </row>
    <row r="263" spans="14:21">
      <c r="N263" s="407">
        <v>232</v>
      </c>
      <c r="O263" s="407">
        <v>201.24891916413236</v>
      </c>
      <c r="S263" s="455"/>
      <c r="U263" s="455"/>
    </row>
    <row r="264" spans="14:21">
      <c r="N264" s="407">
        <v>233</v>
      </c>
      <c r="O264" s="407">
        <v>114.19810912844352</v>
      </c>
      <c r="S264" s="455"/>
      <c r="U264" s="455"/>
    </row>
    <row r="265" spans="14:21">
      <c r="N265" s="407">
        <v>234</v>
      </c>
      <c r="O265" s="407">
        <v>182.80427036705149</v>
      </c>
      <c r="S265" s="455"/>
      <c r="U265" s="455"/>
    </row>
    <row r="266" spans="14:21">
      <c r="N266" s="407">
        <v>235</v>
      </c>
      <c r="O266" s="407">
        <v>134.37334015329856</v>
      </c>
      <c r="S266" s="455"/>
      <c r="U266" s="455"/>
    </row>
    <row r="267" spans="14:21">
      <c r="N267" s="407">
        <v>236</v>
      </c>
      <c r="O267" s="407">
        <v>175.30249433500802</v>
      </c>
      <c r="S267" s="455"/>
      <c r="U267" s="455"/>
    </row>
    <row r="268" spans="14:21">
      <c r="N268" s="407">
        <v>237</v>
      </c>
      <c r="O268" s="407">
        <v>143.63946351706269</v>
      </c>
      <c r="S268" s="455"/>
      <c r="U268" s="455"/>
    </row>
    <row r="269" spans="14:21">
      <c r="N269" s="407">
        <v>238</v>
      </c>
      <c r="O269" s="407">
        <v>105.03605393905802</v>
      </c>
      <c r="S269" s="455"/>
      <c r="U269" s="455"/>
    </row>
    <row r="270" spans="14:21">
      <c r="N270" s="407">
        <v>239</v>
      </c>
      <c r="O270" s="407">
        <v>150.61599838648991</v>
      </c>
      <c r="S270" s="455"/>
      <c r="U270" s="455"/>
    </row>
    <row r="271" spans="14:21">
      <c r="N271" s="407">
        <v>240</v>
      </c>
      <c r="O271" s="407">
        <v>141.06968306481215</v>
      </c>
      <c r="S271" s="455"/>
      <c r="U271" s="455"/>
    </row>
    <row r="272" spans="14:21">
      <c r="N272" s="407">
        <v>241</v>
      </c>
      <c r="O272" s="407">
        <v>149.09108944911478</v>
      </c>
      <c r="S272" s="455"/>
      <c r="U272" s="455"/>
    </row>
    <row r="273" spans="14:21">
      <c r="N273" s="407">
        <v>242</v>
      </c>
      <c r="O273" s="407">
        <v>180.54707547967317</v>
      </c>
      <c r="S273" s="455"/>
      <c r="U273" s="455"/>
    </row>
    <row r="274" spans="14:21">
      <c r="N274" s="407">
        <v>243</v>
      </c>
      <c r="O274" s="407">
        <v>102.46313618683941</v>
      </c>
      <c r="S274" s="455"/>
      <c r="U274" s="455"/>
    </row>
    <row r="275" spans="14:21">
      <c r="N275" s="407">
        <v>244</v>
      </c>
      <c r="O275" s="407">
        <v>153.71033413751408</v>
      </c>
      <c r="S275" s="455"/>
      <c r="U275" s="455"/>
    </row>
    <row r="276" spans="14:21">
      <c r="N276" s="407">
        <v>245</v>
      </c>
      <c r="O276" s="407">
        <v>190.49811265559075</v>
      </c>
      <c r="S276" s="455"/>
      <c r="U276" s="455"/>
    </row>
    <row r="277" spans="14:21">
      <c r="N277" s="407">
        <v>246</v>
      </c>
      <c r="O277" s="407">
        <v>154.42705693345553</v>
      </c>
      <c r="S277" s="455"/>
      <c r="U277" s="455"/>
    </row>
    <row r="278" spans="14:21">
      <c r="N278" s="407">
        <v>247</v>
      </c>
      <c r="O278" s="407">
        <v>123.11228248638649</v>
      </c>
      <c r="S278" s="455"/>
      <c r="U278" s="455"/>
    </row>
    <row r="279" spans="14:21">
      <c r="N279" s="407">
        <v>248</v>
      </c>
      <c r="O279" s="407">
        <v>167.75236519978759</v>
      </c>
      <c r="S279" s="455"/>
      <c r="U279" s="455"/>
    </row>
    <row r="280" spans="14:21">
      <c r="N280" s="407">
        <v>249</v>
      </c>
      <c r="O280" s="407">
        <v>135.92886752630847</v>
      </c>
      <c r="S280" s="455"/>
      <c r="U280" s="455"/>
    </row>
    <row r="281" spans="14:21">
      <c r="N281" s="407">
        <v>250</v>
      </c>
      <c r="O281" s="407">
        <v>89.179438852411906</v>
      </c>
      <c r="S281" s="455"/>
      <c r="U281" s="455"/>
    </row>
    <row r="282" spans="14:21">
      <c r="N282" s="407">
        <v>251</v>
      </c>
      <c r="O282" s="407">
        <v>139.21505804510682</v>
      </c>
      <c r="S282" s="455"/>
      <c r="U282" s="455"/>
    </row>
    <row r="283" spans="14:21">
      <c r="N283" s="407">
        <v>252</v>
      </c>
      <c r="O283" s="407">
        <v>151.37347419565029</v>
      </c>
      <c r="S283" s="455"/>
      <c r="U283" s="455"/>
    </row>
    <row r="284" spans="14:21">
      <c r="N284" s="407">
        <v>253</v>
      </c>
      <c r="O284" s="407">
        <v>177.03954440633436</v>
      </c>
      <c r="S284" s="455"/>
      <c r="U284" s="455"/>
    </row>
    <row r="285" spans="14:21">
      <c r="N285" s="407">
        <v>254</v>
      </c>
      <c r="O285" s="407">
        <v>93.057150365437579</v>
      </c>
      <c r="S285" s="455"/>
      <c r="U285" s="455"/>
    </row>
    <row r="286" spans="14:21">
      <c r="N286" s="407">
        <v>255</v>
      </c>
      <c r="O286" s="407">
        <v>197.47284053556291</v>
      </c>
      <c r="S286" s="455"/>
      <c r="U286" s="455"/>
    </row>
    <row r="287" spans="14:21">
      <c r="N287" s="407">
        <v>256</v>
      </c>
      <c r="O287" s="407">
        <v>141.51883557581465</v>
      </c>
      <c r="S287" s="455"/>
      <c r="U287" s="455"/>
    </row>
    <row r="288" spans="14:21">
      <c r="N288" s="407">
        <v>257</v>
      </c>
      <c r="O288" s="407">
        <v>154.36609818874317</v>
      </c>
      <c r="S288" s="455"/>
      <c r="U288" s="455"/>
    </row>
    <row r="289" spans="14:21">
      <c r="N289" s="407">
        <v>258</v>
      </c>
      <c r="O289" s="407">
        <v>124.86878486177058</v>
      </c>
      <c r="S289" s="455"/>
      <c r="U289" s="455"/>
    </row>
    <row r="290" spans="14:21">
      <c r="N290" s="407">
        <v>259</v>
      </c>
      <c r="O290" s="407">
        <v>120.94007247692049</v>
      </c>
      <c r="S290" s="455"/>
      <c r="U290" s="455"/>
    </row>
    <row r="291" spans="14:21">
      <c r="N291" s="407">
        <v>260</v>
      </c>
      <c r="O291" s="407">
        <v>314.50979092672185</v>
      </c>
      <c r="S291" s="455"/>
      <c r="U291" s="455"/>
    </row>
    <row r="292" spans="14:21">
      <c r="N292" s="407">
        <v>261</v>
      </c>
      <c r="O292" s="407">
        <v>104.62222078323981</v>
      </c>
      <c r="S292" s="455"/>
      <c r="U292" s="455"/>
    </row>
    <row r="293" spans="14:21">
      <c r="N293" s="407">
        <v>262</v>
      </c>
      <c r="O293" s="407">
        <v>210.89873581537904</v>
      </c>
      <c r="S293" s="455"/>
      <c r="U293" s="455"/>
    </row>
    <row r="294" spans="14:21">
      <c r="N294" s="407">
        <v>263</v>
      </c>
      <c r="O294" s="407">
        <v>135.2345614830781</v>
      </c>
      <c r="S294" s="455"/>
      <c r="U294" s="455"/>
    </row>
    <row r="295" spans="14:21">
      <c r="N295" s="407">
        <v>264</v>
      </c>
      <c r="O295" s="407">
        <v>177.65506341389471</v>
      </c>
      <c r="S295" s="455"/>
      <c r="U295" s="455"/>
    </row>
    <row r="296" spans="14:21">
      <c r="N296" s="407">
        <v>265</v>
      </c>
      <c r="O296" s="407">
        <v>142.15945870291412</v>
      </c>
      <c r="S296" s="455"/>
      <c r="U296" s="455"/>
    </row>
    <row r="297" spans="14:21">
      <c r="N297" s="407">
        <v>266</v>
      </c>
      <c r="O297" s="407">
        <v>370.92831432775324</v>
      </c>
      <c r="S297" s="455"/>
      <c r="U297" s="455"/>
    </row>
    <row r="298" spans="14:21">
      <c r="N298" s="407">
        <v>267</v>
      </c>
      <c r="O298" s="407">
        <v>204.61270024380414</v>
      </c>
      <c r="S298" s="455"/>
      <c r="U298" s="455"/>
    </row>
    <row r="299" spans="14:21">
      <c r="N299" s="407">
        <v>268</v>
      </c>
      <c r="O299" s="407">
        <v>114.65659545271228</v>
      </c>
      <c r="S299" s="455"/>
      <c r="U299" s="455"/>
    </row>
    <row r="300" spans="14:21">
      <c r="N300" s="407">
        <v>269</v>
      </c>
      <c r="O300" s="407">
        <v>216.86024026206755</v>
      </c>
      <c r="S300" s="455"/>
      <c r="U300" s="455"/>
    </row>
    <row r="301" spans="14:21">
      <c r="N301" s="407">
        <v>270</v>
      </c>
      <c r="O301" s="407">
        <v>83.839555730587449</v>
      </c>
      <c r="S301" s="455"/>
      <c r="U301" s="455"/>
    </row>
    <row r="302" spans="14:21">
      <c r="N302" s="407">
        <v>271</v>
      </c>
      <c r="O302" s="407">
        <v>165.94559813456044</v>
      </c>
      <c r="S302" s="455"/>
      <c r="U302" s="455"/>
    </row>
    <row r="303" spans="14:21">
      <c r="N303" s="407">
        <v>272</v>
      </c>
      <c r="O303" s="407">
        <v>146.60064240106161</v>
      </c>
      <c r="S303" s="455"/>
      <c r="U303" s="455"/>
    </row>
    <row r="304" spans="14:21">
      <c r="N304" s="407">
        <v>273</v>
      </c>
      <c r="O304" s="407">
        <v>226.1715531620944</v>
      </c>
      <c r="S304" s="455"/>
      <c r="U304" s="455"/>
    </row>
    <row r="305" spans="14:21">
      <c r="N305" s="407">
        <v>274</v>
      </c>
      <c r="O305" s="407">
        <v>94.449576458828375</v>
      </c>
      <c r="S305" s="455"/>
      <c r="U305" s="455"/>
    </row>
    <row r="306" spans="14:21">
      <c r="N306" s="407">
        <v>275</v>
      </c>
      <c r="O306" s="407">
        <v>122.9753923712739</v>
      </c>
      <c r="S306" s="455"/>
      <c r="U306" s="455"/>
    </row>
    <row r="307" spans="14:21">
      <c r="N307" s="407">
        <v>276</v>
      </c>
      <c r="O307" s="407">
        <v>101.97690175473934</v>
      </c>
      <c r="S307" s="455"/>
      <c r="U307" s="455"/>
    </row>
    <row r="308" spans="14:21">
      <c r="N308" s="407">
        <v>277</v>
      </c>
      <c r="O308" s="407">
        <v>146.09346221729149</v>
      </c>
      <c r="S308" s="455"/>
      <c r="U308" s="455"/>
    </row>
    <row r="309" spans="14:21">
      <c r="N309" s="407">
        <v>278</v>
      </c>
      <c r="O309" s="407">
        <v>221.49136616498848</v>
      </c>
      <c r="S309" s="455"/>
      <c r="U309" s="455"/>
    </row>
    <row r="310" spans="14:21">
      <c r="N310" s="407">
        <v>279</v>
      </c>
      <c r="O310" s="407">
        <v>296.94303099197128</v>
      </c>
      <c r="S310" s="455"/>
      <c r="U310" s="455"/>
    </row>
    <row r="311" spans="14:21">
      <c r="N311" s="407">
        <v>280</v>
      </c>
      <c r="O311" s="407">
        <v>175.11191283346628</v>
      </c>
      <c r="S311" s="455"/>
      <c r="U311" s="455"/>
    </row>
    <row r="312" spans="14:21">
      <c r="N312" s="407">
        <v>281</v>
      </c>
      <c r="O312" s="407">
        <v>93.810518822228005</v>
      </c>
      <c r="S312" s="455"/>
      <c r="U312" s="455"/>
    </row>
    <row r="313" spans="14:21">
      <c r="N313" s="407">
        <v>282</v>
      </c>
      <c r="O313" s="407">
        <v>96.038343766387143</v>
      </c>
      <c r="S313" s="455"/>
      <c r="U313" s="455"/>
    </row>
    <row r="314" spans="14:21">
      <c r="N314" s="407">
        <v>283</v>
      </c>
      <c r="O314" s="407">
        <v>123.06076644328654</v>
      </c>
      <c r="S314" s="455"/>
      <c r="U314" s="455"/>
    </row>
    <row r="315" spans="14:21">
      <c r="N315" s="407">
        <v>284</v>
      </c>
      <c r="O315" s="407">
        <v>75.126671181744157</v>
      </c>
      <c r="S315" s="455"/>
      <c r="U315" s="455"/>
    </row>
    <row r="316" spans="14:21">
      <c r="N316" s="407">
        <v>285</v>
      </c>
      <c r="O316" s="407">
        <v>125.0529749981953</v>
      </c>
      <c r="S316" s="455"/>
      <c r="U316" s="455"/>
    </row>
    <row r="317" spans="14:21">
      <c r="N317" s="407">
        <v>286</v>
      </c>
      <c r="O317" s="407">
        <v>283.94437877857064</v>
      </c>
      <c r="U317" s="455"/>
    </row>
    <row r="318" spans="14:21">
      <c r="N318" s="407">
        <v>287</v>
      </c>
      <c r="O318" s="407">
        <v>111.80950044329965</v>
      </c>
      <c r="U318" s="455"/>
    </row>
    <row r="319" spans="14:21">
      <c r="N319" s="407">
        <v>288</v>
      </c>
      <c r="O319" s="407">
        <v>211.99625397777621</v>
      </c>
      <c r="U319" s="455"/>
    </row>
    <row r="320" spans="14:21">
      <c r="N320" s="407">
        <v>289</v>
      </c>
      <c r="O320" s="407">
        <v>92.415200274736847</v>
      </c>
      <c r="U320" s="455"/>
    </row>
    <row r="321" spans="14:21">
      <c r="N321" s="407">
        <v>290</v>
      </c>
      <c r="O321" s="407">
        <v>88.139846563506609</v>
      </c>
      <c r="U321" s="455"/>
    </row>
    <row r="322" spans="14:21">
      <c r="N322" s="407">
        <v>291</v>
      </c>
      <c r="O322" s="407">
        <v>171.59804760588813</v>
      </c>
      <c r="U322" s="455"/>
    </row>
    <row r="323" spans="14:21">
      <c r="N323" s="407">
        <v>292</v>
      </c>
      <c r="O323" s="407">
        <v>1067.7920737609847</v>
      </c>
      <c r="U323" s="455"/>
    </row>
    <row r="324" spans="14:21">
      <c r="N324" s="407">
        <v>293</v>
      </c>
      <c r="O324" s="407">
        <v>124.07421423629692</v>
      </c>
      <c r="U324" s="455"/>
    </row>
    <row r="325" spans="14:21">
      <c r="N325" s="407">
        <v>294</v>
      </c>
      <c r="O325" s="407">
        <v>166.2438979008862</v>
      </c>
      <c r="U325" s="455"/>
    </row>
    <row r="326" spans="14:21">
      <c r="N326" s="407">
        <v>295</v>
      </c>
      <c r="O326" s="407">
        <v>174.33358347758204</v>
      </c>
      <c r="U326" s="455"/>
    </row>
    <row r="327" spans="14:21">
      <c r="N327" s="407">
        <v>296</v>
      </c>
      <c r="O327" s="407">
        <v>175.23206550882816</v>
      </c>
      <c r="U327" s="455"/>
    </row>
    <row r="328" spans="14:21">
      <c r="N328" s="407">
        <v>297</v>
      </c>
      <c r="O328" s="407">
        <v>75.989547264588239</v>
      </c>
      <c r="U328" s="455"/>
    </row>
    <row r="329" spans="14:21">
      <c r="N329" s="407">
        <v>298</v>
      </c>
      <c r="O329" s="407">
        <v>132.07451235753584</v>
      </c>
      <c r="U329" s="455"/>
    </row>
    <row r="330" spans="14:21">
      <c r="N330" s="407">
        <v>299</v>
      </c>
      <c r="O330" s="407">
        <v>128.5042760906623</v>
      </c>
      <c r="U330" s="455"/>
    </row>
    <row r="331" spans="14:21">
      <c r="N331" s="407">
        <v>300</v>
      </c>
      <c r="O331" s="407">
        <v>143.36042966346574</v>
      </c>
      <c r="U331" s="455"/>
    </row>
    <row r="332" spans="14:21">
      <c r="N332" s="407">
        <v>301</v>
      </c>
      <c r="O332" s="407">
        <v>131.90144129341581</v>
      </c>
      <c r="U332" s="455"/>
    </row>
    <row r="333" spans="14:21">
      <c r="N333" s="407">
        <v>302</v>
      </c>
      <c r="O333" s="407">
        <v>108.9379418297659</v>
      </c>
      <c r="U333" s="455"/>
    </row>
    <row r="334" spans="14:21">
      <c r="N334" s="407">
        <v>303</v>
      </c>
      <c r="O334" s="407">
        <v>106.96484647558937</v>
      </c>
      <c r="U334" s="455"/>
    </row>
    <row r="335" spans="14:21">
      <c r="N335" s="407">
        <v>304</v>
      </c>
      <c r="O335" s="407">
        <v>111.85666739694126</v>
      </c>
      <c r="U335" s="455"/>
    </row>
    <row r="336" spans="14:21">
      <c r="N336" s="407">
        <v>305</v>
      </c>
      <c r="O336" s="407">
        <v>112.03372108386911</v>
      </c>
      <c r="U336" s="455"/>
    </row>
    <row r="337" spans="14:21">
      <c r="N337" s="407">
        <v>306</v>
      </c>
      <c r="O337" s="407">
        <v>85.068348759804053</v>
      </c>
      <c r="U337" s="455"/>
    </row>
    <row r="338" spans="14:21">
      <c r="N338" s="407">
        <v>307</v>
      </c>
      <c r="O338" s="407">
        <v>188.72757213184954</v>
      </c>
      <c r="U338" s="455"/>
    </row>
    <row r="339" spans="14:21">
      <c r="N339" s="407">
        <v>308</v>
      </c>
      <c r="O339" s="407">
        <v>163.1692849808577</v>
      </c>
      <c r="U339" s="455"/>
    </row>
    <row r="340" spans="14:21">
      <c r="N340" s="407">
        <v>309</v>
      </c>
      <c r="O340" s="407">
        <v>214.89658590446186</v>
      </c>
      <c r="U340" s="455"/>
    </row>
    <row r="341" spans="14:21">
      <c r="N341" s="407">
        <v>310</v>
      </c>
      <c r="O341" s="407">
        <v>84.57303589503114</v>
      </c>
      <c r="U341" s="455"/>
    </row>
    <row r="342" spans="14:21">
      <c r="N342" s="407">
        <v>311</v>
      </c>
      <c r="O342" s="407">
        <v>116.23628066935092</v>
      </c>
      <c r="U342" s="455"/>
    </row>
    <row r="343" spans="14:21">
      <c r="N343" s="407">
        <v>312</v>
      </c>
      <c r="O343" s="407">
        <v>99.505941664338494</v>
      </c>
      <c r="U343" s="455"/>
    </row>
    <row r="344" spans="14:21">
      <c r="N344" s="407">
        <v>313</v>
      </c>
      <c r="O344" s="407">
        <v>144.45835693821357</v>
      </c>
      <c r="U344" s="455"/>
    </row>
    <row r="345" spans="14:21">
      <c r="N345" s="407">
        <v>314</v>
      </c>
      <c r="O345" s="407">
        <v>110.22873589514685</v>
      </c>
      <c r="U345" s="455"/>
    </row>
    <row r="346" spans="14:21">
      <c r="N346" s="407">
        <v>315</v>
      </c>
      <c r="O346" s="407">
        <v>200.61185547996394</v>
      </c>
      <c r="U346" s="455"/>
    </row>
    <row r="347" spans="14:21">
      <c r="N347" s="407">
        <v>316</v>
      </c>
      <c r="O347" s="407">
        <v>217.53116835501601</v>
      </c>
      <c r="U347" s="455"/>
    </row>
    <row r="348" spans="14:21">
      <c r="N348" s="407">
        <v>317</v>
      </c>
      <c r="O348" s="407">
        <v>170.88399815636663</v>
      </c>
      <c r="U348" s="455"/>
    </row>
    <row r="349" spans="14:21">
      <c r="N349" s="407">
        <v>318</v>
      </c>
      <c r="O349" s="407">
        <v>192.35538457506664</v>
      </c>
      <c r="U349" s="455"/>
    </row>
    <row r="350" spans="14:21">
      <c r="N350" s="407">
        <v>319</v>
      </c>
      <c r="O350" s="407">
        <v>142.94865580676301</v>
      </c>
      <c r="U350" s="455"/>
    </row>
    <row r="351" spans="14:21">
      <c r="N351" s="407">
        <v>320</v>
      </c>
      <c r="O351" s="407">
        <v>70.81157623375374</v>
      </c>
      <c r="U351" s="455"/>
    </row>
    <row r="352" spans="14:21">
      <c r="N352" s="407">
        <v>321</v>
      </c>
      <c r="O352" s="407">
        <v>154.7464947768411</v>
      </c>
      <c r="U352" s="455"/>
    </row>
    <row r="353" spans="14:21">
      <c r="N353" s="407">
        <v>322</v>
      </c>
      <c r="O353" s="407">
        <v>287.48097298522549</v>
      </c>
      <c r="U353" s="455"/>
    </row>
    <row r="354" spans="14:21">
      <c r="N354" s="407">
        <v>323</v>
      </c>
      <c r="O354" s="407">
        <v>97.620094091200443</v>
      </c>
      <c r="U354" s="455"/>
    </row>
    <row r="355" spans="14:21">
      <c r="N355" s="407">
        <v>324</v>
      </c>
      <c r="O355" s="407">
        <v>121.56846780969363</v>
      </c>
      <c r="U355" s="455"/>
    </row>
    <row r="356" spans="14:21">
      <c r="N356" s="407">
        <v>325</v>
      </c>
      <c r="O356" s="407">
        <v>143.85008559739441</v>
      </c>
      <c r="U356" s="455"/>
    </row>
    <row r="357" spans="14:21">
      <c r="N357" s="407">
        <v>326</v>
      </c>
      <c r="O357" s="407">
        <v>172.38730968737607</v>
      </c>
      <c r="U357" s="455"/>
    </row>
    <row r="358" spans="14:21">
      <c r="N358" s="407">
        <v>327</v>
      </c>
      <c r="O358" s="407">
        <v>96.316654267337782</v>
      </c>
      <c r="U358" s="455"/>
    </row>
    <row r="359" spans="14:21">
      <c r="N359" s="407">
        <v>328</v>
      </c>
      <c r="O359" s="407">
        <v>199.95024097521318</v>
      </c>
      <c r="U359" s="455"/>
    </row>
    <row r="360" spans="14:21">
      <c r="N360" s="407">
        <v>329</v>
      </c>
      <c r="O360" s="407">
        <v>168.16708083133994</v>
      </c>
      <c r="U360" s="455"/>
    </row>
    <row r="361" spans="14:21">
      <c r="N361" s="407">
        <v>330</v>
      </c>
      <c r="O361" s="407">
        <v>91.753413965563865</v>
      </c>
      <c r="U361" s="455"/>
    </row>
    <row r="362" spans="14:21">
      <c r="N362" s="407">
        <v>331</v>
      </c>
      <c r="O362" s="407">
        <v>191.46847547926316</v>
      </c>
      <c r="U362" s="455"/>
    </row>
    <row r="363" spans="14:21">
      <c r="N363" s="407">
        <v>332</v>
      </c>
      <c r="O363" s="407">
        <v>116.64315468112306</v>
      </c>
      <c r="U363" s="455"/>
    </row>
    <row r="364" spans="14:21">
      <c r="N364" s="407">
        <v>333</v>
      </c>
      <c r="O364" s="407">
        <v>162.33005501393527</v>
      </c>
      <c r="U364" s="455"/>
    </row>
    <row r="365" spans="14:21">
      <c r="N365" s="407">
        <v>334</v>
      </c>
      <c r="O365" s="407">
        <v>143.15316179208301</v>
      </c>
      <c r="U365" s="455"/>
    </row>
    <row r="366" spans="14:21">
      <c r="N366" s="407">
        <v>335</v>
      </c>
      <c r="O366" s="407">
        <v>144.52291409570964</v>
      </c>
      <c r="U366" s="455"/>
    </row>
    <row r="367" spans="14:21">
      <c r="N367" s="407">
        <v>336</v>
      </c>
      <c r="O367" s="407">
        <v>104.15733856151537</v>
      </c>
      <c r="U367" s="455"/>
    </row>
    <row r="368" spans="14:21">
      <c r="N368" s="407">
        <v>337</v>
      </c>
      <c r="O368" s="407">
        <v>99.687182073338747</v>
      </c>
      <c r="U368" s="455"/>
    </row>
    <row r="369" spans="14:21">
      <c r="N369" s="407">
        <v>338</v>
      </c>
      <c r="O369" s="407">
        <v>198.30224588605486</v>
      </c>
      <c r="U369" s="455"/>
    </row>
    <row r="370" spans="14:21">
      <c r="N370" s="407">
        <v>339</v>
      </c>
      <c r="O370" s="407">
        <v>215.21261055522751</v>
      </c>
      <c r="U370" s="455"/>
    </row>
    <row r="371" spans="14:21">
      <c r="N371" s="407">
        <v>340</v>
      </c>
      <c r="O371" s="407">
        <v>113.25625202988252</v>
      </c>
      <c r="U371" s="455"/>
    </row>
    <row r="372" spans="14:21">
      <c r="N372" s="407">
        <v>341</v>
      </c>
      <c r="O372" s="407">
        <v>142.51225465292322</v>
      </c>
      <c r="U372" s="455"/>
    </row>
    <row r="373" spans="14:21">
      <c r="N373" s="407">
        <v>342</v>
      </c>
      <c r="O373" s="407">
        <v>139.29213549113882</v>
      </c>
      <c r="U373" s="455"/>
    </row>
    <row r="374" spans="14:21">
      <c r="N374" s="407">
        <v>343</v>
      </c>
      <c r="O374" s="407">
        <v>196.48813927806998</v>
      </c>
      <c r="U374" s="455"/>
    </row>
    <row r="375" spans="14:21">
      <c r="N375" s="407">
        <v>344</v>
      </c>
      <c r="O375" s="407">
        <v>146.30626441316392</v>
      </c>
      <c r="U375" s="455"/>
    </row>
    <row r="376" spans="14:21">
      <c r="N376" s="407">
        <v>345</v>
      </c>
      <c r="O376" s="407">
        <v>117.66351058987074</v>
      </c>
      <c r="U376" s="455"/>
    </row>
    <row r="377" spans="14:21">
      <c r="N377" s="407">
        <v>346</v>
      </c>
      <c r="O377" s="407">
        <v>138.49022860641472</v>
      </c>
      <c r="U377" s="455"/>
    </row>
    <row r="378" spans="14:21">
      <c r="N378" s="407">
        <v>347</v>
      </c>
      <c r="O378" s="407">
        <v>98.855021682051316</v>
      </c>
      <c r="U378" s="455"/>
    </row>
    <row r="379" spans="14:21">
      <c r="N379" s="407">
        <v>348</v>
      </c>
      <c r="O379" s="407">
        <v>116.25264182287114</v>
      </c>
      <c r="U379" s="455"/>
    </row>
    <row r="380" spans="14:21">
      <c r="N380" s="407">
        <v>349</v>
      </c>
      <c r="O380" s="407">
        <v>114.87284681565083</v>
      </c>
      <c r="U380" s="455"/>
    </row>
    <row r="381" spans="14:21">
      <c r="N381" s="407">
        <v>350</v>
      </c>
      <c r="O381" s="407">
        <v>82.577114380631869</v>
      </c>
      <c r="U381" s="455"/>
    </row>
    <row r="382" spans="14:21">
      <c r="N382" s="407">
        <v>351</v>
      </c>
      <c r="O382" s="407">
        <v>74.956876766142685</v>
      </c>
      <c r="U382" s="455"/>
    </row>
    <row r="383" spans="14:21">
      <c r="N383" s="407">
        <v>352</v>
      </c>
      <c r="O383" s="407">
        <v>178.66033578567561</v>
      </c>
      <c r="U383" s="455"/>
    </row>
    <row r="384" spans="14:21">
      <c r="N384" s="407">
        <v>353</v>
      </c>
      <c r="O384" s="407">
        <v>82.78065807375765</v>
      </c>
      <c r="U384" s="455"/>
    </row>
    <row r="385" spans="14:21">
      <c r="N385" s="407">
        <v>354</v>
      </c>
      <c r="O385" s="407">
        <v>123.84596149064076</v>
      </c>
      <c r="U385" s="455"/>
    </row>
    <row r="386" spans="14:21">
      <c r="N386" s="407">
        <v>355</v>
      </c>
      <c r="O386" s="407">
        <v>77.521919216265388</v>
      </c>
      <c r="U386" s="455"/>
    </row>
    <row r="387" spans="14:21">
      <c r="N387" s="407">
        <v>356</v>
      </c>
      <c r="O387" s="407">
        <v>121.60078115574142</v>
      </c>
      <c r="U387" s="455"/>
    </row>
    <row r="388" spans="14:21">
      <c r="N388" s="407">
        <v>357</v>
      </c>
      <c r="O388" s="407">
        <v>117.41179004436228</v>
      </c>
      <c r="U388" s="455"/>
    </row>
    <row r="389" spans="14:21">
      <c r="N389" s="407">
        <v>358</v>
      </c>
      <c r="O389" s="407">
        <v>198.56125330865223</v>
      </c>
      <c r="U389" s="455"/>
    </row>
    <row r="390" spans="14:21">
      <c r="N390" s="407">
        <v>359</v>
      </c>
      <c r="O390" s="407">
        <v>119.01095673690858</v>
      </c>
      <c r="U390" s="455"/>
    </row>
    <row r="391" spans="14:21">
      <c r="N391" s="407">
        <v>360</v>
      </c>
      <c r="O391" s="407">
        <v>95.027041846996454</v>
      </c>
      <c r="U391" s="455"/>
    </row>
    <row r="392" spans="14:21">
      <c r="N392" s="407">
        <v>361</v>
      </c>
      <c r="O392" s="407">
        <v>146.04799861133026</v>
      </c>
      <c r="U392" s="455"/>
    </row>
    <row r="393" spans="14:21">
      <c r="N393" s="407">
        <v>362</v>
      </c>
      <c r="O393" s="407">
        <v>124.22051738923443</v>
      </c>
      <c r="U393" s="455"/>
    </row>
    <row r="394" spans="14:21">
      <c r="N394" s="407">
        <v>363</v>
      </c>
      <c r="O394" s="407">
        <v>167.67185821608166</v>
      </c>
      <c r="U394" s="455"/>
    </row>
    <row r="395" spans="14:21">
      <c r="N395" s="407">
        <v>364</v>
      </c>
      <c r="O395" s="407">
        <v>172.09602772644448</v>
      </c>
      <c r="U395" s="455"/>
    </row>
    <row r="396" spans="14:21">
      <c r="N396" s="407">
        <v>365</v>
      </c>
      <c r="O396" s="407">
        <v>157.55170234181588</v>
      </c>
      <c r="U396" s="455"/>
    </row>
    <row r="397" spans="14:21">
      <c r="N397" s="407">
        <v>366</v>
      </c>
      <c r="O397" s="407">
        <v>94.525523119267206</v>
      </c>
      <c r="U397" s="455"/>
    </row>
    <row r="398" spans="14:21">
      <c r="N398" s="407">
        <v>367</v>
      </c>
      <c r="O398" s="407">
        <v>135.27452437356732</v>
      </c>
      <c r="U398" s="455"/>
    </row>
    <row r="399" spans="14:21">
      <c r="N399" s="407">
        <v>368</v>
      </c>
      <c r="O399" s="407">
        <v>84.092034431961736</v>
      </c>
      <c r="U399" s="455"/>
    </row>
    <row r="400" spans="14:21">
      <c r="N400" s="407">
        <v>369</v>
      </c>
      <c r="O400" s="407">
        <v>142.86933026548235</v>
      </c>
      <c r="U400" s="455"/>
    </row>
    <row r="401" spans="14:21">
      <c r="N401" s="407">
        <v>370</v>
      </c>
      <c r="O401" s="407">
        <v>132.24081015669873</v>
      </c>
      <c r="U401" s="455"/>
    </row>
    <row r="402" spans="14:21">
      <c r="N402" s="407">
        <v>371</v>
      </c>
      <c r="O402" s="407">
        <v>95.280064568459167</v>
      </c>
      <c r="U402" s="455"/>
    </row>
    <row r="403" spans="14:21">
      <c r="N403" s="407">
        <v>372</v>
      </c>
      <c r="O403" s="407">
        <v>167.22471691042472</v>
      </c>
      <c r="U403" s="455"/>
    </row>
    <row r="404" spans="14:21">
      <c r="N404" s="407">
        <v>373</v>
      </c>
      <c r="O404" s="407">
        <v>168.64649515929111</v>
      </c>
      <c r="U404" s="455"/>
    </row>
    <row r="405" spans="14:21">
      <c r="N405" s="407">
        <v>374</v>
      </c>
      <c r="O405" s="407">
        <v>129.76708171296136</v>
      </c>
      <c r="U405" s="455"/>
    </row>
    <row r="406" spans="14:21">
      <c r="N406" s="407">
        <v>375</v>
      </c>
      <c r="O406" s="407">
        <v>98.873015243603021</v>
      </c>
      <c r="U406" s="455"/>
    </row>
    <row r="407" spans="14:21">
      <c r="N407" s="407">
        <v>376</v>
      </c>
      <c r="O407" s="407">
        <v>153.19558141679562</v>
      </c>
      <c r="U407" s="455"/>
    </row>
    <row r="408" spans="14:21">
      <c r="N408" s="407">
        <v>377</v>
      </c>
      <c r="O408" s="407">
        <v>222.71208639080319</v>
      </c>
      <c r="U408" s="455"/>
    </row>
    <row r="409" spans="14:21">
      <c r="N409" s="407">
        <v>378</v>
      </c>
      <c r="O409" s="407">
        <v>123.58416272642201</v>
      </c>
      <c r="U409" s="455"/>
    </row>
    <row r="410" spans="14:21">
      <c r="N410" s="407">
        <v>379</v>
      </c>
      <c r="O410" s="407">
        <v>154.26680760523411</v>
      </c>
      <c r="U410" s="455"/>
    </row>
    <row r="411" spans="14:21">
      <c r="N411" s="407">
        <v>380</v>
      </c>
      <c r="O411" s="407">
        <v>156.63414451824576</v>
      </c>
      <c r="U411" s="455"/>
    </row>
    <row r="412" spans="14:21">
      <c r="N412" s="407">
        <v>381</v>
      </c>
      <c r="O412" s="407">
        <v>76.832893519870765</v>
      </c>
      <c r="U412" s="455"/>
    </row>
    <row r="413" spans="14:21">
      <c r="N413" s="407">
        <v>382</v>
      </c>
      <c r="O413" s="407">
        <v>102.8238323852961</v>
      </c>
      <c r="U413" s="455"/>
    </row>
    <row r="414" spans="14:21">
      <c r="N414" s="407">
        <v>383</v>
      </c>
      <c r="O414" s="407">
        <v>221.37297865987668</v>
      </c>
      <c r="U414" s="455"/>
    </row>
    <row r="415" spans="14:21">
      <c r="N415" s="407">
        <v>384</v>
      </c>
      <c r="O415" s="407">
        <v>211.53926653523774</v>
      </c>
      <c r="U415" s="455"/>
    </row>
    <row r="416" spans="14:21">
      <c r="N416" s="407">
        <v>385</v>
      </c>
      <c r="O416" s="407">
        <v>95.971316103805108</v>
      </c>
      <c r="U416" s="455"/>
    </row>
    <row r="417" spans="14:21">
      <c r="N417" s="407">
        <v>386</v>
      </c>
      <c r="O417" s="407">
        <v>148.03032267954089</v>
      </c>
      <c r="U417" s="455"/>
    </row>
    <row r="418" spans="14:21">
      <c r="N418" s="407">
        <v>387</v>
      </c>
      <c r="O418" s="407">
        <v>104.74933034652916</v>
      </c>
      <c r="U418" s="455"/>
    </row>
    <row r="419" spans="14:21">
      <c r="N419" s="407">
        <v>388</v>
      </c>
      <c r="O419" s="407">
        <v>211.92031585026257</v>
      </c>
      <c r="U419" s="455"/>
    </row>
    <row r="420" spans="14:21">
      <c r="N420" s="407">
        <v>389</v>
      </c>
      <c r="O420" s="407">
        <v>130.40798533789186</v>
      </c>
      <c r="U420" s="455"/>
    </row>
    <row r="421" spans="14:21">
      <c r="N421" s="407">
        <v>390</v>
      </c>
      <c r="O421" s="407">
        <v>689.40001232416819</v>
      </c>
      <c r="U421" s="455"/>
    </row>
    <row r="422" spans="14:21">
      <c r="N422" s="407">
        <v>391</v>
      </c>
      <c r="O422" s="407">
        <v>116.35315267350919</v>
      </c>
      <c r="U422" s="455"/>
    </row>
    <row r="423" spans="14:21">
      <c r="N423" s="407">
        <v>392</v>
      </c>
      <c r="O423" s="407">
        <v>153.67777614892361</v>
      </c>
      <c r="U423" s="455"/>
    </row>
    <row r="424" spans="14:21">
      <c r="N424" s="407">
        <v>393</v>
      </c>
      <c r="O424" s="407">
        <v>299.52197168027726</v>
      </c>
      <c r="U424" s="455"/>
    </row>
    <row r="425" spans="14:21">
      <c r="N425" s="407">
        <v>394</v>
      </c>
      <c r="O425" s="407">
        <v>168.73434100024923</v>
      </c>
      <c r="U425" s="455"/>
    </row>
    <row r="426" spans="14:21">
      <c r="N426" s="407">
        <v>395</v>
      </c>
      <c r="O426" s="407">
        <v>90.788667814420862</v>
      </c>
      <c r="U426" s="455"/>
    </row>
    <row r="427" spans="14:21">
      <c r="N427" s="407">
        <v>396</v>
      </c>
      <c r="O427" s="407">
        <v>173.10566297353671</v>
      </c>
      <c r="U427" s="455"/>
    </row>
    <row r="428" spans="14:21">
      <c r="N428" s="407">
        <v>397</v>
      </c>
      <c r="O428" s="407">
        <v>136.66614346722235</v>
      </c>
      <c r="U428" s="455"/>
    </row>
    <row r="429" spans="14:21">
      <c r="N429" s="407">
        <v>398</v>
      </c>
      <c r="O429" s="407">
        <v>141.22052693798682</v>
      </c>
      <c r="U429" s="455"/>
    </row>
    <row r="430" spans="14:21">
      <c r="N430" s="407">
        <v>399</v>
      </c>
      <c r="O430" s="407">
        <v>185.71973908844652</v>
      </c>
      <c r="U430" s="455"/>
    </row>
    <row r="431" spans="14:21">
      <c r="N431" s="407">
        <v>400</v>
      </c>
      <c r="O431" s="407">
        <v>171.09505503060788</v>
      </c>
      <c r="U431" s="455"/>
    </row>
    <row r="432" spans="14:21">
      <c r="N432" s="407">
        <v>401</v>
      </c>
      <c r="O432" s="407">
        <v>160.50339433207506</v>
      </c>
      <c r="U432" s="455"/>
    </row>
    <row r="433" spans="14:21">
      <c r="N433" s="407">
        <v>402</v>
      </c>
      <c r="O433" s="407">
        <v>132.81349418606419</v>
      </c>
      <c r="U433" s="455"/>
    </row>
    <row r="434" spans="14:21">
      <c r="N434" s="407">
        <v>403</v>
      </c>
      <c r="O434" s="407">
        <v>128.79836821782138</v>
      </c>
      <c r="U434" s="455"/>
    </row>
    <row r="435" spans="14:21">
      <c r="N435" s="407">
        <v>404</v>
      </c>
      <c r="O435" s="407">
        <v>132.36360469531567</v>
      </c>
      <c r="U435" s="455"/>
    </row>
    <row r="436" spans="14:21">
      <c r="N436" s="407">
        <v>405</v>
      </c>
      <c r="O436" s="407">
        <v>136.98764333926485</v>
      </c>
      <c r="U436" s="455"/>
    </row>
    <row r="437" spans="14:21">
      <c r="N437" s="407">
        <v>406</v>
      </c>
      <c r="O437" s="407">
        <v>195.2344029034208</v>
      </c>
      <c r="U437" s="455"/>
    </row>
    <row r="438" spans="14:21">
      <c r="N438" s="407">
        <v>407</v>
      </c>
      <c r="O438" s="407">
        <v>128.31403624921785</v>
      </c>
      <c r="U438" s="455"/>
    </row>
    <row r="439" spans="14:21">
      <c r="N439" s="407">
        <v>408</v>
      </c>
      <c r="O439" s="407">
        <v>111.10660958416489</v>
      </c>
      <c r="U439" s="455"/>
    </row>
    <row r="440" spans="14:21">
      <c r="N440" s="407">
        <v>409</v>
      </c>
      <c r="O440" s="407">
        <v>132.63746579185869</v>
      </c>
      <c r="U440" s="455"/>
    </row>
    <row r="441" spans="14:21">
      <c r="N441" s="407">
        <v>410</v>
      </c>
      <c r="O441" s="407">
        <v>164.41274278765309</v>
      </c>
      <c r="U441" s="455"/>
    </row>
    <row r="442" spans="14:21">
      <c r="N442" s="407">
        <v>411</v>
      </c>
      <c r="O442" s="407">
        <v>155.22895584709471</v>
      </c>
      <c r="U442" s="455"/>
    </row>
    <row r="443" spans="14:21">
      <c r="N443" s="407">
        <v>412</v>
      </c>
      <c r="O443" s="407">
        <v>139.00570963405514</v>
      </c>
      <c r="U443" s="455"/>
    </row>
    <row r="444" spans="14:21">
      <c r="N444" s="407">
        <v>413</v>
      </c>
      <c r="O444" s="407">
        <v>141.08138918356337</v>
      </c>
      <c r="U444" s="455"/>
    </row>
    <row r="445" spans="14:21">
      <c r="N445" s="407">
        <v>414</v>
      </c>
      <c r="O445" s="407">
        <v>109.1865583680666</v>
      </c>
      <c r="U445" s="455"/>
    </row>
    <row r="446" spans="14:21">
      <c r="N446" s="407">
        <v>415</v>
      </c>
      <c r="O446" s="407">
        <v>104.27056373477376</v>
      </c>
      <c r="U446" s="455"/>
    </row>
    <row r="447" spans="14:21">
      <c r="N447" s="407">
        <v>416</v>
      </c>
      <c r="O447" s="407">
        <v>135.89549551241754</v>
      </c>
      <c r="U447" s="455"/>
    </row>
    <row r="448" spans="14:21">
      <c r="N448" s="407">
        <v>417</v>
      </c>
      <c r="O448" s="407">
        <v>199.11609522883461</v>
      </c>
      <c r="U448" s="455"/>
    </row>
    <row r="449" spans="14:21">
      <c r="N449" s="407">
        <v>418</v>
      </c>
      <c r="O449" s="407">
        <v>137.54432498541937</v>
      </c>
      <c r="U449" s="455"/>
    </row>
    <row r="450" spans="14:21">
      <c r="N450" s="407">
        <v>419</v>
      </c>
      <c r="O450" s="407">
        <v>149.27005209664594</v>
      </c>
      <c r="U450" s="455"/>
    </row>
    <row r="451" spans="14:21">
      <c r="N451" s="407">
        <v>420</v>
      </c>
      <c r="O451" s="407">
        <v>142.88825894886261</v>
      </c>
      <c r="U451" s="455"/>
    </row>
    <row r="452" spans="14:21">
      <c r="N452" s="407">
        <v>421</v>
      </c>
      <c r="O452" s="407">
        <v>165.63039253546251</v>
      </c>
      <c r="U452" s="455"/>
    </row>
    <row r="453" spans="14:21">
      <c r="N453" s="407">
        <v>422</v>
      </c>
      <c r="O453" s="407">
        <v>100.30072331347853</v>
      </c>
      <c r="U453" s="455"/>
    </row>
    <row r="454" spans="14:21">
      <c r="N454" s="407">
        <v>423</v>
      </c>
      <c r="O454" s="407">
        <v>114.4482838075436</v>
      </c>
      <c r="U454" s="455"/>
    </row>
    <row r="455" spans="14:21">
      <c r="N455" s="407">
        <v>424</v>
      </c>
      <c r="O455" s="407">
        <v>144.18828934814914</v>
      </c>
      <c r="U455" s="455"/>
    </row>
    <row r="456" spans="14:21">
      <c r="N456" s="407">
        <v>425</v>
      </c>
      <c r="O456" s="407">
        <v>163.19522916338579</v>
      </c>
      <c r="U456" s="455"/>
    </row>
    <row r="457" spans="14:21">
      <c r="N457" s="407">
        <v>426</v>
      </c>
      <c r="O457" s="407">
        <v>242.73831764629381</v>
      </c>
      <c r="U457" s="455"/>
    </row>
    <row r="458" spans="14:21">
      <c r="N458" s="407">
        <v>427</v>
      </c>
      <c r="O458" s="407">
        <v>120.89732256358803</v>
      </c>
      <c r="U458" s="455"/>
    </row>
    <row r="459" spans="14:21">
      <c r="N459" s="407">
        <v>428</v>
      </c>
      <c r="O459" s="407">
        <v>104.57521668732869</v>
      </c>
      <c r="U459" s="455"/>
    </row>
    <row r="460" spans="14:21">
      <c r="N460" s="407">
        <v>429</v>
      </c>
      <c r="O460" s="407">
        <v>138.93913045583102</v>
      </c>
      <c r="U460" s="455"/>
    </row>
    <row r="461" spans="14:21">
      <c r="N461" s="407">
        <v>430</v>
      </c>
      <c r="O461" s="407">
        <v>215.41983730723604</v>
      </c>
      <c r="U461" s="455"/>
    </row>
    <row r="462" spans="14:21">
      <c r="N462" s="407">
        <v>431</v>
      </c>
      <c r="O462" s="407">
        <v>119.70515260182728</v>
      </c>
      <c r="U462" s="455"/>
    </row>
    <row r="463" spans="14:21">
      <c r="N463" s="407">
        <v>432</v>
      </c>
      <c r="O463" s="407">
        <v>183.34756098320852</v>
      </c>
      <c r="U463" s="455"/>
    </row>
    <row r="464" spans="14:21">
      <c r="N464" s="407">
        <v>433</v>
      </c>
      <c r="O464" s="407">
        <v>108.11845098343711</v>
      </c>
      <c r="U464" s="455"/>
    </row>
    <row r="465" spans="14:21">
      <c r="N465" s="407">
        <v>434</v>
      </c>
      <c r="O465" s="407">
        <v>130.53466184368071</v>
      </c>
      <c r="U465" s="455"/>
    </row>
    <row r="466" spans="14:21">
      <c r="N466" s="407">
        <v>435</v>
      </c>
      <c r="O466" s="407">
        <v>103.15142279912457</v>
      </c>
      <c r="U466" s="455"/>
    </row>
    <row r="467" spans="14:21">
      <c r="N467" s="407">
        <v>436</v>
      </c>
      <c r="O467" s="407">
        <v>184.68446681103217</v>
      </c>
      <c r="U467" s="455"/>
    </row>
    <row r="468" spans="14:21">
      <c r="N468" s="407">
        <v>437</v>
      </c>
      <c r="O468" s="407">
        <v>151.25706664836451</v>
      </c>
      <c r="U468" s="455"/>
    </row>
    <row r="469" spans="14:21">
      <c r="N469" s="407">
        <v>438</v>
      </c>
      <c r="O469" s="407">
        <v>207.57121157081457</v>
      </c>
      <c r="U469" s="455"/>
    </row>
    <row r="470" spans="14:21">
      <c r="N470" s="407">
        <v>439</v>
      </c>
      <c r="O470" s="407">
        <v>145.05838087323269</v>
      </c>
      <c r="U470" s="455"/>
    </row>
    <row r="471" spans="14:21">
      <c r="N471" s="407">
        <v>440</v>
      </c>
      <c r="O471" s="407">
        <v>134.5850938290846</v>
      </c>
      <c r="U471" s="455"/>
    </row>
    <row r="472" spans="14:21">
      <c r="N472" s="407">
        <v>441</v>
      </c>
      <c r="O472" s="407">
        <v>160.58561769488773</v>
      </c>
      <c r="U472" s="455"/>
    </row>
    <row r="473" spans="14:21">
      <c r="N473" s="407">
        <v>442</v>
      </c>
      <c r="O473" s="407">
        <v>181.29004518999292</v>
      </c>
      <c r="U473" s="455"/>
    </row>
    <row r="474" spans="14:21">
      <c r="N474" s="407">
        <v>443</v>
      </c>
      <c r="O474" s="407">
        <v>151.26653694353564</v>
      </c>
      <c r="U474" s="455"/>
    </row>
    <row r="475" spans="14:21">
      <c r="N475" s="407">
        <v>444</v>
      </c>
      <c r="O475" s="407">
        <v>132.7372495478287</v>
      </c>
      <c r="U475" s="455"/>
    </row>
    <row r="476" spans="14:21">
      <c r="N476" s="407">
        <v>445</v>
      </c>
      <c r="O476" s="407">
        <v>110.43212428950036</v>
      </c>
      <c r="U476" s="455"/>
    </row>
    <row r="477" spans="14:21">
      <c r="N477" s="407">
        <v>446</v>
      </c>
      <c r="O477" s="407">
        <v>192.48779098355101</v>
      </c>
      <c r="U477" s="455"/>
    </row>
    <row r="478" spans="14:21">
      <c r="N478" s="407">
        <v>447</v>
      </c>
      <c r="O478" s="407">
        <v>128.98602866630631</v>
      </c>
      <c r="U478" s="455"/>
    </row>
    <row r="479" spans="14:21">
      <c r="N479" s="407">
        <v>448</v>
      </c>
      <c r="O479" s="407">
        <v>79.915594667991826</v>
      </c>
      <c r="U479" s="455"/>
    </row>
    <row r="480" spans="14:21">
      <c r="N480" s="407">
        <v>449</v>
      </c>
      <c r="O480" s="407">
        <v>124.52258047003231</v>
      </c>
      <c r="U480" s="455"/>
    </row>
    <row r="481" spans="14:21">
      <c r="N481" s="407">
        <v>450</v>
      </c>
      <c r="O481" s="407">
        <v>147.48095961555839</v>
      </c>
      <c r="U481" s="455"/>
    </row>
    <row r="482" spans="14:21">
      <c r="N482" s="407">
        <v>451</v>
      </c>
      <c r="O482" s="407">
        <v>102.3459891205743</v>
      </c>
      <c r="U482" s="455"/>
    </row>
    <row r="483" spans="14:21">
      <c r="N483" s="407">
        <v>452</v>
      </c>
      <c r="O483" s="407">
        <v>130.37095378288532</v>
      </c>
      <c r="U483" s="455"/>
    </row>
    <row r="484" spans="14:21">
      <c r="N484" s="407">
        <v>453</v>
      </c>
      <c r="O484" s="407">
        <v>126.20897210918169</v>
      </c>
      <c r="U484" s="455"/>
    </row>
    <row r="485" spans="14:21">
      <c r="N485" s="407">
        <v>454</v>
      </c>
      <c r="O485" s="407">
        <v>298.29512279411369</v>
      </c>
      <c r="U485" s="455"/>
    </row>
    <row r="486" spans="14:21">
      <c r="N486" s="407">
        <v>455</v>
      </c>
      <c r="O486" s="407">
        <v>140.25834231880694</v>
      </c>
      <c r="U486" s="455"/>
    </row>
    <row r="487" spans="14:21">
      <c r="N487" s="407">
        <v>456</v>
      </c>
      <c r="O487" s="407">
        <v>164.32656028082323</v>
      </c>
      <c r="U487" s="455"/>
    </row>
    <row r="488" spans="14:21">
      <c r="N488" s="407">
        <v>457</v>
      </c>
      <c r="O488" s="407">
        <v>461.05317703704384</v>
      </c>
      <c r="U488" s="455"/>
    </row>
    <row r="489" spans="14:21">
      <c r="N489" s="407">
        <v>458</v>
      </c>
      <c r="O489" s="407">
        <v>129.96712856814113</v>
      </c>
      <c r="U489" s="455"/>
    </row>
    <row r="490" spans="14:21">
      <c r="N490" s="407">
        <v>459</v>
      </c>
      <c r="O490" s="407">
        <v>165.96325704625423</v>
      </c>
      <c r="U490" s="455"/>
    </row>
    <row r="491" spans="14:21">
      <c r="N491" s="407">
        <v>460</v>
      </c>
      <c r="O491" s="407">
        <v>120.21906456230025</v>
      </c>
      <c r="U491" s="455"/>
    </row>
    <row r="492" spans="14:21">
      <c r="N492" s="407">
        <v>461</v>
      </c>
      <c r="O492" s="407">
        <v>81.238572450972498</v>
      </c>
      <c r="U492" s="455"/>
    </row>
    <row r="493" spans="14:21">
      <c r="N493" s="407">
        <v>462</v>
      </c>
      <c r="O493" s="407">
        <v>85.562078667002041</v>
      </c>
      <c r="U493" s="455"/>
    </row>
    <row r="494" spans="14:21">
      <c r="N494" s="407">
        <v>463</v>
      </c>
      <c r="O494" s="407">
        <v>194.69499680177813</v>
      </c>
      <c r="U494" s="455"/>
    </row>
    <row r="495" spans="14:21">
      <c r="N495" s="407">
        <v>464</v>
      </c>
      <c r="O495" s="407">
        <v>138.08641209906207</v>
      </c>
      <c r="U495" s="455"/>
    </row>
    <row r="496" spans="14:21">
      <c r="N496" s="407">
        <v>465</v>
      </c>
      <c r="O496" s="407">
        <v>126.0774333770398</v>
      </c>
      <c r="U496" s="455"/>
    </row>
    <row r="497" spans="14:15">
      <c r="N497" s="407">
        <v>466</v>
      </c>
      <c r="O497" s="407">
        <v>178.30310667352046</v>
      </c>
    </row>
    <row r="498" spans="14:15">
      <c r="N498" s="407">
        <v>467</v>
      </c>
      <c r="O498" s="407">
        <v>180.42307555636143</v>
      </c>
    </row>
    <row r="499" spans="14:15">
      <c r="N499" s="407">
        <v>468</v>
      </c>
      <c r="O499" s="407">
        <v>199.61657684461045</v>
      </c>
    </row>
    <row r="500" spans="14:15">
      <c r="N500" s="407">
        <v>469</v>
      </c>
      <c r="O500" s="407">
        <v>84.039147635504065</v>
      </c>
    </row>
    <row r="501" spans="14:15">
      <c r="N501" s="407">
        <v>470</v>
      </c>
      <c r="O501" s="407">
        <v>125.93749470644377</v>
      </c>
    </row>
    <row r="502" spans="14:15">
      <c r="N502" s="407">
        <v>471</v>
      </c>
      <c r="O502" s="407">
        <v>188.90021946225789</v>
      </c>
    </row>
    <row r="503" spans="14:15">
      <c r="N503" s="407">
        <v>472</v>
      </c>
      <c r="O503" s="407">
        <v>127.34673001445147</v>
      </c>
    </row>
    <row r="504" spans="14:15">
      <c r="N504" s="407">
        <v>473</v>
      </c>
      <c r="O504" s="407">
        <v>179.1953426201969</v>
      </c>
    </row>
    <row r="505" spans="14:15">
      <c r="N505" s="407">
        <v>474</v>
      </c>
      <c r="O505" s="407">
        <v>132.15028550363786</v>
      </c>
    </row>
    <row r="506" spans="14:15">
      <c r="N506" s="407">
        <v>475</v>
      </c>
      <c r="O506" s="407">
        <v>117.78032746768017</v>
      </c>
    </row>
    <row r="507" spans="14:15">
      <c r="N507" s="407">
        <v>476</v>
      </c>
      <c r="O507" s="407">
        <v>166.80875422623461</v>
      </c>
    </row>
    <row r="508" spans="14:15">
      <c r="N508" s="407">
        <v>477</v>
      </c>
      <c r="O508" s="407">
        <v>106.03200517488511</v>
      </c>
    </row>
    <row r="509" spans="14:15">
      <c r="N509" s="407">
        <v>478</v>
      </c>
      <c r="O509" s="407">
        <v>122.28782625990723</v>
      </c>
    </row>
    <row r="510" spans="14:15">
      <c r="N510" s="407">
        <v>479</v>
      </c>
      <c r="O510" s="407">
        <v>245.34519965722333</v>
      </c>
    </row>
    <row r="511" spans="14:15">
      <c r="N511" s="407">
        <v>480</v>
      </c>
      <c r="O511" s="407">
        <v>128.20888127922203</v>
      </c>
    </row>
    <row r="512" spans="14:15">
      <c r="N512" s="407">
        <v>481</v>
      </c>
      <c r="O512" s="407">
        <v>143.34633014486772</v>
      </c>
    </row>
    <row r="513" spans="14:15">
      <c r="N513" s="407">
        <v>482</v>
      </c>
      <c r="O513" s="407">
        <v>104.00574623139087</v>
      </c>
    </row>
    <row r="514" spans="14:15">
      <c r="N514" s="407">
        <v>483</v>
      </c>
      <c r="O514" s="407">
        <v>124.06620390243367</v>
      </c>
    </row>
    <row r="515" spans="14:15">
      <c r="N515" s="407">
        <v>484</v>
      </c>
      <c r="O515" s="407">
        <v>172.22879874178571</v>
      </c>
    </row>
    <row r="516" spans="14:15">
      <c r="N516" s="407">
        <v>485</v>
      </c>
      <c r="O516" s="407">
        <v>187.28733977053895</v>
      </c>
    </row>
    <row r="517" spans="14:15">
      <c r="N517" s="407">
        <v>486</v>
      </c>
      <c r="O517" s="407">
        <v>209.08708259858025</v>
      </c>
    </row>
    <row r="518" spans="14:15">
      <c r="N518" s="407">
        <v>487</v>
      </c>
      <c r="O518" s="407">
        <v>77.323301254666674</v>
      </c>
    </row>
    <row r="519" spans="14:15">
      <c r="N519" s="407">
        <v>488</v>
      </c>
      <c r="O519" s="407">
        <v>914.60734755071735</v>
      </c>
    </row>
    <row r="520" spans="14:15">
      <c r="N520" s="407">
        <v>489</v>
      </c>
      <c r="O520" s="407">
        <v>140.63158155104938</v>
      </c>
    </row>
    <row r="521" spans="14:15">
      <c r="N521" s="407">
        <v>490</v>
      </c>
      <c r="O521" s="407">
        <v>163.66343015940754</v>
      </c>
    </row>
    <row r="522" spans="14:15">
      <c r="N522" s="407">
        <v>491</v>
      </c>
      <c r="O522" s="407">
        <v>292.46522686519126</v>
      </c>
    </row>
    <row r="523" spans="14:15">
      <c r="N523" s="407">
        <v>492</v>
      </c>
      <c r="O523" s="407">
        <v>176.2381067136258</v>
      </c>
    </row>
    <row r="524" spans="14:15">
      <c r="N524" s="407">
        <v>493</v>
      </c>
      <c r="O524" s="407">
        <v>101.34283647397363</v>
      </c>
    </row>
    <row r="525" spans="14:15">
      <c r="N525" s="407">
        <v>494</v>
      </c>
      <c r="O525" s="407">
        <v>173.88910499948128</v>
      </c>
    </row>
    <row r="526" spans="14:15">
      <c r="N526" s="407">
        <v>495</v>
      </c>
      <c r="O526" s="407">
        <v>148.22576376445363</v>
      </c>
    </row>
    <row r="527" spans="14:15">
      <c r="N527" s="407">
        <v>496</v>
      </c>
      <c r="O527" s="407">
        <v>121.00151625090786</v>
      </c>
    </row>
    <row r="528" spans="14:15">
      <c r="N528" s="407">
        <v>497</v>
      </c>
      <c r="O528" s="407">
        <v>224.44768554925898</v>
      </c>
    </row>
    <row r="529" spans="14:21">
      <c r="N529" s="407">
        <v>498</v>
      </c>
      <c r="O529" s="407">
        <v>149.66356616412028</v>
      </c>
    </row>
    <row r="530" spans="14:21">
      <c r="N530" s="407">
        <v>499</v>
      </c>
      <c r="O530" s="407">
        <v>144.07895291091214</v>
      </c>
    </row>
    <row r="531" spans="14:21">
      <c r="N531" s="407">
        <v>500</v>
      </c>
      <c r="O531" s="407">
        <v>154.01287105637715</v>
      </c>
    </row>
    <row r="532" spans="14:21">
      <c r="N532" s="407">
        <v>501</v>
      </c>
      <c r="O532" s="407">
        <v>96.607501639028129</v>
      </c>
    </row>
    <row r="533" spans="14:21">
      <c r="N533" s="407">
        <v>502</v>
      </c>
      <c r="O533" s="407">
        <v>112.68252058760669</v>
      </c>
    </row>
    <row r="534" spans="14:21">
      <c r="N534" s="407">
        <v>503</v>
      </c>
      <c r="O534" s="407">
        <v>155.61114039716705</v>
      </c>
    </row>
    <row r="535" spans="14:21">
      <c r="N535" s="407">
        <v>504</v>
      </c>
      <c r="O535" s="407">
        <v>158.02027911724349</v>
      </c>
    </row>
    <row r="536" spans="14:21">
      <c r="N536" s="407">
        <v>505</v>
      </c>
      <c r="O536" s="407">
        <v>91.257037820355265</v>
      </c>
    </row>
    <row r="537" spans="14:21">
      <c r="N537" s="407">
        <v>506</v>
      </c>
      <c r="O537" s="407">
        <v>232.23417146779911</v>
      </c>
    </row>
    <row r="538" spans="14:21">
      <c r="N538" s="407">
        <v>507</v>
      </c>
      <c r="O538" s="407">
        <v>159.86696943801195</v>
      </c>
    </row>
    <row r="539" spans="14:21">
      <c r="N539" s="407">
        <v>508</v>
      </c>
      <c r="O539" s="407">
        <v>88.565932475470078</v>
      </c>
      <c r="U539" s="455"/>
    </row>
    <row r="540" spans="14:21">
      <c r="N540" s="407">
        <v>509</v>
      </c>
      <c r="O540" s="407">
        <v>151.18717496767658</v>
      </c>
      <c r="U540" s="455"/>
    </row>
    <row r="541" spans="14:21">
      <c r="N541" s="407">
        <v>510</v>
      </c>
      <c r="O541" s="407">
        <v>153.96766235557664</v>
      </c>
      <c r="U541" s="455"/>
    </row>
    <row r="542" spans="14:21">
      <c r="N542" s="407">
        <v>511</v>
      </c>
      <c r="O542" s="407">
        <v>81.982054789695937</v>
      </c>
      <c r="U542" s="455"/>
    </row>
    <row r="543" spans="14:21">
      <c r="N543" s="407">
        <v>512</v>
      </c>
      <c r="O543" s="407">
        <v>139.3030773025003</v>
      </c>
      <c r="U543" s="455"/>
    </row>
    <row r="544" spans="14:21">
      <c r="N544" s="407">
        <v>513</v>
      </c>
      <c r="O544" s="407">
        <v>233.95353378756442</v>
      </c>
      <c r="U544" s="455"/>
    </row>
    <row r="545" spans="14:21">
      <c r="N545" s="407">
        <v>514</v>
      </c>
      <c r="O545" s="407">
        <v>120.19092492629193</v>
      </c>
      <c r="U545" s="455"/>
    </row>
    <row r="546" spans="14:21">
      <c r="N546" s="407">
        <v>515</v>
      </c>
      <c r="O546" s="407">
        <v>106.38645520887152</v>
      </c>
      <c r="U546" s="455"/>
    </row>
    <row r="547" spans="14:21">
      <c r="N547" s="407">
        <v>516</v>
      </c>
      <c r="O547" s="407">
        <v>224.32709583987435</v>
      </c>
      <c r="U547" s="455"/>
    </row>
    <row r="548" spans="14:21">
      <c r="N548" s="407">
        <v>517</v>
      </c>
      <c r="O548" s="407">
        <v>283.35784914078181</v>
      </c>
      <c r="U548" s="455"/>
    </row>
    <row r="549" spans="14:21">
      <c r="N549" s="407">
        <v>518</v>
      </c>
      <c r="O549" s="407">
        <v>184.79756641260886</v>
      </c>
      <c r="U549" s="455"/>
    </row>
    <row r="550" spans="14:21">
      <c r="N550" s="407">
        <v>519</v>
      </c>
      <c r="O550" s="407">
        <v>141.56895116280248</v>
      </c>
      <c r="U550" s="455"/>
    </row>
    <row r="551" spans="14:21">
      <c r="N551" s="407">
        <v>520</v>
      </c>
      <c r="O551" s="407">
        <v>96.070763385753068</v>
      </c>
      <c r="U551" s="455"/>
    </row>
    <row r="552" spans="14:21">
      <c r="N552" s="407">
        <v>521</v>
      </c>
      <c r="O552" s="407">
        <v>121.12981793025467</v>
      </c>
      <c r="U552" s="455"/>
    </row>
    <row r="553" spans="14:21">
      <c r="N553" s="407">
        <v>522</v>
      </c>
      <c r="O553" s="407">
        <v>202.44818677093826</v>
      </c>
      <c r="U553" s="455"/>
    </row>
    <row r="554" spans="14:21">
      <c r="N554" s="407">
        <v>523</v>
      </c>
      <c r="O554" s="407">
        <v>147.96186335974767</v>
      </c>
      <c r="U554" s="455"/>
    </row>
    <row r="555" spans="14:21">
      <c r="N555" s="407">
        <v>524</v>
      </c>
      <c r="O555" s="407">
        <v>185.03145139328575</v>
      </c>
      <c r="U555" s="455"/>
    </row>
    <row r="556" spans="14:21">
      <c r="N556" s="407">
        <v>525</v>
      </c>
      <c r="O556" s="407">
        <v>168.23899062465702</v>
      </c>
      <c r="U556" s="455"/>
    </row>
    <row r="557" spans="14:21">
      <c r="N557" s="407">
        <v>526</v>
      </c>
      <c r="O557" s="407">
        <v>118.99585693293389</v>
      </c>
      <c r="U557" s="455"/>
    </row>
    <row r="558" spans="14:21">
      <c r="N558" s="407">
        <v>527</v>
      </c>
      <c r="O558" s="407">
        <v>191.64343504056538</v>
      </c>
      <c r="U558" s="455"/>
    </row>
    <row r="559" spans="14:21">
      <c r="N559" s="407">
        <v>528</v>
      </c>
      <c r="O559" s="407">
        <v>179.28876078178183</v>
      </c>
      <c r="U559" s="455"/>
    </row>
    <row r="560" spans="14:21">
      <c r="N560" s="407">
        <v>529</v>
      </c>
      <c r="O560" s="407">
        <v>131.25373273060913</v>
      </c>
      <c r="U560" s="455"/>
    </row>
    <row r="561" spans="14:21">
      <c r="N561" s="407">
        <v>530</v>
      </c>
      <c r="O561" s="407">
        <v>120.50147509732521</v>
      </c>
      <c r="U561" s="455"/>
    </row>
    <row r="562" spans="14:21">
      <c r="N562" s="407">
        <v>531</v>
      </c>
      <c r="O562" s="407">
        <v>214.01313706203021</v>
      </c>
      <c r="U562" s="455"/>
    </row>
    <row r="563" spans="14:21">
      <c r="N563" s="407">
        <v>532</v>
      </c>
      <c r="O563" s="407">
        <v>88.131513944636012</v>
      </c>
      <c r="U563" s="455"/>
    </row>
    <row r="564" spans="14:21">
      <c r="N564" s="407">
        <v>533</v>
      </c>
      <c r="O564" s="407">
        <v>127.42092649630835</v>
      </c>
      <c r="U564" s="455"/>
    </row>
    <row r="565" spans="14:21">
      <c r="N565" s="407">
        <v>534</v>
      </c>
      <c r="O565" s="407">
        <v>130.10131475603814</v>
      </c>
      <c r="U565" s="455"/>
    </row>
    <row r="566" spans="14:21">
      <c r="N566" s="407">
        <v>535</v>
      </c>
      <c r="O566" s="407">
        <v>105.79186330977647</v>
      </c>
      <c r="U566" s="455"/>
    </row>
    <row r="567" spans="14:21">
      <c r="N567" s="407">
        <v>536</v>
      </c>
      <c r="O567" s="407">
        <v>97.328391838257531</v>
      </c>
      <c r="U567" s="455"/>
    </row>
    <row r="568" spans="14:21">
      <c r="N568" s="407">
        <v>537</v>
      </c>
      <c r="O568" s="407">
        <v>176.23121274492451</v>
      </c>
      <c r="U568" s="455"/>
    </row>
    <row r="569" spans="14:21">
      <c r="N569" s="407">
        <v>538</v>
      </c>
      <c r="O569" s="407">
        <v>109.97911261765735</v>
      </c>
    </row>
    <row r="570" spans="14:21">
      <c r="N570" s="407">
        <v>539</v>
      </c>
      <c r="O570" s="407">
        <v>87.826422745410454</v>
      </c>
    </row>
    <row r="571" spans="14:21">
      <c r="N571" s="407">
        <v>540</v>
      </c>
      <c r="O571" s="407">
        <v>112.13986443253218</v>
      </c>
    </row>
    <row r="572" spans="14:21">
      <c r="N572" s="407">
        <v>541</v>
      </c>
      <c r="O572" s="407">
        <v>175.92546548217746</v>
      </c>
    </row>
    <row r="573" spans="14:21">
      <c r="N573" s="407">
        <v>542</v>
      </c>
      <c r="O573" s="407">
        <v>236.32810512078146</v>
      </c>
    </row>
    <row r="574" spans="14:21">
      <c r="N574" s="407">
        <v>543</v>
      </c>
      <c r="O574" s="407">
        <v>269.39092126365881</v>
      </c>
    </row>
    <row r="575" spans="14:21">
      <c r="N575" s="407">
        <v>544</v>
      </c>
      <c r="O575" s="407">
        <v>113.07329804433898</v>
      </c>
    </row>
    <row r="576" spans="14:21">
      <c r="N576" s="407">
        <v>545</v>
      </c>
      <c r="O576" s="407">
        <v>105.42151341935184</v>
      </c>
    </row>
    <row r="577" spans="14:15">
      <c r="N577" s="407">
        <v>546</v>
      </c>
      <c r="O577" s="407">
        <v>161.83056197526324</v>
      </c>
    </row>
    <row r="578" spans="14:15">
      <c r="N578" s="407">
        <v>547</v>
      </c>
      <c r="O578" s="407">
        <v>105.74444741527647</v>
      </c>
    </row>
    <row r="579" spans="14:15">
      <c r="N579" s="407">
        <v>548</v>
      </c>
      <c r="O579" s="407">
        <v>73.005153661062678</v>
      </c>
    </row>
    <row r="580" spans="14:15">
      <c r="N580" s="407">
        <v>549</v>
      </c>
      <c r="O580" s="407">
        <v>414.88594574555572</v>
      </c>
    </row>
    <row r="581" spans="14:15">
      <c r="N581" s="407">
        <v>550</v>
      </c>
      <c r="O581" s="407">
        <v>118.96879357983536</v>
      </c>
    </row>
    <row r="582" spans="14:15">
      <c r="N582" s="407">
        <v>551</v>
      </c>
      <c r="O582" s="407">
        <v>82.827443386450653</v>
      </c>
    </row>
    <row r="583" spans="14:15">
      <c r="N583" s="407">
        <v>552</v>
      </c>
      <c r="O583" s="407">
        <v>113.65460923566788</v>
      </c>
    </row>
    <row r="584" spans="14:15">
      <c r="N584" s="407">
        <v>553</v>
      </c>
      <c r="O584" s="407">
        <v>106.48541046264428</v>
      </c>
    </row>
    <row r="585" spans="14:15">
      <c r="N585" s="407">
        <v>554</v>
      </c>
      <c r="O585" s="407">
        <v>125.22219732990409</v>
      </c>
    </row>
    <row r="586" spans="14:15">
      <c r="N586" s="407">
        <v>555</v>
      </c>
      <c r="O586" s="407">
        <v>132.38129657173891</v>
      </c>
    </row>
    <row r="587" spans="14:15">
      <c r="N587" s="407">
        <v>556</v>
      </c>
      <c r="O587" s="407">
        <v>136.34898158474789</v>
      </c>
    </row>
    <row r="588" spans="14:15">
      <c r="N588" s="407">
        <v>557</v>
      </c>
      <c r="O588" s="407">
        <v>289.6973384713196</v>
      </c>
    </row>
    <row r="589" spans="14:15">
      <c r="N589" s="407">
        <v>558</v>
      </c>
      <c r="O589" s="407">
        <v>222.03558416153305</v>
      </c>
    </row>
    <row r="590" spans="14:15">
      <c r="N590" s="407">
        <v>559</v>
      </c>
      <c r="O590" s="407">
        <v>134.43311007230335</v>
      </c>
    </row>
    <row r="591" spans="14:15">
      <c r="N591" s="407">
        <v>560</v>
      </c>
      <c r="O591" s="407">
        <v>95.34781913861346</v>
      </c>
    </row>
    <row r="592" spans="14:15">
      <c r="N592" s="407">
        <v>561</v>
      </c>
      <c r="O592" s="407">
        <v>319.98792486827307</v>
      </c>
    </row>
    <row r="593" spans="14:21">
      <c r="N593" s="407">
        <v>562</v>
      </c>
      <c r="O593" s="407">
        <v>232.55161929177689</v>
      </c>
    </row>
    <row r="594" spans="14:21">
      <c r="N594" s="407">
        <v>563</v>
      </c>
      <c r="O594" s="407">
        <v>133.78034712650879</v>
      </c>
    </row>
    <row r="595" spans="14:21">
      <c r="N595" s="407">
        <v>564</v>
      </c>
      <c r="O595" s="407">
        <v>134.84612501385746</v>
      </c>
    </row>
    <row r="596" spans="14:21">
      <c r="N596" s="407">
        <v>565</v>
      </c>
      <c r="O596" s="407">
        <v>238.1656649766729</v>
      </c>
    </row>
    <row r="597" spans="14:21">
      <c r="N597" s="407">
        <v>566</v>
      </c>
      <c r="O597" s="407">
        <v>201.03894926738747</v>
      </c>
    </row>
    <row r="598" spans="14:21">
      <c r="N598" s="407">
        <v>567</v>
      </c>
      <c r="O598" s="407">
        <v>201.58247462405097</v>
      </c>
    </row>
    <row r="599" spans="14:21">
      <c r="N599" s="407">
        <v>568</v>
      </c>
      <c r="O599" s="407">
        <v>104.15664933523506</v>
      </c>
    </row>
    <row r="600" spans="14:21">
      <c r="N600" s="407">
        <v>569</v>
      </c>
      <c r="O600" s="407">
        <v>120.41932697088882</v>
      </c>
      <c r="U600" s="455"/>
    </row>
    <row r="601" spans="14:21">
      <c r="N601" s="407">
        <v>570</v>
      </c>
      <c r="O601" s="407">
        <v>172.74292433106962</v>
      </c>
      <c r="U601" s="455"/>
    </row>
    <row r="602" spans="14:21">
      <c r="N602" s="407">
        <v>571</v>
      </c>
      <c r="O602" s="407">
        <v>204.52771301576661</v>
      </c>
      <c r="U602" s="455"/>
    </row>
    <row r="603" spans="14:21">
      <c r="N603" s="407">
        <v>572</v>
      </c>
      <c r="O603" s="407">
        <v>114.71512304383623</v>
      </c>
      <c r="U603" s="455"/>
    </row>
    <row r="604" spans="14:21">
      <c r="N604" s="407">
        <v>573</v>
      </c>
      <c r="O604" s="407">
        <v>117.09193025053786</v>
      </c>
      <c r="U604" s="455"/>
    </row>
    <row r="605" spans="14:21">
      <c r="N605" s="407">
        <v>574</v>
      </c>
      <c r="O605" s="407">
        <v>133.2764039426454</v>
      </c>
      <c r="U605" s="455"/>
    </row>
    <row r="606" spans="14:21">
      <c r="N606" s="407">
        <v>575</v>
      </c>
      <c r="O606" s="407">
        <v>282.29573645687611</v>
      </c>
      <c r="U606" s="455"/>
    </row>
    <row r="607" spans="14:21">
      <c r="N607" s="407">
        <v>576</v>
      </c>
      <c r="O607" s="407">
        <v>206.79643714304871</v>
      </c>
      <c r="U607" s="455"/>
    </row>
    <row r="608" spans="14:21">
      <c r="N608" s="407">
        <v>577</v>
      </c>
      <c r="O608" s="407">
        <v>121.52158876656098</v>
      </c>
      <c r="U608" s="455"/>
    </row>
    <row r="609" spans="14:21">
      <c r="N609" s="407">
        <v>578</v>
      </c>
      <c r="O609" s="407">
        <v>125.99111016782913</v>
      </c>
      <c r="U609" s="455"/>
    </row>
    <row r="610" spans="14:21">
      <c r="N610" s="407">
        <v>579</v>
      </c>
      <c r="O610" s="407">
        <v>175.08959291823638</v>
      </c>
      <c r="U610" s="455"/>
    </row>
    <row r="611" spans="14:21">
      <c r="N611" s="407">
        <v>580</v>
      </c>
      <c r="O611" s="407">
        <v>204.53929469905844</v>
      </c>
      <c r="U611" s="455"/>
    </row>
    <row r="612" spans="14:21">
      <c r="N612" s="407">
        <v>581</v>
      </c>
      <c r="O612" s="407">
        <v>98.838183608681987</v>
      </c>
      <c r="U612" s="455"/>
    </row>
    <row r="613" spans="14:21">
      <c r="N613" s="407">
        <v>582</v>
      </c>
      <c r="O613" s="407">
        <v>201.9040664197681</v>
      </c>
      <c r="U613" s="455"/>
    </row>
    <row r="614" spans="14:21">
      <c r="N614" s="407">
        <v>583</v>
      </c>
      <c r="O614" s="407">
        <v>92.425917103240607</v>
      </c>
      <c r="U614" s="455"/>
    </row>
    <row r="615" spans="14:21">
      <c r="N615" s="407">
        <v>584</v>
      </c>
      <c r="O615" s="407">
        <v>168.91428981249032</v>
      </c>
      <c r="U615" s="455"/>
    </row>
    <row r="616" spans="14:21">
      <c r="N616" s="407">
        <v>585</v>
      </c>
      <c r="O616" s="407">
        <v>193.03012469775689</v>
      </c>
      <c r="U616" s="455"/>
    </row>
    <row r="617" spans="14:21">
      <c r="N617" s="407">
        <v>586</v>
      </c>
      <c r="O617" s="407">
        <v>153.39415793160597</v>
      </c>
      <c r="U617" s="455"/>
    </row>
    <row r="618" spans="14:21">
      <c r="N618" s="407">
        <v>587</v>
      </c>
      <c r="O618" s="407">
        <v>88.903295913123046</v>
      </c>
      <c r="U618" s="455"/>
    </row>
    <row r="619" spans="14:21">
      <c r="N619" s="407">
        <v>588</v>
      </c>
      <c r="O619" s="407">
        <v>170.40709381981094</v>
      </c>
      <c r="U619" s="455"/>
    </row>
    <row r="620" spans="14:21">
      <c r="N620" s="407">
        <v>589</v>
      </c>
      <c r="O620" s="407">
        <v>186.99665428104029</v>
      </c>
      <c r="U620" s="455"/>
    </row>
    <row r="621" spans="14:21">
      <c r="N621" s="407">
        <v>590</v>
      </c>
      <c r="O621" s="407">
        <v>219.83967154522963</v>
      </c>
      <c r="U621" s="455"/>
    </row>
    <row r="622" spans="14:21">
      <c r="N622" s="407">
        <v>591</v>
      </c>
      <c r="O622" s="407">
        <v>256.95246828864543</v>
      </c>
      <c r="U622" s="455"/>
    </row>
    <row r="623" spans="14:21">
      <c r="N623" s="407">
        <v>592</v>
      </c>
      <c r="O623" s="407">
        <v>76.31639259748826</v>
      </c>
      <c r="U623" s="455"/>
    </row>
    <row r="624" spans="14:21">
      <c r="N624" s="407">
        <v>593</v>
      </c>
      <c r="O624" s="407">
        <v>88.903806076447992</v>
      </c>
      <c r="U624" s="455"/>
    </row>
    <row r="625" spans="14:21">
      <c r="N625" s="407">
        <v>594</v>
      </c>
      <c r="O625" s="407">
        <v>144.19662487978729</v>
      </c>
      <c r="U625" s="455"/>
    </row>
    <row r="626" spans="14:21">
      <c r="N626" s="407">
        <v>595</v>
      </c>
      <c r="O626" s="407">
        <v>133.83824212309085</v>
      </c>
      <c r="U626" s="455"/>
    </row>
    <row r="627" spans="14:21">
      <c r="N627" s="407">
        <v>596</v>
      </c>
      <c r="O627" s="407">
        <v>146.07726800286571</v>
      </c>
      <c r="U627" s="455"/>
    </row>
    <row r="628" spans="14:21">
      <c r="N628" s="407">
        <v>597</v>
      </c>
      <c r="O628" s="407">
        <v>169.44701931447614</v>
      </c>
      <c r="U628" s="455"/>
    </row>
    <row r="629" spans="14:21">
      <c r="N629" s="407">
        <v>598</v>
      </c>
      <c r="O629" s="407">
        <v>148.55442313381866</v>
      </c>
      <c r="U629" s="455"/>
    </row>
    <row r="630" spans="14:21">
      <c r="N630" s="407">
        <v>599</v>
      </c>
      <c r="O630" s="407">
        <v>227.78093024955277</v>
      </c>
      <c r="U630" s="455"/>
    </row>
    <row r="631" spans="14:21">
      <c r="N631" s="407">
        <v>600</v>
      </c>
      <c r="O631" s="407">
        <v>250.3022375937835</v>
      </c>
      <c r="U631" s="455"/>
    </row>
    <row r="632" spans="14:21">
      <c r="N632" s="407">
        <v>601</v>
      </c>
      <c r="O632" s="407">
        <v>161.41705928028705</v>
      </c>
      <c r="U632" s="455"/>
    </row>
    <row r="633" spans="14:21">
      <c r="N633" s="407">
        <v>602</v>
      </c>
      <c r="O633" s="407">
        <v>133.2025858882065</v>
      </c>
      <c r="U633" s="455"/>
    </row>
    <row r="634" spans="14:21">
      <c r="N634" s="407">
        <v>603</v>
      </c>
      <c r="O634" s="407">
        <v>165.60615573306265</v>
      </c>
      <c r="U634" s="455"/>
    </row>
    <row r="635" spans="14:21">
      <c r="N635" s="407">
        <v>604</v>
      </c>
      <c r="O635" s="407">
        <v>155.64907519067637</v>
      </c>
      <c r="U635" s="455"/>
    </row>
    <row r="636" spans="14:21">
      <c r="N636" s="407">
        <v>605</v>
      </c>
      <c r="O636" s="407">
        <v>189.15528784531759</v>
      </c>
      <c r="U636" s="455"/>
    </row>
    <row r="637" spans="14:21">
      <c r="N637" s="407">
        <v>606</v>
      </c>
      <c r="O637" s="407">
        <v>121.58261176614769</v>
      </c>
      <c r="U637" s="455"/>
    </row>
    <row r="638" spans="14:21">
      <c r="N638" s="407">
        <v>607</v>
      </c>
      <c r="O638" s="407">
        <v>360.17411105600303</v>
      </c>
      <c r="U638" s="455"/>
    </row>
    <row r="639" spans="14:21">
      <c r="N639" s="407">
        <v>608</v>
      </c>
      <c r="O639" s="407">
        <v>143.66948050858332</v>
      </c>
      <c r="U639" s="455"/>
    </row>
    <row r="640" spans="14:21">
      <c r="N640" s="407">
        <v>609</v>
      </c>
      <c r="O640" s="407">
        <v>175.8876258977466</v>
      </c>
      <c r="U640" s="455"/>
    </row>
    <row r="641" spans="14:21">
      <c r="N641" s="407">
        <v>610</v>
      </c>
      <c r="O641" s="407">
        <v>121.20757434272579</v>
      </c>
      <c r="U641" s="455"/>
    </row>
    <row r="642" spans="14:21">
      <c r="N642" s="407">
        <v>611</v>
      </c>
      <c r="O642" s="407">
        <v>137.58530531924333</v>
      </c>
      <c r="U642" s="455"/>
    </row>
    <row r="643" spans="14:21">
      <c r="N643" s="407">
        <v>612</v>
      </c>
      <c r="O643" s="407">
        <v>192.08846780618271</v>
      </c>
      <c r="U643" s="455"/>
    </row>
    <row r="644" spans="14:21">
      <c r="N644" s="407">
        <v>613</v>
      </c>
      <c r="O644" s="407">
        <v>272.32776413544093</v>
      </c>
      <c r="U644" s="455"/>
    </row>
    <row r="645" spans="14:21">
      <c r="N645" s="407">
        <v>614</v>
      </c>
      <c r="O645" s="407">
        <v>175.15644749208226</v>
      </c>
      <c r="U645" s="455"/>
    </row>
    <row r="646" spans="14:21">
      <c r="N646" s="407">
        <v>615</v>
      </c>
      <c r="O646" s="407">
        <v>97.348340054748334</v>
      </c>
      <c r="U646" s="455"/>
    </row>
    <row r="647" spans="14:21">
      <c r="N647" s="407">
        <v>616</v>
      </c>
      <c r="O647" s="407">
        <v>77.715194272588064</v>
      </c>
      <c r="U647" s="455"/>
    </row>
    <row r="648" spans="14:21">
      <c r="N648" s="407">
        <v>617</v>
      </c>
      <c r="O648" s="407">
        <v>139.20011907580124</v>
      </c>
      <c r="U648" s="455"/>
    </row>
    <row r="649" spans="14:21">
      <c r="N649" s="407">
        <v>618</v>
      </c>
      <c r="O649" s="407">
        <v>349.49173184445164</v>
      </c>
    </row>
    <row r="650" spans="14:21">
      <c r="N650" s="407">
        <v>619</v>
      </c>
      <c r="O650" s="407">
        <v>114.38146094335345</v>
      </c>
    </row>
    <row r="651" spans="14:21">
      <c r="N651" s="407">
        <v>620</v>
      </c>
      <c r="O651" s="407">
        <v>140.32235107533151</v>
      </c>
    </row>
    <row r="652" spans="14:21">
      <c r="N652" s="407">
        <v>621</v>
      </c>
      <c r="O652" s="407">
        <v>116.35907218659898</v>
      </c>
    </row>
    <row r="653" spans="14:21">
      <c r="N653" s="407">
        <v>622</v>
      </c>
      <c r="O653" s="407">
        <v>233.74679047229375</v>
      </c>
    </row>
    <row r="654" spans="14:21">
      <c r="N654" s="407">
        <v>623</v>
      </c>
      <c r="O654" s="407">
        <v>93.854953905664971</v>
      </c>
    </row>
    <row r="655" spans="14:21">
      <c r="N655" s="407">
        <v>624</v>
      </c>
      <c r="O655" s="407">
        <v>150.7166443221868</v>
      </c>
    </row>
    <row r="656" spans="14:21">
      <c r="N656" s="407">
        <v>625</v>
      </c>
      <c r="O656" s="407">
        <v>194.65871648029892</v>
      </c>
    </row>
    <row r="657" spans="14:15">
      <c r="N657" s="407">
        <v>626</v>
      </c>
      <c r="O657" s="407">
        <v>126.03902745727325</v>
      </c>
    </row>
    <row r="658" spans="14:15">
      <c r="N658" s="407">
        <v>627</v>
      </c>
      <c r="O658" s="407">
        <v>114.79383104102146</v>
      </c>
    </row>
    <row r="659" spans="14:15">
      <c r="N659" s="407">
        <v>628</v>
      </c>
      <c r="O659" s="407">
        <v>112.20048556672793</v>
      </c>
    </row>
    <row r="660" spans="14:15">
      <c r="N660" s="407">
        <v>629</v>
      </c>
      <c r="O660" s="407">
        <v>116.75586100096778</v>
      </c>
    </row>
    <row r="661" spans="14:15">
      <c r="N661" s="407">
        <v>630</v>
      </c>
      <c r="O661" s="407">
        <v>120.17156207167575</v>
      </c>
    </row>
    <row r="662" spans="14:15">
      <c r="N662" s="407">
        <v>631</v>
      </c>
      <c r="O662" s="407">
        <v>146.61231373591892</v>
      </c>
    </row>
    <row r="663" spans="14:15">
      <c r="N663" s="407">
        <v>632</v>
      </c>
      <c r="O663" s="407">
        <v>132.75882589031852</v>
      </c>
    </row>
    <row r="664" spans="14:15">
      <c r="N664" s="407">
        <v>633</v>
      </c>
      <c r="O664" s="407">
        <v>205.66326299483225</v>
      </c>
    </row>
    <row r="665" spans="14:15">
      <c r="N665" s="407">
        <v>634</v>
      </c>
      <c r="O665" s="407">
        <v>89.960005254009531</v>
      </c>
    </row>
    <row r="666" spans="14:15">
      <c r="N666" s="407">
        <v>635</v>
      </c>
      <c r="O666" s="407">
        <v>149.31640195917538</v>
      </c>
    </row>
    <row r="667" spans="14:15">
      <c r="N667" s="407">
        <v>636</v>
      </c>
      <c r="O667" s="407">
        <v>401.36378827513289</v>
      </c>
    </row>
    <row r="668" spans="14:15">
      <c r="N668" s="407">
        <v>637</v>
      </c>
      <c r="O668" s="407">
        <v>107.0504863604464</v>
      </c>
    </row>
    <row r="669" spans="14:15">
      <c r="N669" s="407">
        <v>638</v>
      </c>
      <c r="O669" s="407">
        <v>208.15603082913307</v>
      </c>
    </row>
    <row r="670" spans="14:15">
      <c r="N670" s="407">
        <v>639</v>
      </c>
      <c r="O670" s="407">
        <v>145.29676037042526</v>
      </c>
    </row>
    <row r="671" spans="14:15">
      <c r="N671" s="407">
        <v>640</v>
      </c>
      <c r="O671" s="407">
        <v>149.37932593755585</v>
      </c>
    </row>
    <row r="672" spans="14:15">
      <c r="N672" s="407">
        <v>641</v>
      </c>
      <c r="O672" s="407">
        <v>235.89211123042222</v>
      </c>
    </row>
    <row r="673" spans="14:21">
      <c r="N673" s="407">
        <v>642</v>
      </c>
      <c r="O673" s="407">
        <v>113.64075436653032</v>
      </c>
    </row>
    <row r="674" spans="14:21">
      <c r="N674" s="407">
        <v>643</v>
      </c>
      <c r="O674" s="407">
        <v>120.06709265403727</v>
      </c>
    </row>
    <row r="675" spans="14:21">
      <c r="N675" s="407">
        <v>644</v>
      </c>
      <c r="O675" s="407">
        <v>194.3923897881798</v>
      </c>
    </row>
    <row r="676" spans="14:21">
      <c r="N676" s="407">
        <v>645</v>
      </c>
      <c r="O676" s="407">
        <v>174.68948676681975</v>
      </c>
    </row>
    <row r="677" spans="14:21">
      <c r="N677" s="407">
        <v>646</v>
      </c>
      <c r="O677" s="407">
        <v>135.05648302713439</v>
      </c>
    </row>
    <row r="678" spans="14:21">
      <c r="N678" s="407">
        <v>647</v>
      </c>
      <c r="O678" s="407">
        <v>77.741693538482878</v>
      </c>
    </row>
    <row r="679" spans="14:21">
      <c r="N679" s="407">
        <v>648</v>
      </c>
      <c r="O679" s="407">
        <v>114.35020019634153</v>
      </c>
    </row>
    <row r="680" spans="14:21">
      <c r="N680" s="407">
        <v>649</v>
      </c>
      <c r="O680" s="407">
        <v>161.88126447804061</v>
      </c>
      <c r="U680" s="455"/>
    </row>
    <row r="681" spans="14:21">
      <c r="N681" s="407">
        <v>650</v>
      </c>
      <c r="O681" s="407">
        <v>115.61365921269939</v>
      </c>
      <c r="U681" s="455"/>
    </row>
    <row r="682" spans="14:21">
      <c r="N682" s="407">
        <v>651</v>
      </c>
      <c r="O682" s="407">
        <v>110.94876332063907</v>
      </c>
      <c r="U682" s="455"/>
    </row>
    <row r="683" spans="14:21">
      <c r="N683" s="407">
        <v>652</v>
      </c>
      <c r="O683" s="407">
        <v>128.50138465801376</v>
      </c>
      <c r="U683" s="455"/>
    </row>
    <row r="684" spans="14:21">
      <c r="N684" s="407">
        <v>653</v>
      </c>
      <c r="O684" s="407">
        <v>130.14927559560235</v>
      </c>
      <c r="U684" s="455"/>
    </row>
    <row r="685" spans="14:21">
      <c r="N685" s="407">
        <v>654</v>
      </c>
      <c r="O685" s="407">
        <v>191.05422456081965</v>
      </c>
      <c r="U685" s="455"/>
    </row>
    <row r="686" spans="14:21">
      <c r="N686" s="407">
        <v>655</v>
      </c>
      <c r="O686" s="407">
        <v>86.089972621065073</v>
      </c>
      <c r="U686" s="455"/>
    </row>
    <row r="687" spans="14:21">
      <c r="N687" s="407">
        <v>656</v>
      </c>
      <c r="O687" s="407">
        <v>144.51521078790057</v>
      </c>
      <c r="U687" s="455"/>
    </row>
    <row r="688" spans="14:21">
      <c r="N688" s="407">
        <v>657</v>
      </c>
      <c r="O688" s="407">
        <v>86.640439133300291</v>
      </c>
      <c r="U688" s="455"/>
    </row>
    <row r="689" spans="14:21">
      <c r="N689" s="407">
        <v>658</v>
      </c>
      <c r="O689" s="407">
        <v>169.13457668801911</v>
      </c>
      <c r="U689" s="455"/>
    </row>
    <row r="690" spans="14:21">
      <c r="N690" s="407">
        <v>659</v>
      </c>
      <c r="O690" s="407">
        <v>241.57364596121249</v>
      </c>
      <c r="U690" s="455"/>
    </row>
    <row r="691" spans="14:21">
      <c r="N691" s="407">
        <v>660</v>
      </c>
      <c r="O691" s="407">
        <v>341.80379804731615</v>
      </c>
      <c r="U691" s="455"/>
    </row>
    <row r="692" spans="14:21">
      <c r="N692" s="407">
        <v>661</v>
      </c>
      <c r="O692" s="407">
        <v>100.10582863778492</v>
      </c>
      <c r="U692" s="455"/>
    </row>
    <row r="693" spans="14:21">
      <c r="N693" s="407">
        <v>662</v>
      </c>
      <c r="O693" s="407">
        <v>134.43326799417946</v>
      </c>
      <c r="U693" s="455"/>
    </row>
    <row r="694" spans="14:21">
      <c r="N694" s="407">
        <v>663</v>
      </c>
      <c r="O694" s="407">
        <v>190.31253852337511</v>
      </c>
      <c r="U694" s="455"/>
    </row>
    <row r="695" spans="14:21">
      <c r="N695" s="407">
        <v>664</v>
      </c>
      <c r="O695" s="407">
        <v>163.23990674756499</v>
      </c>
      <c r="U695" s="455"/>
    </row>
    <row r="696" spans="14:21">
      <c r="N696" s="407">
        <v>665</v>
      </c>
      <c r="O696" s="407">
        <v>227.45533137674377</v>
      </c>
      <c r="U696" s="455"/>
    </row>
    <row r="697" spans="14:21">
      <c r="N697" s="407">
        <v>666</v>
      </c>
      <c r="O697" s="407">
        <v>145.01510519821835</v>
      </c>
      <c r="U697" s="455"/>
    </row>
    <row r="698" spans="14:21">
      <c r="N698" s="407">
        <v>667</v>
      </c>
      <c r="O698" s="407">
        <v>154.49825562401094</v>
      </c>
      <c r="U698" s="455"/>
    </row>
    <row r="699" spans="14:21">
      <c r="N699" s="407">
        <v>668</v>
      </c>
      <c r="O699" s="407">
        <v>189.92551868597323</v>
      </c>
      <c r="U699" s="455"/>
    </row>
    <row r="700" spans="14:21">
      <c r="N700" s="407">
        <v>669</v>
      </c>
      <c r="O700" s="407">
        <v>139.83764466331542</v>
      </c>
      <c r="U700" s="455"/>
    </row>
    <row r="701" spans="14:21">
      <c r="N701" s="407">
        <v>670</v>
      </c>
      <c r="O701" s="407">
        <v>117.80057446897614</v>
      </c>
      <c r="U701" s="455"/>
    </row>
    <row r="702" spans="14:21">
      <c r="N702" s="407">
        <v>671</v>
      </c>
      <c r="O702" s="407">
        <v>76.595254559503303</v>
      </c>
      <c r="U702" s="455"/>
    </row>
    <row r="703" spans="14:21">
      <c r="N703" s="407">
        <v>672</v>
      </c>
      <c r="O703" s="407">
        <v>174.35552602481908</v>
      </c>
      <c r="U703" s="455"/>
    </row>
    <row r="704" spans="14:21">
      <c r="N704" s="407">
        <v>673</v>
      </c>
      <c r="O704" s="407">
        <v>86.959374546077072</v>
      </c>
      <c r="U704" s="455"/>
    </row>
    <row r="705" spans="14:21">
      <c r="N705" s="407">
        <v>674</v>
      </c>
      <c r="O705" s="407">
        <v>187.42103671568273</v>
      </c>
      <c r="U705" s="455"/>
    </row>
    <row r="706" spans="14:21">
      <c r="N706" s="407">
        <v>675</v>
      </c>
      <c r="O706" s="407">
        <v>137.01554083580919</v>
      </c>
      <c r="U706" s="455"/>
    </row>
    <row r="707" spans="14:21">
      <c r="N707" s="407">
        <v>676</v>
      </c>
      <c r="O707" s="407">
        <v>292.40381014490356</v>
      </c>
      <c r="U707" s="455"/>
    </row>
    <row r="708" spans="14:21">
      <c r="N708" s="407">
        <v>677</v>
      </c>
      <c r="O708" s="407">
        <v>103.82255492886898</v>
      </c>
      <c r="U708" s="455"/>
    </row>
    <row r="709" spans="14:21">
      <c r="N709" s="407">
        <v>678</v>
      </c>
      <c r="O709" s="407">
        <v>138.44316168884168</v>
      </c>
      <c r="U709" s="455"/>
    </row>
    <row r="710" spans="14:21">
      <c r="N710" s="407">
        <v>679</v>
      </c>
      <c r="O710" s="407">
        <v>135.01590103122072</v>
      </c>
      <c r="U710" s="455"/>
    </row>
    <row r="711" spans="14:21">
      <c r="N711" s="407">
        <v>680</v>
      </c>
      <c r="O711" s="407">
        <v>121.45229939587271</v>
      </c>
      <c r="U711" s="455"/>
    </row>
    <row r="712" spans="14:21">
      <c r="N712" s="407">
        <v>681</v>
      </c>
      <c r="O712" s="407">
        <v>202.60971807900629</v>
      </c>
      <c r="U712" s="455"/>
    </row>
    <row r="713" spans="14:21">
      <c r="N713" s="407">
        <v>682</v>
      </c>
      <c r="O713" s="407">
        <v>242.57267370103159</v>
      </c>
      <c r="U713" s="455"/>
    </row>
    <row r="714" spans="14:21">
      <c r="N714" s="407">
        <v>683</v>
      </c>
      <c r="O714" s="407">
        <v>151.02952985360903</v>
      </c>
      <c r="U714" s="455"/>
    </row>
    <row r="715" spans="14:21">
      <c r="N715" s="407">
        <v>684</v>
      </c>
      <c r="O715" s="407">
        <v>97.711443020101996</v>
      </c>
      <c r="U715" s="455"/>
    </row>
    <row r="716" spans="14:21">
      <c r="N716" s="407">
        <v>685</v>
      </c>
      <c r="O716" s="407">
        <v>113.34746493105249</v>
      </c>
      <c r="U716" s="455"/>
    </row>
    <row r="717" spans="14:21">
      <c r="N717" s="407">
        <v>686</v>
      </c>
      <c r="O717" s="407">
        <v>196.01182174490245</v>
      </c>
      <c r="U717" s="455"/>
    </row>
    <row r="718" spans="14:21">
      <c r="N718" s="407">
        <v>687</v>
      </c>
      <c r="O718" s="407">
        <v>282.21850659934273</v>
      </c>
      <c r="U718" s="455"/>
    </row>
    <row r="719" spans="14:21">
      <c r="N719" s="407">
        <v>688</v>
      </c>
      <c r="O719" s="407">
        <v>175.61196830023002</v>
      </c>
      <c r="U719" s="455"/>
    </row>
    <row r="720" spans="14:21">
      <c r="N720" s="407">
        <v>689</v>
      </c>
      <c r="O720" s="407">
        <v>130.85042091024326</v>
      </c>
      <c r="U720" s="455"/>
    </row>
    <row r="721" spans="14:21">
      <c r="N721" s="407">
        <v>690</v>
      </c>
      <c r="O721" s="407">
        <v>103.05703008393118</v>
      </c>
      <c r="U721" s="455"/>
    </row>
    <row r="722" spans="14:21">
      <c r="N722" s="407">
        <v>691</v>
      </c>
      <c r="O722" s="407">
        <v>126.29188382704882</v>
      </c>
      <c r="U722" s="455"/>
    </row>
    <row r="723" spans="14:21">
      <c r="N723" s="407">
        <v>692</v>
      </c>
      <c r="O723" s="407">
        <v>265.54712143093172</v>
      </c>
      <c r="U723" s="455"/>
    </row>
    <row r="724" spans="14:21">
      <c r="N724" s="407">
        <v>693</v>
      </c>
      <c r="O724" s="407">
        <v>64.7517566854291</v>
      </c>
      <c r="U724" s="455"/>
    </row>
    <row r="725" spans="14:21">
      <c r="N725" s="407">
        <v>694</v>
      </c>
      <c r="O725" s="407">
        <v>173.91326086850049</v>
      </c>
      <c r="U725" s="455"/>
    </row>
    <row r="726" spans="14:21">
      <c r="N726" s="407">
        <v>695</v>
      </c>
      <c r="O726" s="407">
        <v>142.75362512902197</v>
      </c>
      <c r="U726" s="455"/>
    </row>
    <row r="727" spans="14:21">
      <c r="N727" s="407">
        <v>696</v>
      </c>
      <c r="O727" s="407">
        <v>91.624071248366079</v>
      </c>
      <c r="U727" s="455"/>
    </row>
    <row r="728" spans="14:21">
      <c r="N728" s="407">
        <v>697</v>
      </c>
      <c r="O728" s="407">
        <v>154.74891569848697</v>
      </c>
      <c r="U728" s="455"/>
    </row>
    <row r="729" spans="14:21">
      <c r="N729" s="407">
        <v>698</v>
      </c>
      <c r="O729" s="407">
        <v>191.53697747016784</v>
      </c>
      <c r="U729" s="455"/>
    </row>
    <row r="730" spans="14:21">
      <c r="N730" s="407">
        <v>699</v>
      </c>
      <c r="O730" s="407">
        <v>111.06001286933046</v>
      </c>
      <c r="U730" s="455"/>
    </row>
    <row r="731" spans="14:21">
      <c r="N731" s="407">
        <v>700</v>
      </c>
      <c r="O731" s="407">
        <v>96.780624892651275</v>
      </c>
      <c r="U731" s="455"/>
    </row>
    <row r="732" spans="14:21">
      <c r="N732" s="407">
        <v>701</v>
      </c>
      <c r="O732" s="407">
        <v>123.298240908144</v>
      </c>
      <c r="U732" s="455"/>
    </row>
    <row r="733" spans="14:21">
      <c r="N733" s="407">
        <v>702</v>
      </c>
      <c r="O733" s="407">
        <v>102.14493572854376</v>
      </c>
      <c r="U733" s="455"/>
    </row>
    <row r="734" spans="14:21">
      <c r="N734" s="407">
        <v>703</v>
      </c>
      <c r="O734" s="407">
        <v>130.87598534530369</v>
      </c>
      <c r="U734" s="455"/>
    </row>
    <row r="735" spans="14:21">
      <c r="N735" s="407">
        <v>704</v>
      </c>
      <c r="O735" s="407">
        <v>341.25195099447643</v>
      </c>
      <c r="U735" s="455"/>
    </row>
    <row r="736" spans="14:21">
      <c r="N736" s="407">
        <v>705</v>
      </c>
      <c r="O736" s="407">
        <v>158.89387712001911</v>
      </c>
      <c r="U736" s="455"/>
    </row>
    <row r="737" spans="14:21">
      <c r="N737" s="407">
        <v>706</v>
      </c>
      <c r="O737" s="407">
        <v>240.15281420029117</v>
      </c>
      <c r="U737" s="455"/>
    </row>
    <row r="738" spans="14:21">
      <c r="N738" s="407">
        <v>707</v>
      </c>
      <c r="O738" s="407">
        <v>493.44528095947749</v>
      </c>
      <c r="U738" s="455"/>
    </row>
    <row r="739" spans="14:21">
      <c r="N739" s="407">
        <v>708</v>
      </c>
      <c r="O739" s="407">
        <v>116.03960591163535</v>
      </c>
      <c r="U739" s="455"/>
    </row>
    <row r="740" spans="14:21">
      <c r="N740" s="407">
        <v>709</v>
      </c>
      <c r="O740" s="407">
        <v>198.03684904531465</v>
      </c>
      <c r="U740" s="455"/>
    </row>
    <row r="741" spans="14:21">
      <c r="N741" s="407">
        <v>710</v>
      </c>
      <c r="O741" s="407">
        <v>118.91284529681933</v>
      </c>
    </row>
    <row r="742" spans="14:21">
      <c r="N742" s="407">
        <v>711</v>
      </c>
      <c r="O742" s="407">
        <v>100.75258298004262</v>
      </c>
    </row>
    <row r="743" spans="14:21">
      <c r="N743" s="407">
        <v>712</v>
      </c>
      <c r="O743" s="407">
        <v>102.61928335020771</v>
      </c>
    </row>
    <row r="744" spans="14:21">
      <c r="N744" s="407">
        <v>713</v>
      </c>
      <c r="O744" s="407">
        <v>148.55251058897849</v>
      </c>
    </row>
    <row r="745" spans="14:21">
      <c r="N745" s="407">
        <v>714</v>
      </c>
      <c r="O745" s="407">
        <v>172.08911053400837</v>
      </c>
    </row>
    <row r="746" spans="14:21">
      <c r="N746" s="407">
        <v>715</v>
      </c>
      <c r="O746" s="407">
        <v>230.18385206388211</v>
      </c>
    </row>
    <row r="747" spans="14:21">
      <c r="N747" s="407">
        <v>716</v>
      </c>
      <c r="O747" s="407">
        <v>189.5495451614764</v>
      </c>
    </row>
    <row r="748" spans="14:21">
      <c r="N748" s="407">
        <v>717</v>
      </c>
      <c r="O748" s="407">
        <v>549.3791143147248</v>
      </c>
    </row>
    <row r="749" spans="14:21">
      <c r="N749" s="407">
        <v>718</v>
      </c>
      <c r="O749" s="407">
        <v>136.13717695850693</v>
      </c>
    </row>
    <row r="750" spans="14:21">
      <c r="N750" s="407">
        <v>719</v>
      </c>
      <c r="O750" s="407">
        <v>121.36693065021223</v>
      </c>
    </row>
    <row r="751" spans="14:21">
      <c r="N751" s="407">
        <v>720</v>
      </c>
      <c r="O751" s="407">
        <v>124.16426360857463</v>
      </c>
    </row>
    <row r="752" spans="14:21">
      <c r="N752" s="407">
        <v>721</v>
      </c>
      <c r="O752" s="407">
        <v>115.36368231409085</v>
      </c>
    </row>
    <row r="753" spans="14:15">
      <c r="N753" s="407">
        <v>722</v>
      </c>
      <c r="O753" s="407">
        <v>97.066096361459756</v>
      </c>
    </row>
    <row r="754" spans="14:15">
      <c r="N754" s="407">
        <v>723</v>
      </c>
      <c r="O754" s="407">
        <v>174.72270555269566</v>
      </c>
    </row>
    <row r="755" spans="14:15">
      <c r="N755" s="407">
        <v>724</v>
      </c>
      <c r="O755" s="407">
        <v>119.57053035013415</v>
      </c>
    </row>
    <row r="756" spans="14:15">
      <c r="N756" s="407">
        <v>725</v>
      </c>
      <c r="O756" s="407">
        <v>108.91488728796028</v>
      </c>
    </row>
    <row r="757" spans="14:15">
      <c r="N757" s="407">
        <v>726</v>
      </c>
      <c r="O757" s="407">
        <v>83.497772404813205</v>
      </c>
    </row>
    <row r="758" spans="14:15">
      <c r="N758" s="407">
        <v>727</v>
      </c>
      <c r="O758" s="407">
        <v>111.96988410367339</v>
      </c>
    </row>
    <row r="759" spans="14:15">
      <c r="N759" s="407">
        <v>728</v>
      </c>
      <c r="O759" s="407">
        <v>157.03959072081076</v>
      </c>
    </row>
    <row r="760" spans="14:15">
      <c r="N760" s="407">
        <v>729</v>
      </c>
      <c r="O760" s="407">
        <v>110.56787914668374</v>
      </c>
    </row>
    <row r="761" spans="14:15">
      <c r="N761" s="407">
        <v>730</v>
      </c>
      <c r="O761" s="407">
        <v>145.02717715631292</v>
      </c>
    </row>
    <row r="762" spans="14:15">
      <c r="N762" s="407">
        <v>731</v>
      </c>
      <c r="O762" s="407">
        <v>150.01546847944638</v>
      </c>
    </row>
    <row r="763" spans="14:15">
      <c r="N763" s="407">
        <v>732</v>
      </c>
      <c r="O763" s="407">
        <v>198.15648891166612</v>
      </c>
    </row>
    <row r="764" spans="14:15">
      <c r="N764" s="407">
        <v>733</v>
      </c>
      <c r="O764" s="407">
        <v>130.7962434063445</v>
      </c>
    </row>
    <row r="765" spans="14:15">
      <c r="N765" s="407">
        <v>734</v>
      </c>
      <c r="O765" s="407">
        <v>149.98930766346231</v>
      </c>
    </row>
    <row r="766" spans="14:15">
      <c r="N766" s="407">
        <v>735</v>
      </c>
      <c r="O766" s="407">
        <v>250.59197977224855</v>
      </c>
    </row>
    <row r="767" spans="14:15">
      <c r="N767" s="407">
        <v>736</v>
      </c>
      <c r="O767" s="407">
        <v>178.78275847654675</v>
      </c>
    </row>
    <row r="768" spans="14:15">
      <c r="N768" s="407">
        <v>737</v>
      </c>
      <c r="O768" s="407">
        <v>111.22063104095747</v>
      </c>
    </row>
    <row r="769" spans="14:21">
      <c r="N769" s="407">
        <v>738</v>
      </c>
      <c r="O769" s="407">
        <v>216.39276411039228</v>
      </c>
    </row>
    <row r="770" spans="14:21">
      <c r="N770" s="407">
        <v>739</v>
      </c>
      <c r="O770" s="407">
        <v>168.50514525301918</v>
      </c>
    </row>
    <row r="771" spans="14:21">
      <c r="N771" s="407">
        <v>740</v>
      </c>
      <c r="O771" s="407">
        <v>191.98611667748474</v>
      </c>
    </row>
    <row r="772" spans="14:21">
      <c r="N772" s="407">
        <v>741</v>
      </c>
      <c r="O772" s="407">
        <v>116.7364394565728</v>
      </c>
      <c r="U772" s="455"/>
    </row>
    <row r="773" spans="14:21">
      <c r="N773" s="407">
        <v>742</v>
      </c>
      <c r="O773" s="407">
        <v>127.62633774327765</v>
      </c>
      <c r="U773" s="455"/>
    </row>
    <row r="774" spans="14:21">
      <c r="N774" s="407">
        <v>743</v>
      </c>
      <c r="O774" s="407">
        <v>91.197371206243517</v>
      </c>
      <c r="U774" s="455"/>
    </row>
    <row r="775" spans="14:21">
      <c r="N775" s="407">
        <v>744</v>
      </c>
      <c r="O775" s="407">
        <v>152.75510282442477</v>
      </c>
      <c r="U775" s="455"/>
    </row>
    <row r="776" spans="14:21">
      <c r="N776" s="407">
        <v>745</v>
      </c>
      <c r="O776" s="407">
        <v>89.752516941240756</v>
      </c>
      <c r="U776" s="455"/>
    </row>
    <row r="777" spans="14:21">
      <c r="N777" s="407">
        <v>746</v>
      </c>
      <c r="O777" s="407">
        <v>95.85731474055406</v>
      </c>
      <c r="U777" s="455"/>
    </row>
    <row r="778" spans="14:21">
      <c r="N778" s="407">
        <v>747</v>
      </c>
      <c r="O778" s="407">
        <v>172.20667654679175</v>
      </c>
      <c r="U778" s="455"/>
    </row>
    <row r="779" spans="14:21">
      <c r="N779" s="407">
        <v>748</v>
      </c>
      <c r="O779" s="407">
        <v>224.45167488357407</v>
      </c>
      <c r="U779" s="455"/>
    </row>
    <row r="780" spans="14:21">
      <c r="N780" s="407">
        <v>749</v>
      </c>
      <c r="O780" s="407">
        <v>88.830541023336636</v>
      </c>
      <c r="U780" s="455"/>
    </row>
    <row r="781" spans="14:21">
      <c r="N781" s="407">
        <v>750</v>
      </c>
      <c r="O781" s="407">
        <v>147.23404949420697</v>
      </c>
      <c r="U781" s="455"/>
    </row>
    <row r="782" spans="14:21">
      <c r="N782" s="407">
        <v>751</v>
      </c>
      <c r="O782" s="407">
        <v>257.40280606228998</v>
      </c>
      <c r="U782" s="455"/>
    </row>
    <row r="783" spans="14:21">
      <c r="N783" s="407">
        <v>752</v>
      </c>
      <c r="O783" s="407">
        <v>140.09907238785812</v>
      </c>
      <c r="U783" s="455"/>
    </row>
    <row r="784" spans="14:21">
      <c r="N784" s="407">
        <v>753</v>
      </c>
      <c r="O784" s="407">
        <v>122.4672619994451</v>
      </c>
      <c r="U784" s="455"/>
    </row>
    <row r="785" spans="14:21">
      <c r="N785" s="407">
        <v>754</v>
      </c>
      <c r="O785" s="407">
        <v>239.73705204256515</v>
      </c>
      <c r="U785" s="455"/>
    </row>
    <row r="786" spans="14:21">
      <c r="N786" s="407">
        <v>755</v>
      </c>
      <c r="O786" s="407">
        <v>180.01101969237354</v>
      </c>
      <c r="U786" s="455"/>
    </row>
    <row r="787" spans="14:21">
      <c r="N787" s="407">
        <v>756</v>
      </c>
      <c r="O787" s="407">
        <v>198.48687694527098</v>
      </c>
      <c r="U787" s="455"/>
    </row>
    <row r="788" spans="14:21">
      <c r="N788" s="407">
        <v>757</v>
      </c>
      <c r="O788" s="407">
        <v>189.99616280721654</v>
      </c>
      <c r="U788" s="455"/>
    </row>
    <row r="789" spans="14:21">
      <c r="N789" s="407">
        <v>758</v>
      </c>
      <c r="O789" s="407">
        <v>123.38353112204126</v>
      </c>
      <c r="U789" s="455"/>
    </row>
    <row r="790" spans="14:21">
      <c r="N790" s="407">
        <v>759</v>
      </c>
      <c r="O790" s="407">
        <v>103.60953689289509</v>
      </c>
      <c r="U790" s="455"/>
    </row>
    <row r="791" spans="14:21">
      <c r="N791" s="407">
        <v>760</v>
      </c>
      <c r="O791" s="407">
        <v>117.30032370750403</v>
      </c>
      <c r="U791" s="455"/>
    </row>
    <row r="792" spans="14:21">
      <c r="N792" s="407">
        <v>761</v>
      </c>
      <c r="O792" s="407">
        <v>130.44166208243868</v>
      </c>
      <c r="U792" s="455"/>
    </row>
    <row r="793" spans="14:21">
      <c r="N793" s="407">
        <v>762</v>
      </c>
      <c r="O793" s="407">
        <v>112.12165576759514</v>
      </c>
      <c r="U793" s="455"/>
    </row>
    <row r="794" spans="14:21">
      <c r="N794" s="407">
        <v>763</v>
      </c>
      <c r="O794" s="407">
        <v>146.1075310730985</v>
      </c>
      <c r="U794" s="455"/>
    </row>
    <row r="795" spans="14:21">
      <c r="N795" s="407">
        <v>764</v>
      </c>
      <c r="O795" s="407">
        <v>190.26104251583959</v>
      </c>
      <c r="U795" s="455"/>
    </row>
    <row r="796" spans="14:21">
      <c r="N796" s="407">
        <v>765</v>
      </c>
      <c r="O796" s="407">
        <v>99.441496620366181</v>
      </c>
      <c r="U796" s="455"/>
    </row>
    <row r="797" spans="14:21">
      <c r="N797" s="407">
        <v>766</v>
      </c>
      <c r="O797" s="407">
        <v>235.62021900353926</v>
      </c>
      <c r="U797" s="455"/>
    </row>
    <row r="798" spans="14:21">
      <c r="N798" s="407">
        <v>767</v>
      </c>
      <c r="O798" s="407">
        <v>334.47319124309649</v>
      </c>
      <c r="U798" s="455"/>
    </row>
    <row r="799" spans="14:21">
      <c r="N799" s="407">
        <v>768</v>
      </c>
      <c r="O799" s="407">
        <v>122.48346167378359</v>
      </c>
      <c r="U799" s="455"/>
    </row>
    <row r="800" spans="14:21">
      <c r="N800" s="407">
        <v>769</v>
      </c>
      <c r="O800" s="407">
        <v>134.00783234156415</v>
      </c>
      <c r="U800" s="455"/>
    </row>
    <row r="801" spans="14:21">
      <c r="N801" s="407">
        <v>770</v>
      </c>
      <c r="O801" s="407">
        <v>109.04894399810769</v>
      </c>
      <c r="U801" s="455"/>
    </row>
    <row r="802" spans="14:21">
      <c r="N802" s="407">
        <v>771</v>
      </c>
      <c r="O802" s="407">
        <v>112.98184309443519</v>
      </c>
      <c r="U802" s="455"/>
    </row>
    <row r="803" spans="14:21">
      <c r="N803" s="407">
        <v>772</v>
      </c>
      <c r="O803" s="407">
        <v>151.80118955255651</v>
      </c>
      <c r="U803" s="455"/>
    </row>
    <row r="804" spans="14:21">
      <c r="N804" s="407">
        <v>773</v>
      </c>
      <c r="O804" s="407">
        <v>136.28111424076531</v>
      </c>
      <c r="U804" s="455"/>
    </row>
    <row r="805" spans="14:21">
      <c r="N805" s="407">
        <v>774</v>
      </c>
      <c r="O805" s="407">
        <v>94.113970877009933</v>
      </c>
      <c r="U805" s="455"/>
    </row>
    <row r="806" spans="14:21">
      <c r="N806" s="407">
        <v>775</v>
      </c>
      <c r="O806" s="407">
        <v>185.87836536742998</v>
      </c>
      <c r="U806" s="455"/>
    </row>
    <row r="807" spans="14:21">
      <c r="N807" s="407">
        <v>776</v>
      </c>
      <c r="O807" s="407">
        <v>173.11353038323452</v>
      </c>
      <c r="U807" s="455"/>
    </row>
    <row r="808" spans="14:21">
      <c r="N808" s="407">
        <v>777</v>
      </c>
      <c r="O808" s="407">
        <v>140.07242639523417</v>
      </c>
      <c r="U808" s="455"/>
    </row>
    <row r="809" spans="14:21">
      <c r="N809" s="407">
        <v>778</v>
      </c>
      <c r="O809" s="407">
        <v>889.19655500044564</v>
      </c>
      <c r="U809" s="455"/>
    </row>
    <row r="810" spans="14:21">
      <c r="N810" s="407">
        <v>779</v>
      </c>
      <c r="O810" s="407">
        <v>77.083756553231311</v>
      </c>
      <c r="U810" s="455"/>
    </row>
    <row r="811" spans="14:21">
      <c r="N811" s="407">
        <v>780</v>
      </c>
      <c r="O811" s="407">
        <v>150.31751488593321</v>
      </c>
      <c r="U811" s="455"/>
    </row>
    <row r="812" spans="14:21">
      <c r="N812" s="407">
        <v>781</v>
      </c>
      <c r="O812" s="407">
        <v>148.53101801846418</v>
      </c>
      <c r="U812" s="455"/>
    </row>
    <row r="813" spans="14:21">
      <c r="N813" s="407">
        <v>782</v>
      </c>
      <c r="O813" s="407">
        <v>148.31444148497496</v>
      </c>
      <c r="U813" s="455"/>
    </row>
    <row r="814" spans="14:21">
      <c r="N814" s="407">
        <v>783</v>
      </c>
      <c r="O814" s="407">
        <v>377.30992079158216</v>
      </c>
      <c r="U814" s="455"/>
    </row>
    <row r="815" spans="14:21">
      <c r="N815" s="407">
        <v>784</v>
      </c>
      <c r="O815" s="407">
        <v>126.58124555171207</v>
      </c>
      <c r="U815" s="455"/>
    </row>
    <row r="816" spans="14:21">
      <c r="N816" s="407">
        <v>785</v>
      </c>
      <c r="O816" s="407">
        <v>181.2213908186163</v>
      </c>
      <c r="U816" s="455"/>
    </row>
    <row r="817" spans="14:21">
      <c r="N817" s="407">
        <v>786</v>
      </c>
      <c r="O817" s="407">
        <v>134.93913302217899</v>
      </c>
      <c r="U817" s="455"/>
    </row>
    <row r="818" spans="14:21">
      <c r="N818" s="407">
        <v>787</v>
      </c>
      <c r="O818" s="407">
        <v>164.47700308997221</v>
      </c>
      <c r="U818" s="455"/>
    </row>
    <row r="819" spans="14:21">
      <c r="N819" s="407">
        <v>788</v>
      </c>
      <c r="O819" s="407">
        <v>91.212477055229499</v>
      </c>
      <c r="U819" s="455"/>
    </row>
    <row r="820" spans="14:21">
      <c r="N820" s="407">
        <v>789</v>
      </c>
      <c r="O820" s="407">
        <v>190.41033884446284</v>
      </c>
      <c r="U820" s="455"/>
    </row>
    <row r="821" spans="14:21">
      <c r="N821" s="407">
        <v>790</v>
      </c>
      <c r="O821" s="407">
        <v>148.95017026576497</v>
      </c>
      <c r="U821" s="455"/>
    </row>
    <row r="822" spans="14:21">
      <c r="N822" s="407">
        <v>791</v>
      </c>
      <c r="O822" s="407">
        <v>140.52851140314772</v>
      </c>
    </row>
    <row r="823" spans="14:21">
      <c r="N823" s="407">
        <v>792</v>
      </c>
      <c r="O823" s="407">
        <v>206.15056855868218</v>
      </c>
    </row>
    <row r="824" spans="14:21">
      <c r="N824" s="407">
        <v>793</v>
      </c>
      <c r="O824" s="407">
        <v>128.82689544724644</v>
      </c>
    </row>
    <row r="825" spans="14:21">
      <c r="N825" s="407">
        <v>794</v>
      </c>
      <c r="O825" s="407">
        <v>144.7679541878272</v>
      </c>
    </row>
    <row r="826" spans="14:21">
      <c r="N826" s="407">
        <v>795</v>
      </c>
      <c r="O826" s="407">
        <v>183.25830611656883</v>
      </c>
    </row>
    <row r="827" spans="14:21">
      <c r="N827" s="407">
        <v>796</v>
      </c>
      <c r="O827" s="407">
        <v>133.847314283109</v>
      </c>
    </row>
    <row r="828" spans="14:21">
      <c r="N828" s="407">
        <v>797</v>
      </c>
      <c r="O828" s="407">
        <v>144.06660524778104</v>
      </c>
    </row>
    <row r="829" spans="14:21">
      <c r="N829" s="407">
        <v>798</v>
      </c>
      <c r="O829" s="407">
        <v>255.67525716322825</v>
      </c>
    </row>
    <row r="830" spans="14:21">
      <c r="N830" s="407">
        <v>799</v>
      </c>
      <c r="O830" s="407">
        <v>147.80403520393472</v>
      </c>
    </row>
    <row r="831" spans="14:21">
      <c r="N831" s="407">
        <v>800</v>
      </c>
      <c r="O831" s="407">
        <v>128.62490984769417</v>
      </c>
    </row>
    <row r="832" spans="14:21">
      <c r="N832" s="407">
        <v>801</v>
      </c>
      <c r="O832" s="407">
        <v>228.07663052958404</v>
      </c>
    </row>
    <row r="833" spans="14:15">
      <c r="N833" s="407">
        <v>802</v>
      </c>
      <c r="O833" s="407">
        <v>118.42064618868876</v>
      </c>
    </row>
    <row r="834" spans="14:15">
      <c r="N834" s="407">
        <v>803</v>
      </c>
      <c r="O834" s="407">
        <v>166.6715859265025</v>
      </c>
    </row>
    <row r="835" spans="14:15">
      <c r="N835" s="407">
        <v>804</v>
      </c>
      <c r="O835" s="407">
        <v>91.45324855192959</v>
      </c>
    </row>
    <row r="836" spans="14:15">
      <c r="N836" s="407">
        <v>805</v>
      </c>
      <c r="O836" s="407">
        <v>147.77576878716098</v>
      </c>
    </row>
    <row r="837" spans="14:15">
      <c r="N837" s="407">
        <v>806</v>
      </c>
      <c r="O837" s="407">
        <v>174.42858076992172</v>
      </c>
    </row>
    <row r="838" spans="14:15">
      <c r="N838" s="407">
        <v>807</v>
      </c>
      <c r="O838" s="407">
        <v>116.00950291357914</v>
      </c>
    </row>
    <row r="839" spans="14:15">
      <c r="N839" s="407">
        <v>808</v>
      </c>
      <c r="O839" s="407">
        <v>125.00621189750126</v>
      </c>
    </row>
    <row r="840" spans="14:15">
      <c r="N840" s="407">
        <v>809</v>
      </c>
      <c r="O840" s="407">
        <v>376.70981536663294</v>
      </c>
    </row>
    <row r="841" spans="14:15">
      <c r="N841" s="407">
        <v>810</v>
      </c>
      <c r="O841" s="407">
        <v>106.75693019844486</v>
      </c>
    </row>
    <row r="842" spans="14:15">
      <c r="N842" s="407">
        <v>811</v>
      </c>
      <c r="O842" s="407">
        <v>140.51290200053913</v>
      </c>
    </row>
    <row r="843" spans="14:15">
      <c r="N843" s="407">
        <v>812</v>
      </c>
      <c r="O843" s="407">
        <v>142.29946376635544</v>
      </c>
    </row>
    <row r="844" spans="14:15">
      <c r="N844" s="407">
        <v>813</v>
      </c>
      <c r="O844" s="407">
        <v>126.36515566555143</v>
      </c>
    </row>
    <row r="845" spans="14:15">
      <c r="N845" s="407">
        <v>814</v>
      </c>
      <c r="O845" s="407">
        <v>196.89516797823984</v>
      </c>
    </row>
    <row r="846" spans="14:15">
      <c r="N846" s="407">
        <v>815</v>
      </c>
      <c r="O846" s="407">
        <v>112.0058178284376</v>
      </c>
    </row>
    <row r="847" spans="14:15">
      <c r="N847" s="407">
        <v>816</v>
      </c>
      <c r="O847" s="407">
        <v>138.61717900620536</v>
      </c>
    </row>
    <row r="848" spans="14:15">
      <c r="N848" s="407">
        <v>817</v>
      </c>
      <c r="O848" s="407">
        <v>230.86714517598102</v>
      </c>
    </row>
    <row r="849" spans="14:21">
      <c r="N849" s="407">
        <v>818</v>
      </c>
      <c r="O849" s="407">
        <v>240.28626586549694</v>
      </c>
    </row>
    <row r="850" spans="14:21">
      <c r="N850" s="407">
        <v>819</v>
      </c>
      <c r="O850" s="407">
        <v>95.739889774583119</v>
      </c>
    </row>
    <row r="851" spans="14:21">
      <c r="N851" s="407">
        <v>820</v>
      </c>
      <c r="O851" s="407">
        <v>133.14893801362624</v>
      </c>
    </row>
    <row r="852" spans="14:21">
      <c r="N852" s="407">
        <v>821</v>
      </c>
      <c r="O852" s="407">
        <v>154.53060682578038</v>
      </c>
    </row>
    <row r="853" spans="14:21">
      <c r="N853" s="407">
        <v>822</v>
      </c>
      <c r="O853" s="407">
        <v>127.80540325897107</v>
      </c>
      <c r="U853" s="455"/>
    </row>
    <row r="854" spans="14:21">
      <c r="N854" s="407">
        <v>823</v>
      </c>
      <c r="O854" s="407">
        <v>125.29457580755096</v>
      </c>
      <c r="U854" s="455"/>
    </row>
    <row r="855" spans="14:21">
      <c r="N855" s="407">
        <v>824</v>
      </c>
      <c r="O855" s="407">
        <v>144.78590605101135</v>
      </c>
    </row>
    <row r="856" spans="14:21">
      <c r="N856" s="407">
        <v>825</v>
      </c>
      <c r="O856" s="407">
        <v>174.43498834741143</v>
      </c>
    </row>
    <row r="857" spans="14:21">
      <c r="N857" s="407">
        <v>826</v>
      </c>
      <c r="O857" s="407">
        <v>155.70025150173964</v>
      </c>
    </row>
    <row r="858" spans="14:21">
      <c r="N858" s="407">
        <v>827</v>
      </c>
      <c r="O858" s="407">
        <v>163.48310642143892</v>
      </c>
    </row>
    <row r="859" spans="14:21">
      <c r="N859" s="407">
        <v>828</v>
      </c>
      <c r="O859" s="407">
        <v>100.33542792051134</v>
      </c>
    </row>
    <row r="860" spans="14:21">
      <c r="N860" s="407">
        <v>829</v>
      </c>
      <c r="O860" s="407">
        <v>122.37684144986461</v>
      </c>
    </row>
    <row r="861" spans="14:21">
      <c r="N861" s="407">
        <v>830</v>
      </c>
      <c r="O861" s="407">
        <v>177.4897623090207</v>
      </c>
    </row>
    <row r="862" spans="14:21">
      <c r="N862" s="407">
        <v>831</v>
      </c>
      <c r="O862" s="407">
        <v>202.97560173133095</v>
      </c>
    </row>
    <row r="863" spans="14:21">
      <c r="N863" s="407">
        <v>832</v>
      </c>
      <c r="O863" s="407">
        <v>123.2206190600061</v>
      </c>
    </row>
    <row r="864" spans="14:21">
      <c r="N864" s="407">
        <v>833</v>
      </c>
      <c r="O864" s="407">
        <v>218.15846384222857</v>
      </c>
    </row>
    <row r="865" spans="14:15">
      <c r="N865" s="407">
        <v>834</v>
      </c>
      <c r="O865" s="407">
        <v>93.347264749088566</v>
      </c>
    </row>
    <row r="866" spans="14:15">
      <c r="N866" s="407">
        <v>835</v>
      </c>
      <c r="O866" s="407">
        <v>111.06631352301784</v>
      </c>
    </row>
    <row r="867" spans="14:15">
      <c r="N867" s="407">
        <v>836</v>
      </c>
      <c r="O867" s="407">
        <v>140.17899026109285</v>
      </c>
    </row>
    <row r="868" spans="14:15">
      <c r="N868" s="407">
        <v>837</v>
      </c>
      <c r="O868" s="407">
        <v>190.11784744648443</v>
      </c>
    </row>
    <row r="869" spans="14:15">
      <c r="N869" s="407">
        <v>838</v>
      </c>
      <c r="O869" s="407">
        <v>100.25843390629447</v>
      </c>
    </row>
    <row r="870" spans="14:15">
      <c r="N870" s="407">
        <v>839</v>
      </c>
      <c r="O870" s="407">
        <v>300.99306798798307</v>
      </c>
    </row>
    <row r="871" spans="14:15">
      <c r="N871" s="407">
        <v>840</v>
      </c>
      <c r="O871" s="407">
        <v>98.094975523619453</v>
      </c>
    </row>
    <row r="872" spans="14:15">
      <c r="N872" s="407">
        <v>841</v>
      </c>
      <c r="O872" s="407">
        <v>119.71972240381656</v>
      </c>
    </row>
    <row r="873" spans="14:15">
      <c r="N873" s="407">
        <v>842</v>
      </c>
      <c r="O873" s="407">
        <v>92.925522107904825</v>
      </c>
    </row>
    <row r="874" spans="14:15">
      <c r="N874" s="407">
        <v>843</v>
      </c>
      <c r="O874" s="407">
        <v>100.16041755287962</v>
      </c>
    </row>
    <row r="875" spans="14:15">
      <c r="N875" s="407">
        <v>844</v>
      </c>
      <c r="O875" s="407">
        <v>161.83001294648622</v>
      </c>
    </row>
    <row r="876" spans="14:15">
      <c r="N876" s="407">
        <v>845</v>
      </c>
      <c r="O876" s="407">
        <v>333.62427779434978</v>
      </c>
    </row>
    <row r="877" spans="14:15">
      <c r="N877" s="407">
        <v>846</v>
      </c>
      <c r="O877" s="407">
        <v>118.2260181357739</v>
      </c>
    </row>
    <row r="878" spans="14:15">
      <c r="N878" s="407">
        <v>847</v>
      </c>
      <c r="O878" s="407">
        <v>391.68526305753591</v>
      </c>
    </row>
    <row r="879" spans="14:15">
      <c r="N879" s="407">
        <v>848</v>
      </c>
      <c r="O879" s="407">
        <v>80.284012610262096</v>
      </c>
    </row>
    <row r="880" spans="14:15">
      <c r="N880" s="407">
        <v>849</v>
      </c>
      <c r="O880" s="407">
        <v>174.67405838858491</v>
      </c>
    </row>
    <row r="881" spans="14:21">
      <c r="N881" s="407">
        <v>850</v>
      </c>
      <c r="O881" s="407">
        <v>124.62304721848108</v>
      </c>
    </row>
    <row r="882" spans="14:21">
      <c r="N882" s="407">
        <v>851</v>
      </c>
      <c r="O882" s="407">
        <v>218.70620635857674</v>
      </c>
    </row>
    <row r="883" spans="14:21">
      <c r="N883" s="407">
        <v>852</v>
      </c>
      <c r="O883" s="407">
        <v>109.94051053947146</v>
      </c>
    </row>
    <row r="884" spans="14:21">
      <c r="N884" s="407">
        <v>853</v>
      </c>
      <c r="O884" s="407">
        <v>115.22035084091024</v>
      </c>
    </row>
    <row r="885" spans="14:21">
      <c r="N885" s="407">
        <v>854</v>
      </c>
      <c r="O885" s="407">
        <v>105.90045066614239</v>
      </c>
    </row>
    <row r="886" spans="14:21">
      <c r="N886" s="407">
        <v>855</v>
      </c>
      <c r="O886" s="407">
        <v>225.20215210959014</v>
      </c>
      <c r="U886" s="455"/>
    </row>
    <row r="887" spans="14:21">
      <c r="N887" s="407">
        <v>856</v>
      </c>
      <c r="O887" s="407">
        <v>139.4996580165737</v>
      </c>
    </row>
    <row r="888" spans="14:21">
      <c r="N888" s="407">
        <v>857</v>
      </c>
      <c r="O888" s="407">
        <v>123.16671528598525</v>
      </c>
    </row>
    <row r="889" spans="14:21">
      <c r="N889" s="407">
        <v>858</v>
      </c>
      <c r="O889" s="407">
        <v>208.59406887516849</v>
      </c>
    </row>
    <row r="890" spans="14:21">
      <c r="N890" s="407">
        <v>859</v>
      </c>
      <c r="O890" s="407">
        <v>182.11147849961264</v>
      </c>
    </row>
    <row r="891" spans="14:21">
      <c r="N891" s="407">
        <v>860</v>
      </c>
      <c r="O891" s="407">
        <v>170.24933774699559</v>
      </c>
    </row>
    <row r="892" spans="14:21">
      <c r="N892" s="407">
        <v>861</v>
      </c>
      <c r="O892" s="407">
        <v>100.29816183420462</v>
      </c>
    </row>
    <row r="893" spans="14:21">
      <c r="N893" s="407">
        <v>862</v>
      </c>
      <c r="O893" s="407">
        <v>128.00425483545641</v>
      </c>
    </row>
    <row r="894" spans="14:21">
      <c r="N894" s="407">
        <v>863</v>
      </c>
      <c r="O894" s="407">
        <v>121.84156992818679</v>
      </c>
    </row>
    <row r="895" spans="14:21">
      <c r="N895" s="407">
        <v>864</v>
      </c>
      <c r="O895" s="407">
        <v>312.80189547720374</v>
      </c>
    </row>
    <row r="896" spans="14:21">
      <c r="N896" s="407">
        <v>865</v>
      </c>
      <c r="O896" s="407">
        <v>216.07263846615299</v>
      </c>
    </row>
    <row r="897" spans="14:15">
      <c r="N897" s="407">
        <v>866</v>
      </c>
      <c r="O897" s="407">
        <v>314.27071238248249</v>
      </c>
    </row>
    <row r="898" spans="14:15">
      <c r="N898" s="407">
        <v>867</v>
      </c>
      <c r="O898" s="407">
        <v>458.9568054098911</v>
      </c>
    </row>
    <row r="899" spans="14:15">
      <c r="N899" s="407">
        <v>868</v>
      </c>
      <c r="O899" s="407">
        <v>105.52457081152912</v>
      </c>
    </row>
    <row r="900" spans="14:15">
      <c r="N900" s="407">
        <v>869</v>
      </c>
      <c r="O900" s="407">
        <v>216.37175073401346</v>
      </c>
    </row>
    <row r="901" spans="14:15">
      <c r="N901" s="407">
        <v>870</v>
      </c>
      <c r="O901" s="407">
        <v>113.85586273220362</v>
      </c>
    </row>
    <row r="902" spans="14:15">
      <c r="N902" s="407">
        <v>871</v>
      </c>
      <c r="O902" s="407">
        <v>161.88036049518163</v>
      </c>
    </row>
    <row r="903" spans="14:15">
      <c r="N903" s="407">
        <v>872</v>
      </c>
      <c r="O903" s="407">
        <v>132.9559522121896</v>
      </c>
    </row>
    <row r="904" spans="14:15">
      <c r="N904" s="407">
        <v>873</v>
      </c>
      <c r="O904" s="407">
        <v>99.240762259932609</v>
      </c>
    </row>
    <row r="905" spans="14:15">
      <c r="N905" s="407">
        <v>874</v>
      </c>
      <c r="O905" s="407">
        <v>120.78836736535577</v>
      </c>
    </row>
    <row r="906" spans="14:15">
      <c r="N906" s="407">
        <v>875</v>
      </c>
      <c r="O906" s="407">
        <v>175.24900305252078</v>
      </c>
    </row>
    <row r="907" spans="14:15">
      <c r="N907" s="407">
        <v>876</v>
      </c>
      <c r="O907" s="407">
        <v>122.99548451551547</v>
      </c>
    </row>
    <row r="908" spans="14:15">
      <c r="N908" s="407">
        <v>877</v>
      </c>
      <c r="O908" s="407">
        <v>251.79488227243073</v>
      </c>
    </row>
    <row r="909" spans="14:15">
      <c r="N909" s="407">
        <v>878</v>
      </c>
      <c r="O909" s="407">
        <v>102.91669464065971</v>
      </c>
    </row>
    <row r="910" spans="14:15">
      <c r="N910" s="407">
        <v>879</v>
      </c>
      <c r="O910" s="407">
        <v>110.35848841428773</v>
      </c>
    </row>
    <row r="911" spans="14:15">
      <c r="N911" s="407">
        <v>880</v>
      </c>
      <c r="O911" s="407">
        <v>89.236575224087574</v>
      </c>
    </row>
    <row r="912" spans="14:15">
      <c r="N912" s="407">
        <v>881</v>
      </c>
      <c r="O912" s="407">
        <v>93.02502927109731</v>
      </c>
    </row>
    <row r="913" spans="14:21">
      <c r="N913" s="407">
        <v>882</v>
      </c>
      <c r="O913" s="407">
        <v>91.215666438836436</v>
      </c>
    </row>
    <row r="914" spans="14:21">
      <c r="N914" s="407">
        <v>883</v>
      </c>
      <c r="O914" s="407">
        <v>160.09420897046294</v>
      </c>
    </row>
    <row r="915" spans="14:21">
      <c r="N915" s="407">
        <v>884</v>
      </c>
      <c r="O915" s="407">
        <v>173.37135911135059</v>
      </c>
    </row>
    <row r="916" spans="14:21">
      <c r="N916" s="407">
        <v>885</v>
      </c>
      <c r="O916" s="407">
        <v>182.295359545103</v>
      </c>
    </row>
    <row r="917" spans="14:21">
      <c r="N917" s="407">
        <v>886</v>
      </c>
      <c r="O917" s="407">
        <v>194.53368388633658</v>
      </c>
    </row>
    <row r="918" spans="14:21">
      <c r="N918" s="407">
        <v>887</v>
      </c>
      <c r="O918" s="407">
        <v>93.498847999696167</v>
      </c>
      <c r="U918" s="455"/>
    </row>
    <row r="919" spans="14:21">
      <c r="N919" s="407">
        <v>888</v>
      </c>
      <c r="O919" s="407">
        <v>120.98363963380594</v>
      </c>
      <c r="U919" s="455"/>
    </row>
    <row r="920" spans="14:21">
      <c r="N920" s="407">
        <v>889</v>
      </c>
      <c r="O920" s="407">
        <v>219.78785505025019</v>
      </c>
      <c r="U920" s="455"/>
    </row>
    <row r="921" spans="14:21">
      <c r="N921" s="407">
        <v>890</v>
      </c>
      <c r="O921" s="407">
        <v>100.27809894789922</v>
      </c>
      <c r="U921" s="455"/>
    </row>
    <row r="922" spans="14:21">
      <c r="N922" s="407">
        <v>891</v>
      </c>
      <c r="O922" s="407">
        <v>115.93192743409706</v>
      </c>
      <c r="U922" s="455"/>
    </row>
    <row r="923" spans="14:21">
      <c r="N923" s="407">
        <v>892</v>
      </c>
      <c r="O923" s="407">
        <v>102.75587492647168</v>
      </c>
      <c r="U923" s="455"/>
    </row>
    <row r="924" spans="14:21">
      <c r="N924" s="407">
        <v>893</v>
      </c>
      <c r="O924" s="407">
        <v>93.173920729375538</v>
      </c>
      <c r="U924" s="455"/>
    </row>
    <row r="925" spans="14:21">
      <c r="N925" s="407">
        <v>894</v>
      </c>
      <c r="O925" s="407">
        <v>223.01607260514012</v>
      </c>
      <c r="U925" s="455"/>
    </row>
    <row r="926" spans="14:21">
      <c r="N926" s="407">
        <v>895</v>
      </c>
      <c r="O926" s="407">
        <v>136.58952826202264</v>
      </c>
      <c r="U926" s="455"/>
    </row>
    <row r="927" spans="14:21">
      <c r="N927" s="407">
        <v>896</v>
      </c>
      <c r="O927" s="407">
        <v>223.29032413885497</v>
      </c>
      <c r="U927" s="455"/>
    </row>
    <row r="928" spans="14:21">
      <c r="N928" s="407">
        <v>897</v>
      </c>
      <c r="O928" s="407">
        <v>118.06605342812384</v>
      </c>
      <c r="U928" s="455"/>
    </row>
    <row r="929" spans="14:21">
      <c r="N929" s="407">
        <v>898</v>
      </c>
      <c r="O929" s="407">
        <v>119.62333177494017</v>
      </c>
      <c r="U929" s="455"/>
    </row>
    <row r="930" spans="14:21">
      <c r="N930" s="407">
        <v>899</v>
      </c>
      <c r="O930" s="407">
        <v>153.58679711498559</v>
      </c>
      <c r="U930" s="455"/>
    </row>
    <row r="931" spans="14:21">
      <c r="N931" s="407">
        <v>900</v>
      </c>
      <c r="O931" s="407">
        <v>132.99553511049524</v>
      </c>
      <c r="U931" s="455"/>
    </row>
    <row r="932" spans="14:21">
      <c r="N932" s="407">
        <v>901</v>
      </c>
      <c r="O932" s="407">
        <v>111.31796788037754</v>
      </c>
      <c r="U932" s="455"/>
    </row>
    <row r="933" spans="14:21">
      <c r="N933" s="407">
        <v>902</v>
      </c>
      <c r="O933" s="407">
        <v>163.18092511469422</v>
      </c>
      <c r="U933" s="455"/>
    </row>
    <row r="934" spans="14:21">
      <c r="N934" s="407">
        <v>903</v>
      </c>
      <c r="O934" s="407">
        <v>89.899318172894951</v>
      </c>
      <c r="U934" s="455"/>
    </row>
    <row r="935" spans="14:21">
      <c r="N935" s="407">
        <v>904</v>
      </c>
      <c r="O935" s="407">
        <v>89.787580357959612</v>
      </c>
      <c r="U935" s="455"/>
    </row>
    <row r="936" spans="14:21">
      <c r="N936" s="407">
        <v>905</v>
      </c>
      <c r="O936" s="407">
        <v>177.91971694157732</v>
      </c>
      <c r="U936" s="455"/>
    </row>
    <row r="937" spans="14:21">
      <c r="N937" s="407">
        <v>906</v>
      </c>
      <c r="O937" s="407">
        <v>89.952863066443186</v>
      </c>
      <c r="U937" s="455"/>
    </row>
    <row r="938" spans="14:21">
      <c r="N938" s="407">
        <v>907</v>
      </c>
      <c r="O938" s="407">
        <v>166.57293774726443</v>
      </c>
      <c r="U938" s="455"/>
    </row>
    <row r="939" spans="14:21">
      <c r="N939" s="407">
        <v>908</v>
      </c>
      <c r="O939" s="407">
        <v>105.75067719190731</v>
      </c>
      <c r="U939" s="455"/>
    </row>
    <row r="940" spans="14:21">
      <c r="N940" s="407">
        <v>909</v>
      </c>
      <c r="O940" s="407">
        <v>122.94284314761684</v>
      </c>
      <c r="U940" s="455"/>
    </row>
    <row r="941" spans="14:21">
      <c r="N941" s="407">
        <v>910</v>
      </c>
      <c r="O941" s="407">
        <v>236.80970130442282</v>
      </c>
      <c r="U941" s="455"/>
    </row>
    <row r="942" spans="14:21">
      <c r="N942" s="407">
        <v>911</v>
      </c>
      <c r="O942" s="407">
        <v>150.38199122741128</v>
      </c>
      <c r="U942" s="455"/>
    </row>
    <row r="943" spans="14:21">
      <c r="N943" s="407">
        <v>912</v>
      </c>
      <c r="O943" s="407">
        <v>162.65462517453557</v>
      </c>
      <c r="U943" s="455"/>
    </row>
    <row r="944" spans="14:21">
      <c r="N944" s="407">
        <v>913</v>
      </c>
      <c r="O944" s="407">
        <v>78.662098776977984</v>
      </c>
      <c r="U944" s="455"/>
    </row>
    <row r="945" spans="14:21">
      <c r="N945" s="407">
        <v>914</v>
      </c>
      <c r="O945" s="407">
        <v>140.13965085145213</v>
      </c>
      <c r="U945" s="455"/>
    </row>
    <row r="946" spans="14:21">
      <c r="N946" s="407">
        <v>915</v>
      </c>
      <c r="O946" s="407">
        <v>176.1951276030216</v>
      </c>
      <c r="U946" s="455"/>
    </row>
    <row r="947" spans="14:21">
      <c r="N947" s="407">
        <v>916</v>
      </c>
      <c r="O947" s="407">
        <v>105.38610346506522</v>
      </c>
      <c r="U947" s="455"/>
    </row>
    <row r="948" spans="14:21">
      <c r="N948" s="407">
        <v>917</v>
      </c>
      <c r="O948" s="407">
        <v>154.46189668367265</v>
      </c>
      <c r="U948" s="455"/>
    </row>
    <row r="949" spans="14:21">
      <c r="N949" s="407">
        <v>918</v>
      </c>
      <c r="O949" s="407">
        <v>107.48121845516586</v>
      </c>
      <c r="U949" s="455"/>
    </row>
    <row r="950" spans="14:21">
      <c r="N950" s="407">
        <v>919</v>
      </c>
      <c r="O950" s="407">
        <v>187.09686786124669</v>
      </c>
      <c r="U950" s="455"/>
    </row>
    <row r="951" spans="14:21">
      <c r="N951" s="407">
        <v>920</v>
      </c>
      <c r="O951" s="407">
        <v>203.96340562607875</v>
      </c>
      <c r="U951" s="455"/>
    </row>
    <row r="952" spans="14:21">
      <c r="N952" s="407">
        <v>921</v>
      </c>
      <c r="O952" s="407">
        <v>147.53436482951815</v>
      </c>
      <c r="U952" s="455"/>
    </row>
    <row r="953" spans="14:21">
      <c r="N953" s="407">
        <v>922</v>
      </c>
      <c r="O953" s="407">
        <v>187.38244709095824</v>
      </c>
      <c r="U953" s="455"/>
    </row>
    <row r="954" spans="14:21">
      <c r="N954" s="407">
        <v>923</v>
      </c>
      <c r="O954" s="407">
        <v>236.27487014095962</v>
      </c>
      <c r="U954" s="455"/>
    </row>
    <row r="955" spans="14:21">
      <c r="N955" s="407">
        <v>924</v>
      </c>
      <c r="O955" s="407">
        <v>192.4954427149207</v>
      </c>
      <c r="U955" s="455"/>
    </row>
    <row r="956" spans="14:21">
      <c r="N956" s="407">
        <v>925</v>
      </c>
      <c r="O956" s="407">
        <v>153.88568090990702</v>
      </c>
      <c r="U956" s="455"/>
    </row>
    <row r="957" spans="14:21">
      <c r="N957" s="407">
        <v>926</v>
      </c>
      <c r="O957" s="407">
        <v>165.6521813437476</v>
      </c>
      <c r="U957" s="455"/>
    </row>
    <row r="958" spans="14:21">
      <c r="N958" s="407">
        <v>927</v>
      </c>
      <c r="O958" s="407">
        <v>150.54750903099844</v>
      </c>
      <c r="U958" s="455"/>
    </row>
    <row r="959" spans="14:21">
      <c r="N959" s="407">
        <v>928</v>
      </c>
      <c r="O959" s="407">
        <v>196.08010042953805</v>
      </c>
      <c r="U959" s="455"/>
    </row>
    <row r="960" spans="14:21">
      <c r="N960" s="407">
        <v>929</v>
      </c>
      <c r="O960" s="407">
        <v>137.41776664311956</v>
      </c>
      <c r="U960" s="455"/>
    </row>
    <row r="961" spans="14:21">
      <c r="N961" s="407">
        <v>930</v>
      </c>
      <c r="O961" s="407">
        <v>95.681662181241506</v>
      </c>
      <c r="U961" s="455"/>
    </row>
    <row r="962" spans="14:21">
      <c r="N962" s="407">
        <v>931</v>
      </c>
      <c r="O962" s="407">
        <v>115.07372213498546</v>
      </c>
      <c r="U962" s="455"/>
    </row>
    <row r="963" spans="14:21">
      <c r="N963" s="407">
        <v>932</v>
      </c>
      <c r="O963" s="407">
        <v>119.58940876474914</v>
      </c>
      <c r="U963" s="455"/>
    </row>
    <row r="964" spans="14:21">
      <c r="N964" s="407">
        <v>933</v>
      </c>
      <c r="O964" s="407">
        <v>122.61544486939667</v>
      </c>
      <c r="U964" s="455"/>
    </row>
    <row r="965" spans="14:21">
      <c r="N965" s="407">
        <v>934</v>
      </c>
      <c r="O965" s="407">
        <v>128.89703759495146</v>
      </c>
      <c r="U965" s="455"/>
    </row>
    <row r="966" spans="14:21">
      <c r="N966" s="407">
        <v>935</v>
      </c>
      <c r="O966" s="407">
        <v>141.18875378202208</v>
      </c>
      <c r="U966" s="455"/>
    </row>
    <row r="967" spans="14:21">
      <c r="N967" s="407">
        <v>936</v>
      </c>
      <c r="O967" s="407">
        <v>102.41921526373179</v>
      </c>
      <c r="U967" s="455"/>
    </row>
    <row r="968" spans="14:21">
      <c r="N968" s="407">
        <v>937</v>
      </c>
      <c r="O968" s="407">
        <v>163.60538615918091</v>
      </c>
      <c r="U968" s="455"/>
    </row>
    <row r="969" spans="14:21">
      <c r="N969" s="407">
        <v>938</v>
      </c>
      <c r="O969" s="407">
        <v>334.07595922370172</v>
      </c>
      <c r="U969" s="455"/>
    </row>
    <row r="970" spans="14:21">
      <c r="N970" s="407">
        <v>939</v>
      </c>
      <c r="O970" s="407">
        <v>182.65335135654348</v>
      </c>
      <c r="U970" s="455"/>
    </row>
    <row r="971" spans="14:21">
      <c r="N971" s="407">
        <v>940</v>
      </c>
      <c r="O971" s="407">
        <v>86.781624953235635</v>
      </c>
      <c r="U971" s="455"/>
    </row>
    <row r="972" spans="14:21">
      <c r="N972" s="407">
        <v>941</v>
      </c>
      <c r="O972" s="407">
        <v>196.52057998912522</v>
      </c>
      <c r="U972" s="455"/>
    </row>
    <row r="973" spans="14:21">
      <c r="N973" s="407">
        <v>942</v>
      </c>
      <c r="O973" s="407">
        <v>88.664686255709313</v>
      </c>
      <c r="U973" s="455"/>
    </row>
    <row r="974" spans="14:21">
      <c r="N974" s="407">
        <v>943</v>
      </c>
      <c r="O974" s="407">
        <v>218.76446230903565</v>
      </c>
      <c r="U974" s="455"/>
    </row>
    <row r="975" spans="14:21">
      <c r="N975" s="407">
        <v>944</v>
      </c>
      <c r="O975" s="407">
        <v>110.48784789005438</v>
      </c>
      <c r="U975" s="455"/>
    </row>
    <row r="976" spans="14:21">
      <c r="N976" s="407">
        <v>945</v>
      </c>
      <c r="O976" s="407">
        <v>81.248563086937807</v>
      </c>
      <c r="U976" s="455"/>
    </row>
    <row r="977" spans="14:21">
      <c r="N977" s="407">
        <v>946</v>
      </c>
      <c r="O977" s="407">
        <v>141.32743051947068</v>
      </c>
      <c r="U977" s="455"/>
    </row>
    <row r="978" spans="14:21">
      <c r="N978" s="407">
        <v>947</v>
      </c>
      <c r="O978" s="407">
        <v>104.00153027533462</v>
      </c>
      <c r="U978" s="455"/>
    </row>
    <row r="979" spans="14:21">
      <c r="N979" s="407">
        <v>948</v>
      </c>
      <c r="O979" s="407">
        <v>145.25845000360434</v>
      </c>
      <c r="U979" s="455"/>
    </row>
    <row r="980" spans="14:21">
      <c r="N980" s="407">
        <v>949</v>
      </c>
      <c r="O980" s="407">
        <v>151.90697357362995</v>
      </c>
      <c r="U980" s="455"/>
    </row>
    <row r="981" spans="14:21">
      <c r="N981" s="407">
        <v>950</v>
      </c>
      <c r="O981" s="407">
        <v>162.83184177065374</v>
      </c>
      <c r="U981" s="455"/>
    </row>
    <row r="982" spans="14:21">
      <c r="N982" s="407">
        <v>951</v>
      </c>
      <c r="O982" s="407">
        <v>106.11999632671868</v>
      </c>
      <c r="U982" s="455"/>
    </row>
    <row r="983" spans="14:21">
      <c r="N983" s="407">
        <v>952</v>
      </c>
      <c r="O983" s="407">
        <v>146.90922544964076</v>
      </c>
      <c r="U983" s="455"/>
    </row>
    <row r="984" spans="14:21">
      <c r="N984" s="407">
        <v>953</v>
      </c>
      <c r="O984" s="407">
        <v>163.22672812953118</v>
      </c>
      <c r="U984" s="455"/>
    </row>
    <row r="985" spans="14:21">
      <c r="N985" s="407">
        <v>954</v>
      </c>
      <c r="O985" s="407">
        <v>125.86815378172072</v>
      </c>
      <c r="U985" s="455"/>
    </row>
    <row r="986" spans="14:21">
      <c r="N986" s="407">
        <v>955</v>
      </c>
      <c r="O986" s="407">
        <v>130.00981712148732</v>
      </c>
      <c r="U986" s="455"/>
    </row>
    <row r="987" spans="14:21">
      <c r="N987" s="407">
        <v>956</v>
      </c>
      <c r="O987" s="407">
        <v>105.994419269931</v>
      </c>
      <c r="U987" s="455"/>
    </row>
    <row r="988" spans="14:21">
      <c r="N988" s="407">
        <v>957</v>
      </c>
      <c r="O988" s="407">
        <v>114.60252513473246</v>
      </c>
      <c r="U988" s="455"/>
    </row>
    <row r="989" spans="14:21">
      <c r="N989" s="407">
        <v>958</v>
      </c>
      <c r="O989" s="407">
        <v>122.30901997309459</v>
      </c>
      <c r="U989" s="455"/>
    </row>
    <row r="990" spans="14:21">
      <c r="N990" s="407">
        <v>959</v>
      </c>
      <c r="O990" s="407">
        <v>135.43544268177067</v>
      </c>
      <c r="U990" s="455"/>
    </row>
    <row r="991" spans="14:21">
      <c r="N991" s="407">
        <v>960</v>
      </c>
      <c r="O991" s="407">
        <v>219.03796928613755</v>
      </c>
      <c r="U991" s="455"/>
    </row>
    <row r="992" spans="14:21">
      <c r="N992" s="407">
        <v>961</v>
      </c>
      <c r="O992" s="407">
        <v>93.540372687347698</v>
      </c>
      <c r="U992" s="455"/>
    </row>
    <row r="993" spans="14:21">
      <c r="N993" s="407">
        <v>962</v>
      </c>
      <c r="O993" s="407">
        <v>144.07865350438857</v>
      </c>
      <c r="U993" s="455"/>
    </row>
    <row r="994" spans="14:21">
      <c r="N994" s="407">
        <v>963</v>
      </c>
      <c r="O994" s="407">
        <v>348.17592600254943</v>
      </c>
      <c r="U994" s="455"/>
    </row>
    <row r="995" spans="14:21">
      <c r="N995" s="407">
        <v>964</v>
      </c>
      <c r="O995" s="407">
        <v>148.45392640381095</v>
      </c>
      <c r="U995" s="455"/>
    </row>
    <row r="996" spans="14:21">
      <c r="N996" s="407">
        <v>965</v>
      </c>
      <c r="O996" s="407">
        <v>148.13156265391518</v>
      </c>
      <c r="U996" s="455"/>
    </row>
    <row r="997" spans="14:21">
      <c r="N997" s="407">
        <v>966</v>
      </c>
      <c r="O997" s="407">
        <v>107.20415623903416</v>
      </c>
      <c r="U997" s="455"/>
    </row>
    <row r="998" spans="14:21">
      <c r="N998" s="407">
        <v>967</v>
      </c>
      <c r="O998" s="407">
        <v>96.730396039695435</v>
      </c>
      <c r="U998" s="455"/>
    </row>
    <row r="999" spans="14:21">
      <c r="N999" s="407">
        <v>968</v>
      </c>
      <c r="O999" s="407">
        <v>194.97464631722613</v>
      </c>
      <c r="U999" s="455"/>
    </row>
    <row r="1000" spans="14:21">
      <c r="N1000" s="407">
        <v>969</v>
      </c>
      <c r="O1000" s="407">
        <v>183.71949392463031</v>
      </c>
      <c r="U1000" s="455"/>
    </row>
    <row r="1001" spans="14:21">
      <c r="N1001" s="407">
        <v>970</v>
      </c>
      <c r="O1001" s="407">
        <v>142.79024147513374</v>
      </c>
      <c r="U1001" s="455"/>
    </row>
    <row r="1002" spans="14:21">
      <c r="N1002" s="407">
        <v>971</v>
      </c>
      <c r="O1002" s="407">
        <v>105.24554240266471</v>
      </c>
      <c r="U1002" s="455"/>
    </row>
    <row r="1003" spans="14:21">
      <c r="N1003" s="407">
        <v>972</v>
      </c>
      <c r="O1003" s="407">
        <v>93.468167016346186</v>
      </c>
      <c r="U1003" s="455"/>
    </row>
    <row r="1004" spans="14:21">
      <c r="N1004" s="407">
        <v>973</v>
      </c>
      <c r="O1004" s="407">
        <v>310.02583156962402</v>
      </c>
      <c r="U1004" s="455"/>
    </row>
    <row r="1005" spans="14:21">
      <c r="N1005" s="407">
        <v>974</v>
      </c>
      <c r="O1005" s="407">
        <v>153.66074519545768</v>
      </c>
      <c r="U1005" s="455"/>
    </row>
    <row r="1006" spans="14:21">
      <c r="N1006" s="407">
        <v>975</v>
      </c>
      <c r="O1006" s="407">
        <v>124.27638243033898</v>
      </c>
      <c r="U1006" s="455"/>
    </row>
    <row r="1007" spans="14:21">
      <c r="N1007" s="407">
        <v>976</v>
      </c>
      <c r="O1007" s="407">
        <v>612.74923112068802</v>
      </c>
      <c r="U1007" s="455"/>
    </row>
    <row r="1008" spans="14:21">
      <c r="N1008" s="407">
        <v>977</v>
      </c>
      <c r="O1008" s="407">
        <v>114.43340212479536</v>
      </c>
      <c r="U1008" s="455"/>
    </row>
    <row r="1009" spans="14:21">
      <c r="N1009" s="407">
        <v>978</v>
      </c>
      <c r="O1009" s="407">
        <v>94.330616574385743</v>
      </c>
      <c r="U1009" s="455"/>
    </row>
    <row r="1010" spans="14:21">
      <c r="N1010" s="407">
        <v>979</v>
      </c>
      <c r="O1010" s="407">
        <v>104.20965983206337</v>
      </c>
      <c r="U1010" s="455"/>
    </row>
    <row r="1011" spans="14:21">
      <c r="N1011" s="407">
        <v>980</v>
      </c>
      <c r="O1011" s="407">
        <v>105.0442132482998</v>
      </c>
      <c r="U1011" s="455"/>
    </row>
    <row r="1012" spans="14:21">
      <c r="N1012" s="407">
        <v>981</v>
      </c>
      <c r="O1012" s="407">
        <v>160.51066234499146</v>
      </c>
      <c r="U1012" s="455"/>
    </row>
    <row r="1013" spans="14:21">
      <c r="N1013" s="407">
        <v>982</v>
      </c>
      <c r="O1013" s="407">
        <v>150.31928683519178</v>
      </c>
      <c r="U1013" s="455"/>
    </row>
    <row r="1014" spans="14:21">
      <c r="N1014" s="407">
        <v>983</v>
      </c>
      <c r="O1014" s="407">
        <v>122.16252477627998</v>
      </c>
      <c r="U1014" s="455"/>
    </row>
    <row r="1015" spans="14:21">
      <c r="N1015" s="407">
        <v>984</v>
      </c>
      <c r="O1015" s="407">
        <v>105.57529541097938</v>
      </c>
      <c r="U1015" s="455"/>
    </row>
    <row r="1016" spans="14:21">
      <c r="N1016" s="407">
        <v>985</v>
      </c>
      <c r="O1016" s="407">
        <v>116.12569919748105</v>
      </c>
      <c r="U1016" s="455"/>
    </row>
    <row r="1017" spans="14:21">
      <c r="N1017" s="407">
        <v>986</v>
      </c>
      <c r="O1017" s="407">
        <v>144.88205379939586</v>
      </c>
      <c r="U1017" s="455"/>
    </row>
    <row r="1018" spans="14:21">
      <c r="N1018" s="407">
        <v>987</v>
      </c>
      <c r="O1018" s="407">
        <v>191.85934367272372</v>
      </c>
      <c r="U1018" s="455"/>
    </row>
    <row r="1019" spans="14:21">
      <c r="N1019" s="407">
        <v>988</v>
      </c>
      <c r="O1019" s="407">
        <v>260.88659129852357</v>
      </c>
      <c r="U1019" s="455"/>
    </row>
    <row r="1020" spans="14:21">
      <c r="N1020" s="407">
        <v>989</v>
      </c>
      <c r="O1020" s="407">
        <v>198.69097431024593</v>
      </c>
      <c r="U1020" s="455"/>
    </row>
    <row r="1021" spans="14:21">
      <c r="N1021" s="407">
        <v>990</v>
      </c>
      <c r="O1021" s="407">
        <v>870.40786917247078</v>
      </c>
      <c r="U1021" s="455"/>
    </row>
    <row r="1022" spans="14:21">
      <c r="N1022" s="407">
        <v>991</v>
      </c>
      <c r="O1022" s="407">
        <v>138.63762326754335</v>
      </c>
      <c r="U1022" s="455"/>
    </row>
    <row r="1023" spans="14:21">
      <c r="N1023" s="407">
        <v>992</v>
      </c>
      <c r="O1023" s="407">
        <v>150.79072900904623</v>
      </c>
      <c r="U1023" s="455"/>
    </row>
    <row r="1024" spans="14:21">
      <c r="N1024" s="407">
        <v>993</v>
      </c>
      <c r="O1024" s="407">
        <v>121.83090911822376</v>
      </c>
      <c r="U1024" s="455"/>
    </row>
    <row r="1025" spans="14:21">
      <c r="N1025" s="407">
        <v>994</v>
      </c>
      <c r="O1025" s="407">
        <v>402.08551688415901</v>
      </c>
      <c r="U1025" s="455"/>
    </row>
    <row r="1026" spans="14:21">
      <c r="N1026" s="407">
        <v>995</v>
      </c>
      <c r="O1026" s="407">
        <v>219.92542625036634</v>
      </c>
      <c r="U1026" s="455"/>
    </row>
    <row r="1027" spans="14:21">
      <c r="N1027" s="407">
        <v>996</v>
      </c>
      <c r="O1027" s="407">
        <v>115.33581537898669</v>
      </c>
      <c r="U1027" s="455"/>
    </row>
    <row r="1028" spans="14:21">
      <c r="N1028" s="407">
        <v>997</v>
      </c>
      <c r="O1028" s="407">
        <v>410.22175096923411</v>
      </c>
      <c r="U1028" s="455"/>
    </row>
    <row r="1029" spans="14:21">
      <c r="N1029" s="407">
        <v>998</v>
      </c>
      <c r="O1029" s="407">
        <v>126.09093335478316</v>
      </c>
      <c r="U1029" s="455"/>
    </row>
    <row r="1030" spans="14:21">
      <c r="N1030" s="407">
        <v>999</v>
      </c>
      <c r="O1030" s="407">
        <v>298.84460617452402</v>
      </c>
      <c r="U1030" s="455"/>
    </row>
    <row r="1031" spans="14:21">
      <c r="N1031" s="407">
        <v>1000</v>
      </c>
      <c r="O1031" s="407">
        <v>120.19152869720563</v>
      </c>
      <c r="U1031" s="455"/>
    </row>
    <row r="1032" spans="14:21">
      <c r="U1032" s="455"/>
    </row>
    <row r="1033" spans="14:21">
      <c r="U1033" s="455"/>
    </row>
    <row r="1034" spans="14:21">
      <c r="U1034" s="455"/>
    </row>
    <row r="1035" spans="14:21">
      <c r="U1035" s="455"/>
    </row>
    <row r="1036" spans="14:21">
      <c r="U1036" s="455"/>
    </row>
    <row r="1037" spans="14:21">
      <c r="U1037" s="455"/>
    </row>
    <row r="1038" spans="14:21">
      <c r="U1038" s="455"/>
    </row>
    <row r="1039" spans="14:21">
      <c r="U1039" s="455"/>
    </row>
    <row r="1040" spans="14:21">
      <c r="U1040" s="455"/>
    </row>
    <row r="1041" spans="21:21">
      <c r="U1041" s="455"/>
    </row>
    <row r="1042" spans="21:21">
      <c r="U1042" s="455"/>
    </row>
    <row r="1043" spans="21:21">
      <c r="U1043" s="455"/>
    </row>
    <row r="1044" spans="21:21">
      <c r="U1044" s="455"/>
    </row>
    <row r="1045" spans="21:21">
      <c r="U1045" s="455"/>
    </row>
    <row r="1046" spans="21:21">
      <c r="U1046" s="455"/>
    </row>
    <row r="1047" spans="21:21">
      <c r="U1047" s="455"/>
    </row>
    <row r="1048" spans="21:21">
      <c r="U1048" s="455"/>
    </row>
    <row r="1049" spans="21:21">
      <c r="U1049" s="455"/>
    </row>
    <row r="1050" spans="21:21">
      <c r="U1050" s="455"/>
    </row>
    <row r="1051" spans="21:21">
      <c r="U1051" s="455"/>
    </row>
    <row r="1052" spans="21:21">
      <c r="U1052" s="455"/>
    </row>
    <row r="1053" spans="21:21">
      <c r="U1053" s="455"/>
    </row>
    <row r="1054" spans="21:21">
      <c r="U1054" s="455"/>
    </row>
    <row r="1055" spans="21:21">
      <c r="U1055" s="455"/>
    </row>
    <row r="1056" spans="21:21">
      <c r="U1056" s="455"/>
    </row>
    <row r="1057" spans="21:21">
      <c r="U1057" s="455"/>
    </row>
    <row r="1058" spans="21:21">
      <c r="U1058" s="455"/>
    </row>
    <row r="1059" spans="21:21">
      <c r="U1059" s="455"/>
    </row>
    <row r="1060" spans="21:21">
      <c r="U1060" s="455"/>
    </row>
    <row r="1061" spans="21:21">
      <c r="U1061" s="455"/>
    </row>
    <row r="1062" spans="21:21">
      <c r="U1062" s="455"/>
    </row>
    <row r="1063" spans="21:21">
      <c r="U1063" s="455"/>
    </row>
    <row r="1064" spans="21:21">
      <c r="U1064" s="455"/>
    </row>
    <row r="1065" spans="21:21">
      <c r="U1065" s="455"/>
    </row>
    <row r="1066" spans="21:21">
      <c r="U1066" s="455"/>
    </row>
    <row r="1067" spans="21:21">
      <c r="U1067" s="455"/>
    </row>
    <row r="1068" spans="21:21">
      <c r="U1068" s="455"/>
    </row>
    <row r="1069" spans="21:21">
      <c r="U1069" s="455"/>
    </row>
    <row r="1070" spans="21:21">
      <c r="U1070" s="455"/>
    </row>
    <row r="1071" spans="21:21">
      <c r="U1071" s="455"/>
    </row>
    <row r="1072" spans="21:21">
      <c r="U1072" s="455"/>
    </row>
    <row r="1073" spans="21:21">
      <c r="U1073" s="455"/>
    </row>
    <row r="1074" spans="21:21">
      <c r="U1074" s="455"/>
    </row>
    <row r="1075" spans="21:21">
      <c r="U1075" s="455"/>
    </row>
    <row r="1076" spans="21:21">
      <c r="U1076" s="455"/>
    </row>
    <row r="1077" spans="21:21">
      <c r="U1077" s="455"/>
    </row>
    <row r="1078" spans="21:21">
      <c r="U1078" s="455"/>
    </row>
    <row r="1079" spans="21:21">
      <c r="U1079" s="455"/>
    </row>
    <row r="1080" spans="21:21">
      <c r="U1080" s="455"/>
    </row>
    <row r="1081" spans="21:21">
      <c r="U1081" s="455"/>
    </row>
    <row r="1082" spans="21:21">
      <c r="U1082" s="455"/>
    </row>
    <row r="1083" spans="21:21">
      <c r="U1083" s="455"/>
    </row>
    <row r="1084" spans="21:21">
      <c r="U1084" s="455"/>
    </row>
    <row r="1085" spans="21:21">
      <c r="U1085" s="455"/>
    </row>
    <row r="1086" spans="21:21">
      <c r="U1086" s="455"/>
    </row>
    <row r="1087" spans="21:21">
      <c r="U1087" s="455"/>
    </row>
    <row r="1088" spans="21:21">
      <c r="U1088" s="455"/>
    </row>
    <row r="1089" spans="21:21">
      <c r="U1089" s="455"/>
    </row>
    <row r="1090" spans="21:21">
      <c r="U1090" s="455"/>
    </row>
    <row r="1091" spans="21:21">
      <c r="U1091" s="455"/>
    </row>
    <row r="1092" spans="21:21">
      <c r="U1092" s="455"/>
    </row>
    <row r="1093" spans="21:21">
      <c r="U1093" s="455"/>
    </row>
    <row r="1094" spans="21:21">
      <c r="U1094" s="455"/>
    </row>
    <row r="1095" spans="21:21">
      <c r="U1095" s="455"/>
    </row>
    <row r="1096" spans="21:21">
      <c r="U1096" s="455"/>
    </row>
    <row r="1097" spans="21:21">
      <c r="U1097" s="455"/>
    </row>
    <row r="1098" spans="21:21">
      <c r="U1098" s="455"/>
    </row>
    <row r="1099" spans="21:21">
      <c r="U1099" s="455"/>
    </row>
    <row r="1100" spans="21:21">
      <c r="U1100" s="455"/>
    </row>
    <row r="1101" spans="21:21">
      <c r="U1101" s="455"/>
    </row>
    <row r="1102" spans="21:21">
      <c r="U1102" s="455"/>
    </row>
    <row r="1103" spans="21:21">
      <c r="U1103" s="455"/>
    </row>
    <row r="1104" spans="21:21">
      <c r="U1104" s="455"/>
    </row>
    <row r="1105" spans="21:21">
      <c r="U1105" s="455"/>
    </row>
    <row r="1106" spans="21:21">
      <c r="U1106" s="455"/>
    </row>
    <row r="1107" spans="21:21">
      <c r="U1107" s="455"/>
    </row>
    <row r="1108" spans="21:21">
      <c r="U1108" s="455"/>
    </row>
    <row r="1109" spans="21:21">
      <c r="U1109" s="455"/>
    </row>
    <row r="1110" spans="21:21">
      <c r="U1110" s="455"/>
    </row>
    <row r="1111" spans="21:21">
      <c r="U1111" s="455"/>
    </row>
    <row r="1112" spans="21:21">
      <c r="U1112" s="455"/>
    </row>
    <row r="1113" spans="21:21">
      <c r="U1113" s="455"/>
    </row>
    <row r="1114" spans="21:21">
      <c r="U1114" s="455"/>
    </row>
    <row r="1115" spans="21:21">
      <c r="U1115" s="455"/>
    </row>
    <row r="1116" spans="21:21">
      <c r="U1116" s="455"/>
    </row>
    <row r="1117" spans="21:21">
      <c r="U1117" s="455"/>
    </row>
    <row r="1118" spans="21:21">
      <c r="U1118" s="455"/>
    </row>
    <row r="1119" spans="21:21">
      <c r="U1119" s="455"/>
    </row>
    <row r="1120" spans="21:21">
      <c r="U1120" s="455"/>
    </row>
    <row r="1121" spans="21:21">
      <c r="U1121" s="455"/>
    </row>
    <row r="1122" spans="21:21">
      <c r="U1122" s="455"/>
    </row>
    <row r="1123" spans="21:21">
      <c r="U1123" s="455"/>
    </row>
    <row r="1124" spans="21:21">
      <c r="U1124" s="455"/>
    </row>
    <row r="1125" spans="21:21">
      <c r="U1125" s="455"/>
    </row>
    <row r="1126" spans="21:21">
      <c r="U1126" s="455"/>
    </row>
    <row r="1127" spans="21:21">
      <c r="U1127" s="455"/>
    </row>
    <row r="1128" spans="21:21">
      <c r="U1128" s="455"/>
    </row>
    <row r="1129" spans="21:21">
      <c r="U1129" s="455"/>
    </row>
    <row r="1130" spans="21:21">
      <c r="U1130" s="455"/>
    </row>
    <row r="1131" spans="21:21">
      <c r="U1131" s="455"/>
    </row>
    <row r="1132" spans="21:21">
      <c r="U1132" s="455"/>
    </row>
    <row r="1133" spans="21:21">
      <c r="U1133" s="455"/>
    </row>
    <row r="1134" spans="21:21">
      <c r="U1134" s="455"/>
    </row>
    <row r="1135" spans="21:21">
      <c r="U1135" s="455"/>
    </row>
    <row r="1136" spans="21:21">
      <c r="U1136" s="455"/>
    </row>
    <row r="1137" spans="21:21">
      <c r="U1137" s="455"/>
    </row>
    <row r="1138" spans="21:21">
      <c r="U1138" s="455"/>
    </row>
    <row r="1139" spans="21:21">
      <c r="U1139" s="455"/>
    </row>
    <row r="1140" spans="21:21">
      <c r="U1140" s="455"/>
    </row>
    <row r="1141" spans="21:21">
      <c r="U1141" s="455"/>
    </row>
    <row r="1142" spans="21:21">
      <c r="U1142" s="455"/>
    </row>
    <row r="1143" spans="21:21">
      <c r="U1143" s="455"/>
    </row>
    <row r="1144" spans="21:21">
      <c r="U1144" s="455"/>
    </row>
    <row r="1145" spans="21:21">
      <c r="U1145" s="455"/>
    </row>
    <row r="1146" spans="21:21">
      <c r="U1146" s="455"/>
    </row>
    <row r="1147" spans="21:21">
      <c r="U1147" s="455"/>
    </row>
    <row r="1148" spans="21:21">
      <c r="U1148" s="455"/>
    </row>
    <row r="1149" spans="21:21">
      <c r="U1149" s="455"/>
    </row>
    <row r="1150" spans="21:21">
      <c r="U1150" s="455"/>
    </row>
    <row r="1151" spans="21:21">
      <c r="U1151" s="455"/>
    </row>
    <row r="1152" spans="21:21">
      <c r="U1152" s="455"/>
    </row>
    <row r="1153" spans="21:21">
      <c r="U1153" s="455"/>
    </row>
    <row r="1154" spans="21:21">
      <c r="U1154" s="455"/>
    </row>
    <row r="1155" spans="21:21">
      <c r="U1155" s="455"/>
    </row>
    <row r="1156" spans="21:21">
      <c r="U1156" s="455"/>
    </row>
    <row r="1157" spans="21:21">
      <c r="U1157" s="455"/>
    </row>
    <row r="1158" spans="21:21">
      <c r="U1158" s="455"/>
    </row>
    <row r="1159" spans="21:21">
      <c r="U1159" s="455"/>
    </row>
    <row r="1160" spans="21:21">
      <c r="U1160" s="455"/>
    </row>
    <row r="1161" spans="21:21">
      <c r="U1161" s="455"/>
    </row>
    <row r="1162" spans="21:21">
      <c r="U1162" s="455"/>
    </row>
    <row r="1163" spans="21:21">
      <c r="U1163" s="455"/>
    </row>
    <row r="1164" spans="21:21">
      <c r="U1164" s="455"/>
    </row>
    <row r="1165" spans="21:21">
      <c r="U1165" s="455"/>
    </row>
    <row r="1166" spans="21:21">
      <c r="U1166" s="455"/>
    </row>
    <row r="1167" spans="21:21">
      <c r="U1167" s="455"/>
    </row>
    <row r="1168" spans="21:21">
      <c r="U1168" s="455"/>
    </row>
    <row r="1169" spans="21:21">
      <c r="U1169" s="455"/>
    </row>
    <row r="1170" spans="21:21">
      <c r="U1170" s="455"/>
    </row>
    <row r="1171" spans="21:21">
      <c r="U1171" s="455"/>
    </row>
    <row r="1172" spans="21:21">
      <c r="U1172" s="455"/>
    </row>
    <row r="1173" spans="21:21">
      <c r="U1173" s="455"/>
    </row>
    <row r="1174" spans="21:21">
      <c r="U1174" s="455"/>
    </row>
    <row r="1175" spans="21:21">
      <c r="U1175" s="455"/>
    </row>
    <row r="1176" spans="21:21">
      <c r="U1176" s="455"/>
    </row>
    <row r="1177" spans="21:21">
      <c r="U1177" s="455"/>
    </row>
    <row r="1178" spans="21:21">
      <c r="U1178" s="455"/>
    </row>
    <row r="1179" spans="21:21">
      <c r="U1179" s="455"/>
    </row>
    <row r="1180" spans="21:21">
      <c r="U1180" s="455"/>
    </row>
    <row r="1181" spans="21:21">
      <c r="U1181" s="455"/>
    </row>
    <row r="1182" spans="21:21">
      <c r="U1182" s="455"/>
    </row>
    <row r="1183" spans="21:21">
      <c r="U1183" s="455"/>
    </row>
    <row r="1184" spans="21:21">
      <c r="U1184" s="455"/>
    </row>
    <row r="1185" spans="21:21">
      <c r="U1185" s="455"/>
    </row>
    <row r="1186" spans="21:21">
      <c r="U1186" s="455"/>
    </row>
    <row r="1187" spans="21:21">
      <c r="U1187" s="455"/>
    </row>
    <row r="1188" spans="21:21">
      <c r="U1188" s="455"/>
    </row>
    <row r="1189" spans="21:21">
      <c r="U1189" s="455"/>
    </row>
    <row r="1190" spans="21:21">
      <c r="U1190" s="455"/>
    </row>
    <row r="1191" spans="21:21">
      <c r="U1191" s="455"/>
    </row>
    <row r="1192" spans="21:21">
      <c r="U1192" s="455"/>
    </row>
    <row r="1193" spans="21:21">
      <c r="U1193" s="455"/>
    </row>
    <row r="1194" spans="21:21">
      <c r="U1194" s="455"/>
    </row>
    <row r="1195" spans="21:21">
      <c r="U1195" s="455"/>
    </row>
    <row r="1196" spans="21:21">
      <c r="U1196" s="455"/>
    </row>
    <row r="1197" spans="21:21">
      <c r="U1197" s="455"/>
    </row>
    <row r="1198" spans="21:21">
      <c r="U1198" s="455"/>
    </row>
    <row r="1199" spans="21:21">
      <c r="U1199" s="455"/>
    </row>
    <row r="1200" spans="21:21">
      <c r="U1200" s="455"/>
    </row>
    <row r="1201" spans="21:21">
      <c r="U1201" s="455"/>
    </row>
    <row r="1202" spans="21:21">
      <c r="U1202" s="455"/>
    </row>
    <row r="1203" spans="21:21">
      <c r="U1203" s="455"/>
    </row>
    <row r="1204" spans="21:21">
      <c r="U1204" s="455"/>
    </row>
    <row r="1205" spans="21:21">
      <c r="U1205" s="455"/>
    </row>
    <row r="1206" spans="21:21">
      <c r="U1206" s="455"/>
    </row>
    <row r="1207" spans="21:21">
      <c r="U1207" s="455"/>
    </row>
    <row r="1208" spans="21:21">
      <c r="U1208" s="455"/>
    </row>
    <row r="1209" spans="21:21">
      <c r="U1209" s="455"/>
    </row>
    <row r="1210" spans="21:21">
      <c r="U1210" s="455"/>
    </row>
    <row r="1211" spans="21:21">
      <c r="U1211" s="455"/>
    </row>
    <row r="1212" spans="21:21">
      <c r="U1212" s="455"/>
    </row>
    <row r="1213" spans="21:21">
      <c r="U1213" s="455"/>
    </row>
    <row r="1214" spans="21:21">
      <c r="U1214" s="455"/>
    </row>
    <row r="1215" spans="21:21">
      <c r="U1215" s="455"/>
    </row>
    <row r="1216" spans="21:21">
      <c r="U1216" s="455"/>
    </row>
    <row r="1217" spans="21:21">
      <c r="U1217" s="455"/>
    </row>
    <row r="1218" spans="21:21">
      <c r="U1218" s="455"/>
    </row>
    <row r="1219" spans="21:21">
      <c r="U1219" s="455"/>
    </row>
    <row r="1220" spans="21:21">
      <c r="U1220" s="455"/>
    </row>
    <row r="1221" spans="21:21">
      <c r="U1221" s="455"/>
    </row>
    <row r="1222" spans="21:21">
      <c r="U1222" s="455"/>
    </row>
    <row r="1223" spans="21:21">
      <c r="U1223" s="455"/>
    </row>
    <row r="1224" spans="21:21">
      <c r="U1224" s="455"/>
    </row>
    <row r="1225" spans="21:21">
      <c r="U1225" s="455"/>
    </row>
    <row r="1226" spans="21:21">
      <c r="U1226" s="455"/>
    </row>
    <row r="1227" spans="21:21">
      <c r="U1227" s="455"/>
    </row>
    <row r="1228" spans="21:21">
      <c r="U1228" s="455"/>
    </row>
    <row r="1229" spans="21:21">
      <c r="U1229" s="455"/>
    </row>
    <row r="1230" spans="21:21">
      <c r="U1230" s="455"/>
    </row>
    <row r="1231" spans="21:21">
      <c r="U1231" s="455"/>
    </row>
    <row r="1232" spans="21:21">
      <c r="U1232" s="455"/>
    </row>
    <row r="1233" spans="21:21">
      <c r="U1233" s="455"/>
    </row>
    <row r="1234" spans="21:21">
      <c r="U1234" s="455"/>
    </row>
    <row r="1235" spans="21:21">
      <c r="U1235" s="455"/>
    </row>
    <row r="1236" spans="21:21">
      <c r="U1236" s="455"/>
    </row>
    <row r="1237" spans="21:21">
      <c r="U1237" s="455"/>
    </row>
    <row r="1238" spans="21:21">
      <c r="U1238" s="455"/>
    </row>
    <row r="1239" spans="21:21">
      <c r="U1239" s="455"/>
    </row>
    <row r="1240" spans="21:21">
      <c r="U1240" s="455"/>
    </row>
    <row r="1241" spans="21:21">
      <c r="U1241" s="455"/>
    </row>
    <row r="1242" spans="21:21">
      <c r="U1242" s="455"/>
    </row>
    <row r="1243" spans="21:21">
      <c r="U1243" s="455"/>
    </row>
    <row r="1244" spans="21:21">
      <c r="U1244" s="455"/>
    </row>
    <row r="1245" spans="21:21">
      <c r="U1245" s="455"/>
    </row>
    <row r="1246" spans="21:21">
      <c r="U1246" s="455"/>
    </row>
    <row r="1247" spans="21:21">
      <c r="U1247" s="455"/>
    </row>
    <row r="1248" spans="21:21">
      <c r="U1248" s="455"/>
    </row>
    <row r="1249" spans="21:21">
      <c r="U1249" s="455"/>
    </row>
    <row r="1250" spans="21:21">
      <c r="U1250" s="455"/>
    </row>
    <row r="1251" spans="21:21">
      <c r="U1251" s="455"/>
    </row>
    <row r="1252" spans="21:21">
      <c r="U1252" s="455"/>
    </row>
    <row r="1253" spans="21:21">
      <c r="U1253" s="455"/>
    </row>
    <row r="1254" spans="21:21">
      <c r="U1254" s="455"/>
    </row>
    <row r="1255" spans="21:21">
      <c r="U1255" s="455"/>
    </row>
    <row r="1256" spans="21:21">
      <c r="U1256" s="455"/>
    </row>
    <row r="1257" spans="21:21">
      <c r="U1257" s="455"/>
    </row>
    <row r="1258" spans="21:21">
      <c r="U1258" s="455"/>
    </row>
    <row r="1259" spans="21:21">
      <c r="U1259" s="455"/>
    </row>
    <row r="1260" spans="21:21">
      <c r="U1260" s="455"/>
    </row>
    <row r="1261" spans="21:21">
      <c r="U1261" s="455"/>
    </row>
    <row r="1262" spans="21:21">
      <c r="U1262" s="455"/>
    </row>
    <row r="1263" spans="21:21">
      <c r="U1263" s="455"/>
    </row>
    <row r="1264" spans="21:21">
      <c r="U1264" s="455"/>
    </row>
    <row r="1265" spans="21:21">
      <c r="U1265" s="455"/>
    </row>
    <row r="1266" spans="21:21">
      <c r="U1266" s="455"/>
    </row>
    <row r="1267" spans="21:21">
      <c r="U1267" s="455"/>
    </row>
    <row r="1268" spans="21:21">
      <c r="U1268" s="455"/>
    </row>
    <row r="1269" spans="21:21">
      <c r="U1269" s="455"/>
    </row>
    <row r="1270" spans="21:21">
      <c r="U1270" s="455"/>
    </row>
    <row r="1271" spans="21:21">
      <c r="U1271" s="455"/>
    </row>
    <row r="1272" spans="21:21">
      <c r="U1272" s="455"/>
    </row>
    <row r="1273" spans="21:21">
      <c r="U1273" s="455"/>
    </row>
    <row r="1274" spans="21:21">
      <c r="U1274" s="455"/>
    </row>
    <row r="1275" spans="21:21">
      <c r="U1275" s="455"/>
    </row>
    <row r="1276" spans="21:21">
      <c r="U1276" s="455"/>
    </row>
    <row r="1277" spans="21:21">
      <c r="U1277" s="455"/>
    </row>
    <row r="1278" spans="21:21">
      <c r="U1278" s="455"/>
    </row>
    <row r="1279" spans="21:21">
      <c r="U1279" s="455"/>
    </row>
    <row r="1280" spans="21:21">
      <c r="U1280" s="455"/>
    </row>
    <row r="1281" spans="21:21">
      <c r="U1281" s="455"/>
    </row>
    <row r="1282" spans="21:21">
      <c r="U1282" s="455"/>
    </row>
    <row r="1283" spans="21:21">
      <c r="U1283" s="455"/>
    </row>
    <row r="1284" spans="21:21">
      <c r="U1284" s="455"/>
    </row>
    <row r="1285" spans="21:21">
      <c r="U1285" s="455"/>
    </row>
    <row r="1286" spans="21:21">
      <c r="U1286" s="455"/>
    </row>
    <row r="1287" spans="21:21">
      <c r="U1287" s="455"/>
    </row>
    <row r="1288" spans="21:21">
      <c r="U1288" s="455"/>
    </row>
    <row r="1289" spans="21:21">
      <c r="U1289" s="455"/>
    </row>
    <row r="1290" spans="21:21">
      <c r="U1290" s="455"/>
    </row>
    <row r="1291" spans="21:21">
      <c r="U1291" s="455"/>
    </row>
    <row r="1292" spans="21:21">
      <c r="U1292" s="455"/>
    </row>
    <row r="1293" spans="21:21">
      <c r="U1293" s="455"/>
    </row>
    <row r="1294" spans="21:21">
      <c r="U1294" s="455"/>
    </row>
    <row r="1295" spans="21:21">
      <c r="U1295" s="455"/>
    </row>
    <row r="1296" spans="21:21">
      <c r="U1296" s="455"/>
    </row>
    <row r="1297" spans="21:21">
      <c r="U1297" s="455"/>
    </row>
    <row r="1298" spans="21:21">
      <c r="U1298" s="455"/>
    </row>
    <row r="1299" spans="21:21">
      <c r="U1299" s="455"/>
    </row>
    <row r="1300" spans="21:21">
      <c r="U1300" s="455"/>
    </row>
    <row r="1301" spans="21:21">
      <c r="U1301" s="455"/>
    </row>
    <row r="1302" spans="21:21">
      <c r="U1302" s="455"/>
    </row>
    <row r="1303" spans="21:21">
      <c r="U1303" s="455"/>
    </row>
    <row r="1304" spans="21:21">
      <c r="U1304" s="455"/>
    </row>
    <row r="1305" spans="21:21">
      <c r="U1305" s="455"/>
    </row>
    <row r="1306" spans="21:21">
      <c r="U1306" s="455"/>
    </row>
    <row r="1307" spans="21:21">
      <c r="U1307" s="455"/>
    </row>
    <row r="1308" spans="21:21">
      <c r="U1308" s="455"/>
    </row>
    <row r="1309" spans="21:21">
      <c r="U1309" s="455"/>
    </row>
    <row r="1310" spans="21:21">
      <c r="U1310" s="455"/>
    </row>
    <row r="1311" spans="21:21">
      <c r="U1311" s="455"/>
    </row>
    <row r="1312" spans="21:21">
      <c r="U1312" s="455"/>
    </row>
    <row r="1313" spans="21:21">
      <c r="U1313" s="455"/>
    </row>
    <row r="1314" spans="21:21">
      <c r="U1314" s="455"/>
    </row>
    <row r="1315" spans="21:21">
      <c r="U1315" s="455"/>
    </row>
    <row r="1316" spans="21:21">
      <c r="U1316" s="455"/>
    </row>
    <row r="1317" spans="21:21">
      <c r="U1317" s="455"/>
    </row>
    <row r="1318" spans="21:21">
      <c r="U1318" s="455"/>
    </row>
    <row r="1319" spans="21:21">
      <c r="U1319" s="455"/>
    </row>
    <row r="1320" spans="21:21">
      <c r="U1320" s="455"/>
    </row>
    <row r="1321" spans="21:21">
      <c r="U1321" s="455"/>
    </row>
    <row r="1322" spans="21:21">
      <c r="U1322" s="455"/>
    </row>
    <row r="1323" spans="21:21">
      <c r="U1323" s="455"/>
    </row>
    <row r="1324" spans="21:21">
      <c r="U1324" s="455"/>
    </row>
    <row r="1325" spans="21:21">
      <c r="U1325" s="455"/>
    </row>
    <row r="1326" spans="21:21">
      <c r="U1326" s="455"/>
    </row>
    <row r="1327" spans="21:21">
      <c r="U1327" s="455"/>
    </row>
    <row r="1328" spans="21:21">
      <c r="U1328" s="455"/>
    </row>
    <row r="1329" spans="21:21">
      <c r="U1329" s="455"/>
    </row>
    <row r="1330" spans="21:21">
      <c r="U1330" s="455"/>
    </row>
    <row r="1331" spans="21:21">
      <c r="U1331" s="455"/>
    </row>
    <row r="1332" spans="21:21">
      <c r="U1332" s="455"/>
    </row>
    <row r="1333" spans="21:21">
      <c r="U1333" s="455"/>
    </row>
    <row r="1334" spans="21:21">
      <c r="U1334" s="455"/>
    </row>
    <row r="1335" spans="21:21">
      <c r="U1335" s="455"/>
    </row>
    <row r="1336" spans="21:21">
      <c r="U1336" s="455"/>
    </row>
    <row r="1337" spans="21:21">
      <c r="U1337" s="455"/>
    </row>
    <row r="1338" spans="21:21">
      <c r="U1338" s="455"/>
    </row>
    <row r="1339" spans="21:21">
      <c r="U1339" s="455"/>
    </row>
    <row r="1340" spans="21:21">
      <c r="U1340" s="455"/>
    </row>
    <row r="1341" spans="21:21">
      <c r="U1341" s="455"/>
    </row>
    <row r="1342" spans="21:21">
      <c r="U1342" s="455"/>
    </row>
    <row r="1343" spans="21:21">
      <c r="U1343" s="455"/>
    </row>
    <row r="1344" spans="21:21">
      <c r="U1344" s="455"/>
    </row>
    <row r="1345" spans="21:21">
      <c r="U1345" s="455"/>
    </row>
    <row r="1346" spans="21:21">
      <c r="U1346" s="455"/>
    </row>
    <row r="1347" spans="21:21">
      <c r="U1347" s="455"/>
    </row>
    <row r="1348" spans="21:21">
      <c r="U1348" s="455"/>
    </row>
    <row r="1349" spans="21:21">
      <c r="U1349" s="455"/>
    </row>
    <row r="1350" spans="21:21">
      <c r="U1350" s="455"/>
    </row>
    <row r="1351" spans="21:21">
      <c r="U1351" s="455"/>
    </row>
    <row r="1352" spans="21:21">
      <c r="U1352" s="455"/>
    </row>
    <row r="1353" spans="21:21">
      <c r="U1353" s="455"/>
    </row>
    <row r="1354" spans="21:21">
      <c r="U1354" s="455"/>
    </row>
    <row r="1355" spans="21:21">
      <c r="U1355" s="455"/>
    </row>
    <row r="1356" spans="21:21">
      <c r="U1356" s="455"/>
    </row>
    <row r="1357" spans="21:21">
      <c r="U1357" s="455"/>
    </row>
    <row r="1358" spans="21:21">
      <c r="U1358" s="455"/>
    </row>
    <row r="1359" spans="21:21">
      <c r="U1359" s="455"/>
    </row>
    <row r="1360" spans="21:21">
      <c r="U1360" s="455"/>
    </row>
    <row r="1361" spans="21:21">
      <c r="U1361" s="455"/>
    </row>
    <row r="1362" spans="21:21">
      <c r="U1362" s="455"/>
    </row>
    <row r="1363" spans="21:21">
      <c r="U1363" s="455"/>
    </row>
    <row r="1364" spans="21:21">
      <c r="U1364" s="455"/>
    </row>
    <row r="1365" spans="21:21">
      <c r="U1365" s="455"/>
    </row>
    <row r="1366" spans="21:21">
      <c r="U1366" s="455"/>
    </row>
    <row r="1367" spans="21:21">
      <c r="U1367" s="455"/>
    </row>
    <row r="1368" spans="21:21">
      <c r="U1368" s="455"/>
    </row>
    <row r="1369" spans="21:21">
      <c r="U1369" s="455"/>
    </row>
    <row r="1370" spans="21:21">
      <c r="U1370" s="455"/>
    </row>
    <row r="1371" spans="21:21">
      <c r="U1371" s="455"/>
    </row>
    <row r="1372" spans="21:21">
      <c r="U1372" s="455"/>
    </row>
    <row r="1373" spans="21:21">
      <c r="U1373" s="455"/>
    </row>
    <row r="1374" spans="21:21">
      <c r="U1374" s="455"/>
    </row>
    <row r="1375" spans="21:21">
      <c r="U1375" s="455"/>
    </row>
    <row r="1376" spans="21:21">
      <c r="U1376" s="455"/>
    </row>
    <row r="1377" spans="21:21">
      <c r="U1377" s="455"/>
    </row>
    <row r="1378" spans="21:21">
      <c r="U1378" s="455"/>
    </row>
    <row r="1379" spans="21:21">
      <c r="U1379" s="455"/>
    </row>
    <row r="1380" spans="21:21">
      <c r="U1380" s="455"/>
    </row>
    <row r="1381" spans="21:21">
      <c r="U1381" s="455"/>
    </row>
    <row r="1382" spans="21:21">
      <c r="U1382" s="455"/>
    </row>
    <row r="1383" spans="21:21">
      <c r="U1383" s="455"/>
    </row>
    <row r="1384" spans="21:21">
      <c r="U1384" s="455"/>
    </row>
    <row r="1385" spans="21:21">
      <c r="U1385" s="455"/>
    </row>
    <row r="1386" spans="21:21">
      <c r="U1386" s="455"/>
    </row>
    <row r="1387" spans="21:21">
      <c r="U1387" s="455"/>
    </row>
    <row r="1388" spans="21:21">
      <c r="U1388" s="455"/>
    </row>
    <row r="1389" spans="21:21">
      <c r="U1389" s="455"/>
    </row>
    <row r="1390" spans="21:21">
      <c r="U1390" s="455"/>
    </row>
    <row r="1391" spans="21:21">
      <c r="U1391" s="455"/>
    </row>
    <row r="1392" spans="21:21">
      <c r="U1392" s="455"/>
    </row>
    <row r="1393" spans="21:21">
      <c r="U1393" s="455"/>
    </row>
    <row r="1394" spans="21:21">
      <c r="U1394" s="455"/>
    </row>
    <row r="1395" spans="21:21">
      <c r="U1395" s="455"/>
    </row>
    <row r="1396" spans="21:21">
      <c r="U1396" s="455"/>
    </row>
    <row r="1397" spans="21:21">
      <c r="U1397" s="455"/>
    </row>
    <row r="1398" spans="21:21">
      <c r="U1398" s="455"/>
    </row>
    <row r="1399" spans="21:21">
      <c r="U1399" s="455"/>
    </row>
    <row r="1400" spans="21:21">
      <c r="U1400" s="455"/>
    </row>
    <row r="1401" spans="21:21">
      <c r="U1401" s="455"/>
    </row>
    <row r="1402" spans="21:21">
      <c r="U1402" s="455"/>
    </row>
    <row r="1403" spans="21:21">
      <c r="U1403" s="455"/>
    </row>
    <row r="1404" spans="21:21">
      <c r="U1404" s="455"/>
    </row>
    <row r="1405" spans="21:21">
      <c r="U1405" s="455"/>
    </row>
    <row r="1406" spans="21:21">
      <c r="U1406" s="455"/>
    </row>
    <row r="1407" spans="21:21">
      <c r="U1407" s="455"/>
    </row>
    <row r="1408" spans="21:21">
      <c r="U1408" s="455"/>
    </row>
    <row r="1409" spans="21:21">
      <c r="U1409" s="455"/>
    </row>
    <row r="1410" spans="21:21">
      <c r="U1410" s="455"/>
    </row>
    <row r="1411" spans="21:21">
      <c r="U1411" s="455"/>
    </row>
    <row r="1412" spans="21:21">
      <c r="U1412" s="455"/>
    </row>
    <row r="1413" spans="21:21">
      <c r="U1413" s="455"/>
    </row>
    <row r="1414" spans="21:21">
      <c r="U1414" s="455"/>
    </row>
    <row r="1415" spans="21:21">
      <c r="U1415" s="455"/>
    </row>
    <row r="1416" spans="21:21">
      <c r="U1416" s="455"/>
    </row>
    <row r="1417" spans="21:21">
      <c r="U1417" s="455"/>
    </row>
    <row r="1418" spans="21:21">
      <c r="U1418" s="455"/>
    </row>
    <row r="1419" spans="21:21">
      <c r="U1419" s="455"/>
    </row>
    <row r="1420" spans="21:21">
      <c r="U1420" s="455"/>
    </row>
    <row r="1421" spans="21:21">
      <c r="U1421" s="455"/>
    </row>
    <row r="1422" spans="21:21">
      <c r="U1422" s="455"/>
    </row>
    <row r="1423" spans="21:21">
      <c r="U1423" s="455"/>
    </row>
    <row r="1424" spans="21:21">
      <c r="U1424" s="455"/>
    </row>
    <row r="1425" spans="21:21">
      <c r="U1425" s="455"/>
    </row>
    <row r="1426" spans="21:21">
      <c r="U1426" s="455"/>
    </row>
    <row r="1427" spans="21:21">
      <c r="U1427" s="455"/>
    </row>
    <row r="1428" spans="21:21">
      <c r="U1428" s="455"/>
    </row>
    <row r="1429" spans="21:21">
      <c r="U1429" s="455"/>
    </row>
    <row r="1430" spans="21:21">
      <c r="U1430" s="455"/>
    </row>
    <row r="1431" spans="21:21">
      <c r="U1431" s="455"/>
    </row>
    <row r="1432" spans="21:21">
      <c r="U1432" s="455"/>
    </row>
    <row r="1433" spans="21:21">
      <c r="U1433" s="455"/>
    </row>
    <row r="1434" spans="21:21">
      <c r="U1434" s="455"/>
    </row>
    <row r="1435" spans="21:21">
      <c r="U1435" s="455"/>
    </row>
    <row r="1436" spans="21:21">
      <c r="U1436" s="455"/>
    </row>
    <row r="1437" spans="21:21">
      <c r="U1437" s="455"/>
    </row>
    <row r="1438" spans="21:21">
      <c r="U1438" s="455"/>
    </row>
    <row r="1439" spans="21:21">
      <c r="U1439" s="455"/>
    </row>
    <row r="1440" spans="21:21">
      <c r="U1440" s="455"/>
    </row>
    <row r="1441" spans="21:21">
      <c r="U1441" s="455"/>
    </row>
    <row r="1442" spans="21:21">
      <c r="U1442" s="455"/>
    </row>
  </sheetData>
  <sortState ref="B50:B80">
    <sortCondition ref="B50"/>
  </sortState>
  <mergeCells count="1">
    <mergeCell ref="C17:H17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2]!MonteCarloSim" altText="Run simulation_x000a__x000a__x000a_">
                <anchor moveWithCells="1" sizeWithCells="1">
                  <from>
                    <xdr:col>13</xdr:col>
                    <xdr:colOff>10886</xdr:colOff>
                    <xdr:row>12</xdr:row>
                    <xdr:rowOff>38100</xdr:rowOff>
                  </from>
                  <to>
                    <xdr:col>14</xdr:col>
                    <xdr:colOff>1475014</xdr:colOff>
                    <xdr:row>15</xdr:row>
                    <xdr:rowOff>27214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="63" workbookViewId="0">
      <selection activeCell="U15" sqref="U15"/>
    </sheetView>
  </sheetViews>
  <sheetFormatPr defaultColWidth="11.07421875" defaultRowHeight="14.6"/>
  <cols>
    <col min="4" max="4" width="17.4609375" customWidth="1"/>
  </cols>
  <sheetData>
    <row r="1" spans="1:2">
      <c r="A1" s="404" t="s">
        <v>330</v>
      </c>
      <c r="B1" s="404" t="s">
        <v>332</v>
      </c>
    </row>
    <row r="2" spans="1:2">
      <c r="A2" s="406">
        <v>6.6521786185372944</v>
      </c>
      <c r="B2" s="402">
        <v>7</v>
      </c>
    </row>
    <row r="3" spans="1:2">
      <c r="A3" s="406">
        <v>13.304357237074589</v>
      </c>
      <c r="B3" s="402">
        <v>0</v>
      </c>
    </row>
    <row r="4" spans="1:2">
      <c r="A4" s="406">
        <v>19.956535855611882</v>
      </c>
      <c r="B4" s="402">
        <v>0</v>
      </c>
    </row>
    <row r="5" spans="1:2">
      <c r="A5" s="406">
        <v>26.608714474149178</v>
      </c>
      <c r="B5" s="402">
        <v>0</v>
      </c>
    </row>
    <row r="6" spans="1:2">
      <c r="A6" s="406">
        <v>33.260893092686473</v>
      </c>
      <c r="B6" s="402">
        <v>0</v>
      </c>
    </row>
    <row r="7" spans="1:2">
      <c r="A7" s="406">
        <v>39.913071711223765</v>
      </c>
      <c r="B7" s="402">
        <v>0</v>
      </c>
    </row>
    <row r="8" spans="1:2">
      <c r="A8" s="406">
        <v>46.565250329761056</v>
      </c>
      <c r="B8" s="402">
        <v>0</v>
      </c>
    </row>
    <row r="9" spans="1:2">
      <c r="A9" s="406">
        <v>53.217428948298348</v>
      </c>
      <c r="B9" s="402">
        <v>0</v>
      </c>
    </row>
    <row r="10" spans="1:2">
      <c r="A10" s="406">
        <v>59.86960756683564</v>
      </c>
      <c r="B10" s="402">
        <v>3</v>
      </c>
    </row>
    <row r="11" spans="1:2">
      <c r="A11" s="406">
        <v>66.521786185372932</v>
      </c>
      <c r="B11" s="402">
        <v>9</v>
      </c>
    </row>
    <row r="12" spans="1:2">
      <c r="A12" s="406">
        <v>73.173964803910224</v>
      </c>
      <c r="B12" s="402">
        <v>41</v>
      </c>
    </row>
    <row r="13" spans="1:2">
      <c r="A13" s="406">
        <v>79.826143422447515</v>
      </c>
      <c r="B13" s="402">
        <v>112</v>
      </c>
    </row>
    <row r="14" spans="1:2">
      <c r="A14" s="406">
        <v>86.478322040984807</v>
      </c>
      <c r="B14" s="402">
        <v>231</v>
      </c>
    </row>
    <row r="15" spans="1:2">
      <c r="A15" s="406">
        <v>93.130500659522099</v>
      </c>
      <c r="B15" s="402">
        <v>355</v>
      </c>
    </row>
    <row r="16" spans="1:2">
      <c r="A16" s="406">
        <v>99.782679278059391</v>
      </c>
      <c r="B16" s="402">
        <v>442</v>
      </c>
    </row>
    <row r="17" spans="1:2">
      <c r="A17" s="406">
        <v>106.43485789659668</v>
      </c>
      <c r="B17" s="402">
        <v>558</v>
      </c>
    </row>
    <row r="18" spans="1:2">
      <c r="A18" s="406">
        <v>113.08703651513397</v>
      </c>
      <c r="B18" s="402">
        <v>623</v>
      </c>
    </row>
    <row r="19" spans="1:2">
      <c r="A19" s="406">
        <v>119.73921513367127</v>
      </c>
      <c r="B19" s="402">
        <v>659</v>
      </c>
    </row>
    <row r="20" spans="1:2">
      <c r="A20" s="406">
        <v>126.39139375220856</v>
      </c>
      <c r="B20" s="402">
        <v>637</v>
      </c>
    </row>
    <row r="21" spans="1:2">
      <c r="A21" s="406">
        <v>133.04357237074586</v>
      </c>
      <c r="B21" s="402">
        <v>623</v>
      </c>
    </row>
    <row r="22" spans="1:2">
      <c r="A22" s="406">
        <v>139.69575098928317</v>
      </c>
      <c r="B22" s="402">
        <v>561</v>
      </c>
    </row>
    <row r="23" spans="1:2">
      <c r="A23" s="406">
        <v>146.34792960782048</v>
      </c>
      <c r="B23" s="402">
        <v>576</v>
      </c>
    </row>
    <row r="24" spans="1:2">
      <c r="A24" s="406">
        <v>153.00010822635778</v>
      </c>
      <c r="B24" s="402">
        <v>488</v>
      </c>
    </row>
    <row r="25" spans="1:2">
      <c r="A25" s="406">
        <v>159.65228684489509</v>
      </c>
      <c r="B25" s="402">
        <v>427</v>
      </c>
    </row>
    <row r="26" spans="1:2">
      <c r="A26" s="406">
        <v>166.30446546343239</v>
      </c>
      <c r="B26" s="402">
        <v>382</v>
      </c>
    </row>
    <row r="27" spans="1:2">
      <c r="A27" s="406">
        <v>172.9566440819697</v>
      </c>
      <c r="B27" s="402">
        <v>371</v>
      </c>
    </row>
    <row r="28" spans="1:2">
      <c r="A28" s="406">
        <v>179.60882270050701</v>
      </c>
      <c r="B28" s="402">
        <v>327</v>
      </c>
    </row>
    <row r="29" spans="1:2">
      <c r="A29" s="406">
        <v>186.26100131904431</v>
      </c>
      <c r="B29" s="402">
        <v>261</v>
      </c>
    </row>
    <row r="30" spans="1:2">
      <c r="A30" s="406">
        <v>192.91317993758162</v>
      </c>
      <c r="B30" s="402">
        <v>252</v>
      </c>
    </row>
    <row r="31" spans="1:2">
      <c r="A31" s="406">
        <v>199.56535855611892</v>
      </c>
      <c r="B31" s="402">
        <v>202</v>
      </c>
    </row>
    <row r="32" spans="1:2">
      <c r="A32" s="406">
        <v>206.21753717465623</v>
      </c>
      <c r="B32" s="402">
        <v>162</v>
      </c>
    </row>
    <row r="33" spans="1:6">
      <c r="A33" s="406">
        <v>212.86971579319354</v>
      </c>
      <c r="B33" s="402">
        <v>171</v>
      </c>
    </row>
    <row r="34" spans="1:6">
      <c r="A34" s="406">
        <v>219.52189441173084</v>
      </c>
      <c r="B34" s="402">
        <v>166</v>
      </c>
    </row>
    <row r="35" spans="1:6">
      <c r="A35" s="406">
        <v>226.17407303026815</v>
      </c>
      <c r="B35" s="402">
        <v>151</v>
      </c>
    </row>
    <row r="36" spans="1:6">
      <c r="A36" s="406">
        <v>232.82625164880545</v>
      </c>
      <c r="B36" s="402">
        <v>93</v>
      </c>
    </row>
    <row r="37" spans="1:6">
      <c r="A37" s="406">
        <v>239.47843026734276</v>
      </c>
      <c r="B37" s="402">
        <v>120</v>
      </c>
      <c r="D37" t="s">
        <v>336</v>
      </c>
      <c r="E37" t="s">
        <v>335</v>
      </c>
      <c r="F37" s="47">
        <f>SUM(B16:B31)/10000</f>
        <v>0.7389</v>
      </c>
    </row>
    <row r="38" spans="1:6">
      <c r="A38" s="406">
        <v>246.13060888588006</v>
      </c>
      <c r="B38" s="402">
        <v>75</v>
      </c>
      <c r="D38" t="s">
        <v>337</v>
      </c>
      <c r="F38" s="47">
        <f>SUM(B19:B23)/10000</f>
        <v>0.30559999999999998</v>
      </c>
    </row>
    <row r="39" spans="1:6">
      <c r="A39" s="406">
        <v>252.78278750441737</v>
      </c>
      <c r="B39" s="402">
        <v>78</v>
      </c>
      <c r="D39" t="s">
        <v>338</v>
      </c>
      <c r="F39" s="47">
        <f>SUM(B21:B22)/10000</f>
        <v>0.11840000000000001</v>
      </c>
    </row>
    <row r="40" spans="1:6">
      <c r="A40" s="406">
        <v>259.43496612295468</v>
      </c>
      <c r="B40" s="402">
        <v>69</v>
      </c>
    </row>
    <row r="41" spans="1:6">
      <c r="A41" s="406">
        <v>266.08714474149195</v>
      </c>
      <c r="B41" s="402">
        <v>70</v>
      </c>
    </row>
    <row r="42" spans="1:6">
      <c r="A42" s="406">
        <v>272.73932336002923</v>
      </c>
      <c r="B42" s="402">
        <v>69</v>
      </c>
    </row>
    <row r="43" spans="1:6">
      <c r="A43" s="406">
        <v>279.39150197856651</v>
      </c>
      <c r="B43" s="402">
        <v>58</v>
      </c>
    </row>
    <row r="44" spans="1:6">
      <c r="A44" s="406">
        <v>286.04368059710379</v>
      </c>
      <c r="B44" s="402">
        <v>45</v>
      </c>
    </row>
    <row r="45" spans="1:6">
      <c r="A45" s="406">
        <v>292.69585921564106</v>
      </c>
      <c r="B45" s="402">
        <v>35</v>
      </c>
    </row>
    <row r="46" spans="1:6">
      <c r="A46" s="406">
        <v>299.34803783417834</v>
      </c>
      <c r="B46" s="402">
        <v>45</v>
      </c>
    </row>
    <row r="47" spans="1:6">
      <c r="A47" s="406">
        <v>306.00021645271562</v>
      </c>
      <c r="B47" s="402">
        <v>25</v>
      </c>
    </row>
    <row r="48" spans="1:6">
      <c r="A48" s="406">
        <v>312.6523950712529</v>
      </c>
      <c r="B48" s="402">
        <v>30</v>
      </c>
    </row>
    <row r="49" spans="1:2">
      <c r="A49" s="406">
        <v>319.30457368979017</v>
      </c>
      <c r="B49" s="402">
        <v>31</v>
      </c>
    </row>
    <row r="50" spans="1:2">
      <c r="A50" s="406">
        <v>325.95675230832745</v>
      </c>
      <c r="B50" s="402">
        <v>17</v>
      </c>
    </row>
    <row r="51" spans="1:2">
      <c r="A51" s="406">
        <v>332.60893092686473</v>
      </c>
      <c r="B51" s="402">
        <v>30</v>
      </c>
    </row>
    <row r="52" spans="1:2">
      <c r="A52" s="406">
        <v>339.26110954540201</v>
      </c>
      <c r="B52" s="402">
        <v>25</v>
      </c>
    </row>
    <row r="53" spans="1:2">
      <c r="A53" s="406">
        <v>345.91328816393928</v>
      </c>
      <c r="B53" s="402">
        <v>15</v>
      </c>
    </row>
    <row r="54" spans="1:2">
      <c r="A54" s="406">
        <v>352.56546678247656</v>
      </c>
      <c r="B54" s="402">
        <v>15</v>
      </c>
    </row>
    <row r="55" spans="1:2">
      <c r="A55" s="406">
        <v>359.21764540101384</v>
      </c>
      <c r="B55" s="402">
        <v>19</v>
      </c>
    </row>
    <row r="56" spans="1:2">
      <c r="A56" s="406">
        <v>365.86982401955112</v>
      </c>
      <c r="B56" s="402">
        <v>7</v>
      </c>
    </row>
    <row r="57" spans="1:2">
      <c r="A57" s="406">
        <v>372.5220026380884</v>
      </c>
      <c r="B57" s="402">
        <v>12</v>
      </c>
    </row>
    <row r="58" spans="1:2">
      <c r="A58" s="406">
        <v>379.17418125662567</v>
      </c>
      <c r="B58" s="402">
        <v>19</v>
      </c>
    </row>
    <row r="59" spans="1:2">
      <c r="A59" s="406">
        <v>385.82635987516295</v>
      </c>
      <c r="B59" s="402">
        <v>11</v>
      </c>
    </row>
    <row r="60" spans="1:2">
      <c r="A60" s="406">
        <v>392.47853849370023</v>
      </c>
      <c r="B60" s="402">
        <v>11</v>
      </c>
    </row>
    <row r="61" spans="1:2">
      <c r="A61" s="406">
        <v>399.13071711223751</v>
      </c>
      <c r="B61" s="402">
        <v>4</v>
      </c>
    </row>
    <row r="62" spans="1:2">
      <c r="A62" s="406">
        <v>405.78289573077478</v>
      </c>
      <c r="B62" s="402">
        <v>8</v>
      </c>
    </row>
    <row r="63" spans="1:2">
      <c r="A63" s="406">
        <v>412.43507434931206</v>
      </c>
      <c r="B63" s="402">
        <v>8</v>
      </c>
    </row>
    <row r="64" spans="1:2">
      <c r="A64" s="406">
        <v>419.08725296784934</v>
      </c>
      <c r="B64" s="402">
        <v>9</v>
      </c>
    </row>
    <row r="65" spans="1:2">
      <c r="A65" s="406">
        <v>425.73943158638662</v>
      </c>
      <c r="B65" s="402">
        <v>7</v>
      </c>
    </row>
    <row r="66" spans="1:2">
      <c r="A66" s="406">
        <v>432.39161020492389</v>
      </c>
      <c r="B66" s="402">
        <v>5</v>
      </c>
    </row>
    <row r="67" spans="1:2" ht="15" thickBot="1">
      <c r="A67" s="403" t="s">
        <v>331</v>
      </c>
      <c r="B67" s="403">
        <v>138</v>
      </c>
    </row>
  </sheetData>
  <sortState ref="A2:A66">
    <sortCondition ref="A2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23"/>
  <sheetViews>
    <sheetView showGridLines="0" zoomScale="77" zoomScaleNormal="168" workbookViewId="0">
      <selection activeCell="C25" sqref="C25"/>
    </sheetView>
  </sheetViews>
  <sheetFormatPr defaultColWidth="11.07421875" defaultRowHeight="14.6"/>
  <cols>
    <col min="3" max="3" width="31.4609375" bestFit="1" customWidth="1"/>
    <col min="4" max="4" width="10.84375" customWidth="1"/>
  </cols>
  <sheetData>
    <row r="5" spans="3:9" ht="15" thickBot="1"/>
    <row r="6" spans="3:9" ht="15" thickBot="1">
      <c r="C6" s="90" t="s">
        <v>206</v>
      </c>
      <c r="D6" s="711">
        <v>2018</v>
      </c>
      <c r="E6" s="712"/>
      <c r="F6" s="711">
        <v>2019</v>
      </c>
      <c r="G6" s="712"/>
      <c r="H6" s="711">
        <v>2020</v>
      </c>
      <c r="I6" s="712"/>
    </row>
    <row r="7" spans="3:9" ht="15" thickBot="1">
      <c r="C7" s="79" t="s">
        <v>207</v>
      </c>
      <c r="D7" s="79" t="s">
        <v>208</v>
      </c>
      <c r="E7" s="81" t="s">
        <v>209</v>
      </c>
      <c r="F7" s="79" t="s">
        <v>208</v>
      </c>
      <c r="G7" s="82" t="s">
        <v>209</v>
      </c>
      <c r="H7" s="79" t="s">
        <v>208</v>
      </c>
      <c r="I7" s="82" t="s">
        <v>209</v>
      </c>
    </row>
    <row r="8" spans="3:9">
      <c r="C8" s="83" t="s">
        <v>210</v>
      </c>
      <c r="D8" s="84">
        <f>' Adj. income statement'!M12/(' Adj. income statement'!M18*-1)</f>
        <v>4.6165741331600625</v>
      </c>
      <c r="E8" s="84" t="s">
        <v>216</v>
      </c>
      <c r="F8" s="84">
        <f>' Adj. income statement'!O12/(' Adj. income statement'!O18*-1)</f>
        <v>7.9481188770889935</v>
      </c>
      <c r="G8" s="84" t="s">
        <v>214</v>
      </c>
      <c r="H8" s="84">
        <f>' Adj. income statement'!Q12/(' Adj. income statement'!Q18*-1)</f>
        <v>6.9994668459562703</v>
      </c>
      <c r="I8" s="84" t="s">
        <v>214</v>
      </c>
    </row>
    <row r="9" spans="3:9" ht="13" customHeight="1">
      <c r="C9" s="83" t="s">
        <v>212</v>
      </c>
      <c r="D9" s="85">
        <f>' Adj. income statement'!M10/(' Adj. income statement'!M18*-1)</f>
        <v>5.4201799425716608</v>
      </c>
      <c r="E9" s="78" t="s">
        <v>219</v>
      </c>
      <c r="F9" s="85">
        <f>' Adj. income statement'!O10/(' Adj. income statement'!O18*-1)</f>
        <v>13.560039515929859</v>
      </c>
      <c r="G9" s="86" t="s">
        <v>211</v>
      </c>
      <c r="H9" s="85">
        <f>' Adj. income statement'!Q10/(' Adj. income statement'!Q18*-1)</f>
        <v>13.350349767400575</v>
      </c>
      <c r="I9" s="86" t="s">
        <v>211</v>
      </c>
    </row>
    <row r="10" spans="3:9" ht="26.05" customHeight="1">
      <c r="C10" s="87" t="s">
        <v>213</v>
      </c>
      <c r="D10" s="88">
        <f>'Cash flow'!E8/'Adj. balance sheet'!L30</f>
        <v>0.12250380631856993</v>
      </c>
      <c r="E10" s="78" t="s">
        <v>216</v>
      </c>
      <c r="F10" s="88">
        <f>'Cash flow'!F8/'Adj. balance sheet'!M30</f>
        <v>-4.5953606747066778E-2</v>
      </c>
      <c r="G10" s="86" t="s">
        <v>220</v>
      </c>
      <c r="H10" s="88">
        <f>'Cash flow'!G8/'Adj. balance sheet'!N30</f>
        <v>0.18661576182075165</v>
      </c>
      <c r="I10" s="86" t="s">
        <v>214</v>
      </c>
    </row>
    <row r="11" spans="3:9">
      <c r="C11" s="83" t="s">
        <v>215</v>
      </c>
      <c r="D11" s="88">
        <f>'Adj. balance sheet'!L30/'Adj. balance sheet'!L33</f>
        <v>0.62998370126264869</v>
      </c>
      <c r="E11" s="78" t="s">
        <v>220</v>
      </c>
      <c r="F11" s="88">
        <f>'Adj. balance sheet'!M30/'Adj. balance sheet'!M33</f>
        <v>0.66808504621060349</v>
      </c>
      <c r="G11" s="86" t="s">
        <v>220</v>
      </c>
      <c r="H11" s="88">
        <f>'Adj. balance sheet'!N30/'Adj. balance sheet'!N33</f>
        <v>0.65811710753592778</v>
      </c>
      <c r="I11" s="86" t="s">
        <v>220</v>
      </c>
    </row>
    <row r="12" spans="3:9" ht="15" thickBot="1">
      <c r="C12" s="87" t="s">
        <v>217</v>
      </c>
      <c r="D12" s="88">
        <f>'Adj. balance sheet'!L18/'Adj. balance sheet'!L33</f>
        <v>0.46108070067066265</v>
      </c>
      <c r="E12" s="89" t="s">
        <v>216</v>
      </c>
      <c r="F12" s="88">
        <f>'Adj. balance sheet'!M18/'Adj. balance sheet'!M33</f>
        <v>0.4024977331899659</v>
      </c>
      <c r="G12" s="86" t="s">
        <v>214</v>
      </c>
      <c r="H12" s="88">
        <f>'Adj. balance sheet'!N18/'Adj. balance sheet'!N33</f>
        <v>0.39306567078458904</v>
      </c>
      <c r="I12" s="86" t="s">
        <v>214</v>
      </c>
    </row>
    <row r="13" spans="3:9" ht="15" thickBot="1">
      <c r="C13" s="79" t="s">
        <v>218</v>
      </c>
      <c r="D13" s="80"/>
      <c r="E13" s="81" t="s">
        <v>219</v>
      </c>
      <c r="F13" s="80"/>
      <c r="G13" s="82" t="s">
        <v>216</v>
      </c>
      <c r="H13" s="80"/>
      <c r="I13" s="82" t="s">
        <v>214</v>
      </c>
    </row>
    <row r="17" spans="3:12">
      <c r="C17" s="660" t="s">
        <v>227</v>
      </c>
      <c r="D17" s="661">
        <f>(L21+L22+L21+L23+L21)/5</f>
        <v>2.4</v>
      </c>
      <c r="E17" s="663" t="s">
        <v>351</v>
      </c>
      <c r="F17" s="662">
        <f>(L20+L19+L23+L23+L20)/5</f>
        <v>3</v>
      </c>
      <c r="G17" s="663" t="s">
        <v>352</v>
      </c>
      <c r="H17" s="661">
        <f>(L20+L19+L20+L23+L20)/5</f>
        <v>3.6</v>
      </c>
      <c r="I17" s="664" t="s">
        <v>353</v>
      </c>
      <c r="K17" s="669" t="s">
        <v>349</v>
      </c>
      <c r="L17" s="671"/>
    </row>
    <row r="18" spans="3:12">
      <c r="K18" s="126" t="s">
        <v>350</v>
      </c>
      <c r="L18" s="522">
        <v>6</v>
      </c>
    </row>
    <row r="19" spans="3:12">
      <c r="K19" s="126" t="s">
        <v>211</v>
      </c>
      <c r="L19" s="522">
        <v>5</v>
      </c>
    </row>
    <row r="20" spans="3:12">
      <c r="K20" s="126" t="s">
        <v>214</v>
      </c>
      <c r="L20" s="522">
        <v>4</v>
      </c>
    </row>
    <row r="21" spans="3:12">
      <c r="K21" s="126" t="s">
        <v>216</v>
      </c>
      <c r="L21" s="522">
        <v>3</v>
      </c>
    </row>
    <row r="22" spans="3:12">
      <c r="K22" s="126" t="s">
        <v>219</v>
      </c>
      <c r="L22" s="522">
        <v>2</v>
      </c>
    </row>
    <row r="23" spans="3:12">
      <c r="K23" s="502" t="s">
        <v>220</v>
      </c>
      <c r="L23" s="562">
        <v>1</v>
      </c>
    </row>
  </sheetData>
  <mergeCells count="4">
    <mergeCell ref="D6:E6"/>
    <mergeCell ref="F6:G6"/>
    <mergeCell ref="H6:I6"/>
    <mergeCell ref="K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6"/>
  <sheetViews>
    <sheetView topLeftCell="X1" zoomScale="83" zoomScaleNormal="93" workbookViewId="0">
      <selection activeCell="X29" sqref="X29:AH34"/>
    </sheetView>
  </sheetViews>
  <sheetFormatPr defaultColWidth="10.84375" defaultRowHeight="14.6"/>
  <cols>
    <col min="3" max="3" width="27.3046875" customWidth="1"/>
    <col min="4" max="4" width="19.84375" customWidth="1"/>
    <col min="5" max="5" width="15.69140625" customWidth="1"/>
    <col min="6" max="6" width="18.69140625" customWidth="1"/>
    <col min="7" max="7" width="18.84375" customWidth="1"/>
    <col min="8" max="8" width="20" customWidth="1"/>
    <col min="9" max="9" width="12.15234375" bestFit="1" customWidth="1"/>
    <col min="10" max="10" width="36.15234375" customWidth="1"/>
    <col min="11" max="11" width="16.15234375" customWidth="1"/>
    <col min="12" max="12" width="14.3046875" customWidth="1"/>
    <col min="13" max="13" width="12.84375" customWidth="1"/>
    <col min="14" max="14" width="13.15234375" customWidth="1"/>
    <col min="15" max="15" width="14.15234375" customWidth="1"/>
    <col min="16" max="16" width="13.3046875" bestFit="1" customWidth="1"/>
    <col min="17" max="19" width="12.4609375" bestFit="1" customWidth="1"/>
    <col min="20" max="20" width="13" bestFit="1" customWidth="1"/>
    <col min="24" max="24" width="17.4609375" customWidth="1"/>
    <col min="25" max="25" width="14.3046875" customWidth="1"/>
    <col min="26" max="26" width="12.15234375" customWidth="1"/>
    <col min="27" max="30" width="13.15234375" bestFit="1" customWidth="1"/>
    <col min="31" max="34" width="12.69140625" bestFit="1" customWidth="1"/>
  </cols>
  <sheetData>
    <row r="1" spans="2:31">
      <c r="W1" s="55"/>
      <c r="X1" s="55"/>
      <c r="Y1" s="55"/>
      <c r="Z1" s="55"/>
      <c r="AA1" s="55"/>
      <c r="AB1" s="55"/>
      <c r="AC1" s="55"/>
      <c r="AD1" s="55"/>
    </row>
    <row r="2" spans="2:31" ht="15.9">
      <c r="C2" s="666" t="s">
        <v>193</v>
      </c>
      <c r="D2" s="667"/>
      <c r="E2" s="667"/>
      <c r="F2" s="667"/>
      <c r="G2" s="667"/>
      <c r="H2" s="668"/>
      <c r="J2" s="666" t="s">
        <v>16</v>
      </c>
      <c r="K2" s="667"/>
      <c r="L2" s="667"/>
      <c r="M2" s="667"/>
      <c r="N2" s="667"/>
      <c r="O2" s="667"/>
      <c r="P2" s="667"/>
      <c r="Q2" s="667"/>
      <c r="R2" s="667"/>
      <c r="S2" s="667"/>
      <c r="T2" s="668"/>
      <c r="W2" s="55"/>
      <c r="X2" s="487" t="s">
        <v>340</v>
      </c>
      <c r="Y2" s="488">
        <v>2016</v>
      </c>
      <c r="Z2" s="488">
        <v>2017</v>
      </c>
      <c r="AA2" s="488">
        <v>2018</v>
      </c>
      <c r="AB2" s="488">
        <v>2019</v>
      </c>
      <c r="AC2" s="489">
        <v>2020</v>
      </c>
      <c r="AD2" s="55"/>
    </row>
    <row r="3" spans="2:31" ht="15.55" customHeight="1">
      <c r="C3" s="219" t="s">
        <v>340</v>
      </c>
      <c r="D3" s="174">
        <v>2016</v>
      </c>
      <c r="E3" s="198">
        <v>2017</v>
      </c>
      <c r="F3" s="198">
        <v>2018</v>
      </c>
      <c r="G3" s="198">
        <v>2019</v>
      </c>
      <c r="H3" s="199">
        <v>2020</v>
      </c>
      <c r="J3" s="171" t="s">
        <v>340</v>
      </c>
      <c r="K3" s="174">
        <v>2016</v>
      </c>
      <c r="L3" s="174">
        <v>2017</v>
      </c>
      <c r="M3" s="174">
        <v>2018</v>
      </c>
      <c r="N3" s="174">
        <v>2019</v>
      </c>
      <c r="O3" s="174">
        <v>2020</v>
      </c>
      <c r="P3" s="472">
        <v>2021</v>
      </c>
      <c r="Q3" s="472">
        <v>2022</v>
      </c>
      <c r="R3" s="472">
        <v>2023</v>
      </c>
      <c r="S3" s="472">
        <v>2024</v>
      </c>
      <c r="T3" s="473">
        <v>2025</v>
      </c>
      <c r="W3" s="55"/>
      <c r="X3" s="122" t="s">
        <v>25</v>
      </c>
      <c r="Y3" s="490">
        <f>K6</f>
        <v>780237</v>
      </c>
      <c r="Z3" s="490">
        <f>L6</f>
        <v>834715</v>
      </c>
      <c r="AA3" s="490">
        <f>M6</f>
        <v>893834</v>
      </c>
      <c r="AB3" s="490">
        <f>N6</f>
        <v>1418597</v>
      </c>
      <c r="AC3" s="129">
        <f>O6</f>
        <v>1867661</v>
      </c>
      <c r="AD3" s="55"/>
    </row>
    <row r="4" spans="2:31" ht="15.9">
      <c r="C4" s="200" t="s">
        <v>0</v>
      </c>
      <c r="D4" s="266">
        <v>1293932</v>
      </c>
      <c r="E4" s="266">
        <v>1381675</v>
      </c>
      <c r="F4" s="266">
        <v>1466729</v>
      </c>
      <c r="G4" s="266">
        <v>2342180</v>
      </c>
      <c r="H4" s="267">
        <v>2994658</v>
      </c>
      <c r="J4" s="222" t="s">
        <v>0</v>
      </c>
      <c r="K4" s="223">
        <f t="shared" ref="K4:O5" si="0">D6</f>
        <v>1295536</v>
      </c>
      <c r="L4" s="223">
        <f t="shared" si="0"/>
        <v>1382342</v>
      </c>
      <c r="M4" s="223">
        <f t="shared" si="0"/>
        <v>1467064</v>
      </c>
      <c r="N4" s="223">
        <f t="shared" si="0"/>
        <v>2344263</v>
      </c>
      <c r="O4" s="223">
        <f t="shared" si="0"/>
        <v>2996351</v>
      </c>
      <c r="P4" s="480">
        <f>O4*(1+P34)</f>
        <v>3116205.04</v>
      </c>
      <c r="Q4" s="480">
        <f>P4*(1+Q34)</f>
        <v>3178529.1408000002</v>
      </c>
      <c r="R4" s="480">
        <f t="shared" ref="R4:T4" si="1">Q4*(1+R34)</f>
        <v>3242099.7236160003</v>
      </c>
      <c r="S4" s="480">
        <f t="shared" si="1"/>
        <v>3306941.7180883205</v>
      </c>
      <c r="T4" s="481">
        <f t="shared" si="1"/>
        <v>3340011.1352692037</v>
      </c>
      <c r="W4" s="55"/>
      <c r="X4" s="492" t="s">
        <v>6</v>
      </c>
      <c r="Y4" s="493">
        <f>K10</f>
        <v>201063</v>
      </c>
      <c r="Z4" s="493">
        <f>L10</f>
        <v>214528</v>
      </c>
      <c r="AA4" s="493">
        <f>M10</f>
        <v>250206</v>
      </c>
      <c r="AB4" s="493">
        <f>N10</f>
        <v>566950</v>
      </c>
      <c r="AC4" s="162">
        <f>O10</f>
        <v>823569</v>
      </c>
      <c r="AD4" s="55"/>
    </row>
    <row r="5" spans="2:31" ht="15.9">
      <c r="B5" s="6"/>
      <c r="C5" s="126" t="s">
        <v>23</v>
      </c>
      <c r="D5" s="266">
        <v>1604</v>
      </c>
      <c r="E5" s="266">
        <v>667</v>
      </c>
      <c r="F5" s="266">
        <v>336</v>
      </c>
      <c r="G5" s="266">
        <v>2082</v>
      </c>
      <c r="H5" s="268">
        <v>1693</v>
      </c>
      <c r="J5" s="200" t="s">
        <v>1</v>
      </c>
      <c r="K5" s="474">
        <f t="shared" si="0"/>
        <v>-515299</v>
      </c>
      <c r="L5" s="474">
        <f t="shared" si="0"/>
        <v>-547627</v>
      </c>
      <c r="M5" s="474">
        <f t="shared" si="0"/>
        <v>-573230</v>
      </c>
      <c r="N5" s="474">
        <f t="shared" si="0"/>
        <v>-925666</v>
      </c>
      <c r="O5" s="474">
        <f t="shared" si="0"/>
        <v>-1128690</v>
      </c>
      <c r="P5" s="475">
        <f>-(P4*P35)</f>
        <v>-1230478.4294921858</v>
      </c>
      <c r="Q5" s="475">
        <f t="shared" ref="Q5:S5" si="2">-(Q4*Q35)</f>
        <v>-1255087.9980820296</v>
      </c>
      <c r="R5" s="475">
        <f t="shared" si="2"/>
        <v>-1280189.7580436703</v>
      </c>
      <c r="S5" s="475">
        <f t="shared" si="2"/>
        <v>-1305793.5532045437</v>
      </c>
      <c r="T5" s="476">
        <f>-(T4*T35)</f>
        <v>-1318851.4887365892</v>
      </c>
      <c r="W5" s="55"/>
      <c r="X5" s="122" t="s">
        <v>8</v>
      </c>
      <c r="Y5" s="490">
        <f>K12</f>
        <v>172110</v>
      </c>
      <c r="Z5" s="490">
        <f>L12</f>
        <v>179689</v>
      </c>
      <c r="AA5" s="490">
        <f>M12</f>
        <v>213110</v>
      </c>
      <c r="AB5" s="490">
        <f>N12</f>
        <v>301976</v>
      </c>
      <c r="AC5" s="129">
        <f>O12</f>
        <v>482729</v>
      </c>
      <c r="AD5" s="55"/>
    </row>
    <row r="6" spans="2:31" ht="15.9">
      <c r="B6" s="6"/>
      <c r="C6" s="211" t="s">
        <v>17</v>
      </c>
      <c r="D6" s="212">
        <f>D4+D5</f>
        <v>1295536</v>
      </c>
      <c r="E6" s="212">
        <f t="shared" ref="E6" si="3">E4+E5</f>
        <v>1382342</v>
      </c>
      <c r="F6" s="212">
        <f>F4+F5-1</f>
        <v>1467064</v>
      </c>
      <c r="G6" s="212">
        <f>G4+G5+1</f>
        <v>2344263</v>
      </c>
      <c r="H6" s="213">
        <f>H4+H5</f>
        <v>2996351</v>
      </c>
      <c r="J6" s="98" t="s">
        <v>2</v>
      </c>
      <c r="K6" s="233">
        <f>K4+K5</f>
        <v>780237</v>
      </c>
      <c r="L6" s="233">
        <f t="shared" ref="L6:T6" si="4">L4+L5</f>
        <v>834715</v>
      </c>
      <c r="M6" s="233">
        <f t="shared" si="4"/>
        <v>893834</v>
      </c>
      <c r="N6" s="233">
        <f t="shared" si="4"/>
        <v>1418597</v>
      </c>
      <c r="O6" s="233">
        <f t="shared" si="4"/>
        <v>1867661</v>
      </c>
      <c r="P6" s="233">
        <f t="shared" si="4"/>
        <v>1885726.6105078142</v>
      </c>
      <c r="Q6" s="233">
        <f t="shared" si="4"/>
        <v>1923441.1427179705</v>
      </c>
      <c r="R6" s="233">
        <f t="shared" si="4"/>
        <v>1961909.9655723299</v>
      </c>
      <c r="S6" s="233">
        <f t="shared" si="4"/>
        <v>2001148.1648837768</v>
      </c>
      <c r="T6" s="224">
        <f t="shared" si="4"/>
        <v>2021159.6465326145</v>
      </c>
      <c r="W6" s="55"/>
      <c r="X6" s="492" t="s">
        <v>12</v>
      </c>
      <c r="Y6" s="493">
        <f>K16</f>
        <v>134245.79999999999</v>
      </c>
      <c r="Z6" s="493">
        <f>L16</f>
        <v>140157.41999999998</v>
      </c>
      <c r="AA6" s="493">
        <f>M16</f>
        <v>166225.79999999999</v>
      </c>
      <c r="AB6" s="493">
        <f>N16</f>
        <v>239886.54</v>
      </c>
      <c r="AC6" s="162">
        <f>O16</f>
        <v>378277.08</v>
      </c>
      <c r="AD6" s="55"/>
    </row>
    <row r="7" spans="2:31" ht="15.9">
      <c r="B7" s="6"/>
      <c r="C7" s="8" t="s">
        <v>1</v>
      </c>
      <c r="D7" s="269">
        <v>-515299</v>
      </c>
      <c r="E7" s="269">
        <v>-547627</v>
      </c>
      <c r="F7" s="206">
        <v>-573230</v>
      </c>
      <c r="G7" s="269">
        <f>-1019790+94124</f>
        <v>-925666</v>
      </c>
      <c r="H7" s="270">
        <v>-1128690</v>
      </c>
      <c r="J7" s="200" t="s">
        <v>3</v>
      </c>
      <c r="K7" s="474">
        <f>D9</f>
        <v>-289547</v>
      </c>
      <c r="L7" s="474">
        <f>E9</f>
        <v>-306471</v>
      </c>
      <c r="M7" s="474">
        <f>F9</f>
        <v>-310898</v>
      </c>
      <c r="N7" s="474">
        <f>G9</f>
        <v>-503494</v>
      </c>
      <c r="O7" s="474">
        <f>H9</f>
        <v>-607119</v>
      </c>
      <c r="P7" s="474">
        <f>-(P4*P36)</f>
        <v>-669984.08360000001</v>
      </c>
      <c r="Q7" s="474">
        <f t="shared" ref="Q7:T7" si="5">-(Q4*Q36)</f>
        <v>-683383.76527199999</v>
      </c>
      <c r="R7" s="474">
        <f t="shared" si="5"/>
        <v>-697051.44057744008</v>
      </c>
      <c r="S7" s="474">
        <f t="shared" si="5"/>
        <v>-710992.46938898892</v>
      </c>
      <c r="T7" s="474">
        <f t="shared" si="5"/>
        <v>-718102.39408287883</v>
      </c>
      <c r="W7" s="55"/>
      <c r="X7" s="491" t="s">
        <v>26</v>
      </c>
      <c r="Y7" s="146">
        <f>K20</f>
        <v>96111.170604198473</v>
      </c>
      <c r="Z7" s="146">
        <f>L20</f>
        <v>104540.28582935383</v>
      </c>
      <c r="AA7" s="146">
        <f>M20</f>
        <v>131262.34986495232</v>
      </c>
      <c r="AB7" s="146">
        <f>N20</f>
        <v>207951</v>
      </c>
      <c r="AC7" s="227">
        <f>O20</f>
        <v>356097</v>
      </c>
      <c r="AD7" s="55"/>
    </row>
    <row r="8" spans="2:31">
      <c r="B8" s="6"/>
      <c r="C8" s="211" t="s">
        <v>2</v>
      </c>
      <c r="D8" s="212">
        <f>D6+D7</f>
        <v>780237</v>
      </c>
      <c r="E8" s="212">
        <f t="shared" ref="E8:H8" si="6">E6+E7</f>
        <v>834715</v>
      </c>
      <c r="F8" s="212">
        <f>F6+F7</f>
        <v>893834</v>
      </c>
      <c r="G8" s="212">
        <f t="shared" si="6"/>
        <v>1418597</v>
      </c>
      <c r="H8" s="213">
        <f t="shared" si="6"/>
        <v>1867661</v>
      </c>
      <c r="J8" s="8" t="s">
        <v>4</v>
      </c>
      <c r="K8" s="477">
        <f>D11</f>
        <v>-289627</v>
      </c>
      <c r="L8" s="477">
        <f>E11</f>
        <v>-313716</v>
      </c>
      <c r="M8" s="477">
        <f>F11</f>
        <v>-332730</v>
      </c>
      <c r="N8" s="477">
        <f>G11</f>
        <v>-348153</v>
      </c>
      <c r="O8" s="474">
        <f>H11</f>
        <v>-436973</v>
      </c>
      <c r="P8" s="474">
        <f>-(P4*P37)</f>
        <v>-454451.92000000004</v>
      </c>
      <c r="Q8" s="474">
        <f t="shared" ref="Q8:T8" si="7">-(Q4*Q37)</f>
        <v>-463540.95840000006</v>
      </c>
      <c r="R8" s="474">
        <f t="shared" si="7"/>
        <v>-472811.77756800008</v>
      </c>
      <c r="S8" s="474">
        <f t="shared" si="7"/>
        <v>-482268.01311936008</v>
      </c>
      <c r="T8" s="478">
        <f t="shared" si="7"/>
        <v>-487090.69325055368</v>
      </c>
      <c r="W8" s="55"/>
      <c r="X8" s="56"/>
      <c r="Y8" s="56"/>
      <c r="Z8" s="508"/>
      <c r="AA8" s="55"/>
      <c r="AB8" s="55"/>
      <c r="AC8" s="55"/>
      <c r="AD8" s="55"/>
    </row>
    <row r="9" spans="2:31">
      <c r="B9" s="6"/>
      <c r="C9" s="200" t="s">
        <v>3</v>
      </c>
      <c r="D9" s="266">
        <v>-289547</v>
      </c>
      <c r="E9" s="266">
        <v>-306471</v>
      </c>
      <c r="F9" s="208">
        <v>-310898</v>
      </c>
      <c r="G9" s="266">
        <v>-503494</v>
      </c>
      <c r="H9" s="268">
        <v>-607119</v>
      </c>
      <c r="J9" s="98" t="s">
        <v>5</v>
      </c>
      <c r="K9" s="233">
        <f t="shared" ref="K9:T9" si="8">K5+K7+K8</f>
        <v>-1094473</v>
      </c>
      <c r="L9" s="233">
        <f t="shared" si="8"/>
        <v>-1167814</v>
      </c>
      <c r="M9" s="233">
        <f t="shared" si="8"/>
        <v>-1216858</v>
      </c>
      <c r="N9" s="233">
        <f t="shared" si="8"/>
        <v>-1777313</v>
      </c>
      <c r="O9" s="480">
        <f t="shared" si="8"/>
        <v>-2172782</v>
      </c>
      <c r="P9" s="480">
        <f t="shared" si="8"/>
        <v>-2354914.4330921858</v>
      </c>
      <c r="Q9" s="480">
        <f t="shared" si="8"/>
        <v>-2402012.7217540294</v>
      </c>
      <c r="R9" s="480">
        <f t="shared" si="8"/>
        <v>-2450052.9761891104</v>
      </c>
      <c r="S9" s="480">
        <f t="shared" si="8"/>
        <v>-2499054.0357128927</v>
      </c>
      <c r="T9" s="481">
        <f t="shared" si="8"/>
        <v>-2524044.5760700218</v>
      </c>
      <c r="W9" s="55"/>
      <c r="X9" s="55"/>
      <c r="Y9" s="55"/>
      <c r="Z9" s="55"/>
      <c r="AA9" s="55"/>
      <c r="AB9" s="55"/>
      <c r="AC9" s="55"/>
      <c r="AD9" s="55"/>
    </row>
    <row r="10" spans="2:31">
      <c r="B10" s="6"/>
      <c r="C10" s="126" t="s">
        <v>7</v>
      </c>
      <c r="D10" s="266">
        <v>-28953</v>
      </c>
      <c r="E10" s="266">
        <v>-34839</v>
      </c>
      <c r="F10" s="208">
        <v>-37096</v>
      </c>
      <c r="G10" s="208">
        <v>-264974</v>
      </c>
      <c r="H10" s="268">
        <v>-340840</v>
      </c>
      <c r="J10" s="195" t="s">
        <v>6</v>
      </c>
      <c r="K10" s="225">
        <f>K4+K9</f>
        <v>201063</v>
      </c>
      <c r="L10" s="225">
        <f t="shared" ref="L10:N10" si="9">L4+L9</f>
        <v>214528</v>
      </c>
      <c r="M10" s="225">
        <f t="shared" si="9"/>
        <v>250206</v>
      </c>
      <c r="N10" s="225">
        <f t="shared" si="9"/>
        <v>566950</v>
      </c>
      <c r="O10" s="225">
        <f>O4+O9</f>
        <v>823569</v>
      </c>
      <c r="P10" s="225">
        <f>P4+P9</f>
        <v>761290.60690781428</v>
      </c>
      <c r="Q10" s="225">
        <f t="shared" ref="Q10" si="10">Q4+Q9</f>
        <v>776516.41904597078</v>
      </c>
      <c r="R10" s="225">
        <f t="shared" ref="R10" si="11">R4+R9</f>
        <v>792046.74742688984</v>
      </c>
      <c r="S10" s="225">
        <f t="shared" ref="S10" si="12">S4+S9</f>
        <v>807887.6823754278</v>
      </c>
      <c r="T10" s="226">
        <f t="shared" ref="T10" si="13">T4+T9</f>
        <v>815966.55919918185</v>
      </c>
    </row>
    <row r="11" spans="2:31">
      <c r="B11" s="6"/>
      <c r="C11" s="8" t="s">
        <v>4</v>
      </c>
      <c r="D11" s="269">
        <v>-289627</v>
      </c>
      <c r="E11" s="269">
        <v>-313716</v>
      </c>
      <c r="F11" s="206">
        <v>-332730</v>
      </c>
      <c r="G11" s="269">
        <v>-348153</v>
      </c>
      <c r="H11" s="270">
        <v>-436973</v>
      </c>
      <c r="J11" s="479" t="s">
        <v>7</v>
      </c>
      <c r="K11" s="474">
        <f>D10</f>
        <v>-28953</v>
      </c>
      <c r="L11" s="474">
        <f t="shared" ref="L11:O11" si="14">E10</f>
        <v>-34839</v>
      </c>
      <c r="M11" s="474">
        <f t="shared" si="14"/>
        <v>-37096</v>
      </c>
      <c r="N11" s="474">
        <f>G10</f>
        <v>-264974</v>
      </c>
      <c r="O11" s="474">
        <f t="shared" si="14"/>
        <v>-340840</v>
      </c>
      <c r="P11" s="474">
        <f>($P$38*'Adj. balance sheet'!AJ11)</f>
        <v>-358043.3841244817</v>
      </c>
      <c r="Q11" s="474">
        <f>($P$38*'Adj. balance sheet'!AK11)</f>
        <v>-369395.9296843473</v>
      </c>
      <c r="R11" s="474">
        <f>($P$38*'Adj. balance sheet'!AL11)</f>
        <v>-384905.04199387657</v>
      </c>
      <c r="S11" s="474">
        <f>($P$38*'Adj. balance sheet'!AM11)</f>
        <v>-399188.87621108547</v>
      </c>
      <c r="T11" s="478">
        <f>($P$38*'Adj. balance sheet'!AN11)</f>
        <v>-415022.61553546408</v>
      </c>
      <c r="W11" s="55"/>
      <c r="X11" s="55"/>
      <c r="Y11" s="55"/>
      <c r="Z11" s="55"/>
      <c r="AA11" s="55"/>
      <c r="AB11" s="55"/>
      <c r="AC11" s="55"/>
      <c r="AD11" s="55"/>
      <c r="AE11" s="55"/>
    </row>
    <row r="12" spans="2:31" ht="15.9">
      <c r="B12" s="6"/>
      <c r="C12" s="211" t="s">
        <v>201</v>
      </c>
      <c r="D12" s="214">
        <f>D8+D9+D10+D11</f>
        <v>172110</v>
      </c>
      <c r="E12" s="214">
        <f t="shared" ref="E12:F12" si="15">E8+E9+E10+E11</f>
        <v>179689</v>
      </c>
      <c r="F12" s="214">
        <f t="shared" si="15"/>
        <v>213110</v>
      </c>
      <c r="G12" s="214">
        <f>G8+G9+G10+G11-1</f>
        <v>301975</v>
      </c>
      <c r="H12" s="215">
        <f>H8+H9+H10+H11+1</f>
        <v>482730</v>
      </c>
      <c r="J12" s="195" t="s">
        <v>8</v>
      </c>
      <c r="K12" s="225">
        <f>K10+K11</f>
        <v>172110</v>
      </c>
      <c r="L12" s="225">
        <f t="shared" ref="L12:T12" si="16">L10+L11</f>
        <v>179689</v>
      </c>
      <c r="M12" s="225">
        <f t="shared" si="16"/>
        <v>213110</v>
      </c>
      <c r="N12" s="225">
        <f t="shared" si="16"/>
        <v>301976</v>
      </c>
      <c r="O12" s="225">
        <f t="shared" si="16"/>
        <v>482729</v>
      </c>
      <c r="P12" s="225">
        <f>P10+P11</f>
        <v>403247.22278333257</v>
      </c>
      <c r="Q12" s="225">
        <f t="shared" si="16"/>
        <v>407120.48936162348</v>
      </c>
      <c r="R12" s="225">
        <f t="shared" si="16"/>
        <v>407141.70543301327</v>
      </c>
      <c r="S12" s="225">
        <f t="shared" si="16"/>
        <v>408698.80616434233</v>
      </c>
      <c r="T12" s="226">
        <f t="shared" si="16"/>
        <v>400943.94366371777</v>
      </c>
      <c r="W12" s="55"/>
      <c r="X12" s="672" t="s">
        <v>27</v>
      </c>
      <c r="Y12" s="673"/>
      <c r="Z12" s="673"/>
      <c r="AA12" s="673"/>
      <c r="AB12" s="673"/>
      <c r="AC12" s="673"/>
      <c r="AD12" s="674"/>
      <c r="AE12" s="55"/>
    </row>
    <row r="13" spans="2:31" ht="15.9">
      <c r="B13" s="6"/>
      <c r="C13" s="200" t="s">
        <v>13</v>
      </c>
      <c r="D13" s="266">
        <v>1008</v>
      </c>
      <c r="E13" s="266">
        <v>821</v>
      </c>
      <c r="F13" s="266">
        <v>1337</v>
      </c>
      <c r="G13" s="266">
        <v>9510</v>
      </c>
      <c r="H13" s="268">
        <v>32299</v>
      </c>
      <c r="J13" s="200" t="s">
        <v>9</v>
      </c>
      <c r="K13" s="474">
        <f>D18</f>
        <v>-27108.278888363675</v>
      </c>
      <c r="L13" s="474">
        <f t="shared" ref="L13:O13" si="17">E18</f>
        <v>-29485.721644176727</v>
      </c>
      <c r="M13" s="474">
        <f t="shared" si="17"/>
        <v>-37022.714064473737</v>
      </c>
      <c r="N13" s="474">
        <f t="shared" si="17"/>
        <v>-53082</v>
      </c>
      <c r="O13" s="474">
        <f t="shared" si="17"/>
        <v>-98196</v>
      </c>
      <c r="P13" s="474">
        <f>-(P12*$P$39)</f>
        <v>-88714.389012333166</v>
      </c>
      <c r="Q13" s="474">
        <f t="shared" ref="Q13:T13" si="18">-(Q12*$P$39)</f>
        <v>-89566.507659557159</v>
      </c>
      <c r="R13" s="474">
        <f t="shared" si="18"/>
        <v>-89571.175195262913</v>
      </c>
      <c r="S13" s="474">
        <f t="shared" si="18"/>
        <v>-89913.73735615531</v>
      </c>
      <c r="T13" s="478">
        <f t="shared" si="18"/>
        <v>-88207.667606017916</v>
      </c>
      <c r="W13" s="55"/>
      <c r="X13" s="141" t="s">
        <v>340</v>
      </c>
      <c r="Y13" s="494">
        <v>2020</v>
      </c>
      <c r="Z13" s="142">
        <v>2021</v>
      </c>
      <c r="AA13" s="142">
        <v>2022</v>
      </c>
      <c r="AB13" s="142">
        <v>2023</v>
      </c>
      <c r="AC13" s="142">
        <v>2024</v>
      </c>
      <c r="AD13" s="143">
        <v>2025</v>
      </c>
      <c r="AE13" s="55"/>
    </row>
    <row r="14" spans="2:31" ht="15.9">
      <c r="B14" s="6"/>
      <c r="C14" s="8" t="s">
        <v>185</v>
      </c>
      <c r="D14" s="269">
        <f>-$G31*('Adj. balance sheet'!J16+'Adj. balance sheet'!J17+'Adj. balance sheet'!J21+'Adj. balance sheet'!J23)</f>
        <v>-49898.550507437838</v>
      </c>
      <c r="E14" s="269">
        <f>-$G31*('Adj. balance sheet'!K16+'Adj. balance sheet'!K17+'Adj. balance sheet'!K21+'Adj. balance sheet'!K23)</f>
        <v>-46483.992526469425</v>
      </c>
      <c r="F14" s="269">
        <f>-$G31*('Adj. balance sheet'!L16+'Adj. balance sheet'!L17+'Adj. balance sheet'!L21+'Adj. balance sheet'!L23)</f>
        <v>-46161.936070573916</v>
      </c>
      <c r="G14" s="206">
        <v>-50453</v>
      </c>
      <c r="H14" s="270">
        <v>-60735</v>
      </c>
      <c r="J14" s="479" t="s">
        <v>10</v>
      </c>
      <c r="K14" s="474">
        <f>-(K19)</f>
        <v>-10755.921111636324</v>
      </c>
      <c r="L14" s="474">
        <f>-(L19)</f>
        <v>-10045.858355823273</v>
      </c>
      <c r="M14" s="474">
        <f>-(M19)</f>
        <v>-9861.4859355262615</v>
      </c>
      <c r="N14" s="474">
        <f>-(N19)</f>
        <v>-9007.4600000000009</v>
      </c>
      <c r="O14" s="474">
        <f>-(O19)</f>
        <v>-6255.92</v>
      </c>
      <c r="P14" s="474">
        <f t="shared" ref="P14:T14" si="19">-(P19)</f>
        <v>-7631.69</v>
      </c>
      <c r="Q14" s="474">
        <f t="shared" si="19"/>
        <v>-6943.8050000000003</v>
      </c>
      <c r="R14" s="474">
        <f t="shared" si="19"/>
        <v>-7287.7475000000004</v>
      </c>
      <c r="S14" s="474">
        <f t="shared" si="19"/>
        <v>-7115.7762499999999</v>
      </c>
      <c r="T14" s="478">
        <f t="shared" si="19"/>
        <v>-7201.7618750000001</v>
      </c>
      <c r="W14" s="55"/>
      <c r="X14" s="122" t="s">
        <v>228</v>
      </c>
      <c r="Y14" s="495">
        <f t="shared" ref="Y14:AD14" si="20">O4</f>
        <v>2996351</v>
      </c>
      <c r="Z14" s="490">
        <f t="shared" si="20"/>
        <v>3116205.04</v>
      </c>
      <c r="AA14" s="490">
        <f t="shared" si="20"/>
        <v>3178529.1408000002</v>
      </c>
      <c r="AB14" s="490">
        <f t="shared" si="20"/>
        <v>3242099.7236160003</v>
      </c>
      <c r="AC14" s="490">
        <f t="shared" si="20"/>
        <v>3306941.7180883205</v>
      </c>
      <c r="AD14" s="129">
        <f t="shared" si="20"/>
        <v>3340011.1352692037</v>
      </c>
      <c r="AE14" s="55"/>
    </row>
    <row r="15" spans="2:31" ht="15.9">
      <c r="B15" s="6"/>
      <c r="G15" s="70"/>
      <c r="H15" s="10"/>
      <c r="J15" s="98" t="s">
        <v>11</v>
      </c>
      <c r="K15" s="233">
        <f>K13+K14</f>
        <v>-37864.199999999997</v>
      </c>
      <c r="L15" s="233">
        <f>L13+L14</f>
        <v>-39531.58</v>
      </c>
      <c r="M15" s="233">
        <f>M13+M14</f>
        <v>-46884.2</v>
      </c>
      <c r="N15" s="233">
        <f>N13+N14</f>
        <v>-62089.46</v>
      </c>
      <c r="O15" s="233">
        <f>O13+O14</f>
        <v>-104451.92</v>
      </c>
      <c r="P15" s="233">
        <f t="shared" ref="P15:T15" si="21">P13+P14</f>
        <v>-96346.079012333168</v>
      </c>
      <c r="Q15" s="233">
        <f t="shared" si="21"/>
        <v>-96510.312659557152</v>
      </c>
      <c r="R15" s="233">
        <f t="shared" si="21"/>
        <v>-96858.922695262911</v>
      </c>
      <c r="S15" s="233">
        <f t="shared" si="21"/>
        <v>-97029.513606155306</v>
      </c>
      <c r="T15" s="224">
        <f t="shared" si="21"/>
        <v>-95409.429481017913</v>
      </c>
      <c r="W15" s="55"/>
      <c r="X15" s="496" t="s">
        <v>28</v>
      </c>
      <c r="Y15" s="497"/>
      <c r="Z15" s="498">
        <f>(Z14-Y14)/Y14</f>
        <v>4.0000000000000015E-2</v>
      </c>
      <c r="AA15" s="498">
        <f t="shared" ref="AA15:AD15" si="22">(AA14-Z14)/Z14</f>
        <v>2.0000000000000042E-2</v>
      </c>
      <c r="AB15" s="498">
        <f t="shared" si="22"/>
        <v>2.0000000000000028E-2</v>
      </c>
      <c r="AC15" s="498">
        <f t="shared" si="22"/>
        <v>2.0000000000000056E-2</v>
      </c>
      <c r="AD15" s="499">
        <f t="shared" si="22"/>
        <v>1.0000000000000009E-2</v>
      </c>
      <c r="AE15" s="55"/>
    </row>
    <row r="16" spans="2:31" ht="15.9">
      <c r="B16" s="6"/>
      <c r="C16" s="29" t="s">
        <v>186</v>
      </c>
      <c r="D16" s="273">
        <f>D13+D14</f>
        <v>-48890.550507437838</v>
      </c>
      <c r="E16" s="273">
        <f>E13+E14</f>
        <v>-45662.992526469425</v>
      </c>
      <c r="F16" s="273">
        <f>F13+F14</f>
        <v>-44824.936070573916</v>
      </c>
      <c r="G16" s="273">
        <f>G13+G14</f>
        <v>-40943</v>
      </c>
      <c r="H16" s="267">
        <f>H13+H14+1</f>
        <v>-28435</v>
      </c>
      <c r="J16" s="195" t="s">
        <v>12</v>
      </c>
      <c r="K16" s="225">
        <f>K12+K15</f>
        <v>134245.79999999999</v>
      </c>
      <c r="L16" s="225">
        <f t="shared" ref="L16:P16" si="23">L12+L15</f>
        <v>140157.41999999998</v>
      </c>
      <c r="M16" s="225">
        <f t="shared" si="23"/>
        <v>166225.79999999999</v>
      </c>
      <c r="N16" s="225">
        <f t="shared" si="23"/>
        <v>239886.54</v>
      </c>
      <c r="O16" s="225">
        <f>O12+O15</f>
        <v>378277.08</v>
      </c>
      <c r="P16" s="225">
        <f t="shared" si="23"/>
        <v>306901.14377099939</v>
      </c>
      <c r="Q16" s="225">
        <f t="shared" ref="Q16:T16" si="24">Q12+Q15</f>
        <v>310610.17670206632</v>
      </c>
      <c r="R16" s="225">
        <f t="shared" si="24"/>
        <v>310282.78273775033</v>
      </c>
      <c r="S16" s="225">
        <f t="shared" si="24"/>
        <v>311669.29255818704</v>
      </c>
      <c r="T16" s="226">
        <f t="shared" si="24"/>
        <v>305534.51418269984</v>
      </c>
      <c r="W16" s="55"/>
      <c r="X16" s="492" t="s">
        <v>6</v>
      </c>
      <c r="Y16" s="506">
        <f>O10</f>
        <v>823569</v>
      </c>
      <c r="Z16" s="493">
        <f t="shared" ref="Z16:AD16" si="25">P13</f>
        <v>-88714.389012333166</v>
      </c>
      <c r="AA16" s="493">
        <f t="shared" si="25"/>
        <v>-89566.507659557159</v>
      </c>
      <c r="AB16" s="493">
        <f t="shared" si="25"/>
        <v>-89571.175195262913</v>
      </c>
      <c r="AC16" s="493">
        <f t="shared" si="25"/>
        <v>-89913.73735615531</v>
      </c>
      <c r="AD16" s="162">
        <f t="shared" si="25"/>
        <v>-88207.667606017916</v>
      </c>
      <c r="AE16" s="55"/>
    </row>
    <row r="17" spans="2:34" ht="15.9">
      <c r="B17" s="6"/>
      <c r="C17" s="204" t="s">
        <v>192</v>
      </c>
      <c r="D17" s="274">
        <f>D16+D12</f>
        <v>123219.44949256215</v>
      </c>
      <c r="E17" s="274">
        <f>E16+E12</f>
        <v>134026.00747353057</v>
      </c>
      <c r="F17" s="274">
        <f>F16+F12</f>
        <v>168285.06392942608</v>
      </c>
      <c r="G17" s="274">
        <f>G16+G12</f>
        <v>261032</v>
      </c>
      <c r="H17" s="275">
        <f>H16+H12</f>
        <v>454295</v>
      </c>
      <c r="J17" s="479" t="s">
        <v>13</v>
      </c>
      <c r="K17" s="474">
        <f>D13</f>
        <v>1008</v>
      </c>
      <c r="L17" s="474">
        <f>E13</f>
        <v>821</v>
      </c>
      <c r="M17" s="474">
        <f>F13</f>
        <v>1337</v>
      </c>
      <c r="N17" s="474">
        <f>G13</f>
        <v>9510</v>
      </c>
      <c r="O17" s="474">
        <f>H13</f>
        <v>32299</v>
      </c>
      <c r="P17" s="474">
        <f>(N17+O17)/2</f>
        <v>20904.5</v>
      </c>
      <c r="Q17" s="474">
        <f t="shared" ref="Q17:T17" si="26">(O17+P17)/2</f>
        <v>26601.75</v>
      </c>
      <c r="R17" s="474">
        <f t="shared" si="26"/>
        <v>23753.125</v>
      </c>
      <c r="S17" s="474">
        <f t="shared" si="26"/>
        <v>25177.4375</v>
      </c>
      <c r="T17" s="478">
        <f t="shared" si="26"/>
        <v>24465.28125</v>
      </c>
      <c r="W17" s="55"/>
      <c r="X17" s="147" t="s">
        <v>28</v>
      </c>
      <c r="Y17" s="507"/>
      <c r="Z17" s="294">
        <f>(Z16-Y16)/Y16</f>
        <v>-1.10771943700204</v>
      </c>
      <c r="AA17" s="294">
        <f t="shared" ref="AA17:AD17" si="27">(AA16-Z16)/Z16</f>
        <v>9.6051909584310043E-3</v>
      </c>
      <c r="AB17" s="294">
        <f t="shared" si="27"/>
        <v>5.2112512006107981E-5</v>
      </c>
      <c r="AC17" s="294">
        <f t="shared" si="27"/>
        <v>3.8244687551058764E-3</v>
      </c>
      <c r="AD17" s="295">
        <f t="shared" si="27"/>
        <v>-1.8974517135012633E-2</v>
      </c>
      <c r="AE17" s="55"/>
    </row>
    <row r="18" spans="2:34" ht="15.9">
      <c r="B18" s="6"/>
      <c r="C18" s="272" t="s">
        <v>187</v>
      </c>
      <c r="D18" s="269">
        <f>-K39*D17</f>
        <v>-27108.278888363675</v>
      </c>
      <c r="E18" s="269">
        <f>-L39*E17</f>
        <v>-29485.721644176727</v>
      </c>
      <c r="F18" s="269">
        <f>-M39*F17</f>
        <v>-37022.714064473737</v>
      </c>
      <c r="G18" s="206">
        <v>-53082</v>
      </c>
      <c r="H18" s="270">
        <v>-98196</v>
      </c>
      <c r="J18" s="479" t="s">
        <v>14</v>
      </c>
      <c r="K18" s="474">
        <f>D14</f>
        <v>-49898.550507437838</v>
      </c>
      <c r="L18" s="474">
        <f t="shared" ref="L18:O18" si="28">E14</f>
        <v>-46483.992526469425</v>
      </c>
      <c r="M18" s="474">
        <f t="shared" si="28"/>
        <v>-46161.936070573916</v>
      </c>
      <c r="N18" s="474">
        <f t="shared" si="28"/>
        <v>-50453</v>
      </c>
      <c r="O18" s="474">
        <f t="shared" si="28"/>
        <v>-60735</v>
      </c>
      <c r="P18" s="474">
        <f>(N18+O18)/2</f>
        <v>-55594</v>
      </c>
      <c r="Q18" s="474">
        <f t="shared" ref="Q18:T18" si="29">(O18+P18)/2</f>
        <v>-58164.5</v>
      </c>
      <c r="R18" s="474">
        <f t="shared" si="29"/>
        <v>-56879.25</v>
      </c>
      <c r="S18" s="474">
        <f t="shared" si="29"/>
        <v>-57521.875</v>
      </c>
      <c r="T18" s="478">
        <f t="shared" si="29"/>
        <v>-57200.5625</v>
      </c>
      <c r="W18" s="55"/>
      <c r="X18" s="122" t="s">
        <v>8</v>
      </c>
      <c r="Y18" s="495">
        <f>O12</f>
        <v>482729</v>
      </c>
      <c r="Z18" s="490">
        <f t="shared" ref="Z18:AD18" si="30">P15</f>
        <v>-96346.079012333168</v>
      </c>
      <c r="AA18" s="490">
        <f t="shared" si="30"/>
        <v>-96510.312659557152</v>
      </c>
      <c r="AB18" s="490">
        <f t="shared" si="30"/>
        <v>-96858.922695262911</v>
      </c>
      <c r="AC18" s="490">
        <f t="shared" si="30"/>
        <v>-97029.513606155306</v>
      </c>
      <c r="AD18" s="129">
        <f t="shared" si="30"/>
        <v>-95409.429481017913</v>
      </c>
      <c r="AE18" s="55"/>
    </row>
    <row r="19" spans="2:34" ht="15.9">
      <c r="B19" s="6"/>
      <c r="C19" s="171" t="s">
        <v>194</v>
      </c>
      <c r="D19" s="232">
        <f>D17+D18</f>
        <v>96111.170604198473</v>
      </c>
      <c r="E19" s="232">
        <f>E17+E18</f>
        <v>104540.28582935384</v>
      </c>
      <c r="F19" s="232">
        <f>F17+F18</f>
        <v>131262.34986495232</v>
      </c>
      <c r="G19" s="276">
        <f t="shared" ref="G19:H19" si="31">G17+G18</f>
        <v>207950</v>
      </c>
      <c r="H19" s="277">
        <f t="shared" si="31"/>
        <v>356099</v>
      </c>
      <c r="J19" s="479" t="s">
        <v>10</v>
      </c>
      <c r="K19" s="474">
        <f>-(K17+K18)*K39</f>
        <v>10755.921111636324</v>
      </c>
      <c r="L19" s="474">
        <f>-(L17+L18)*L39</f>
        <v>10045.858355823273</v>
      </c>
      <c r="M19" s="474">
        <f>-(M17+M18)*M39</f>
        <v>9861.4859355262615</v>
      </c>
      <c r="N19" s="474">
        <f>-(N17+N18)*N39</f>
        <v>9007.4600000000009</v>
      </c>
      <c r="O19" s="474">
        <f>-(O17+O18)*O39</f>
        <v>6255.92</v>
      </c>
      <c r="P19" s="474">
        <f t="shared" ref="P19:T19" si="32">-(P17+P18)*P39</f>
        <v>7631.69</v>
      </c>
      <c r="Q19" s="474">
        <f>-(Q17+Q18)*Q39</f>
        <v>6943.8050000000003</v>
      </c>
      <c r="R19" s="474">
        <f t="shared" si="32"/>
        <v>7287.7475000000004</v>
      </c>
      <c r="S19" s="474">
        <f t="shared" si="32"/>
        <v>7115.7762499999999</v>
      </c>
      <c r="T19" s="478">
        <f t="shared" si="32"/>
        <v>7201.7618750000001</v>
      </c>
      <c r="W19" s="55"/>
      <c r="X19" s="126" t="s">
        <v>28</v>
      </c>
      <c r="Y19" s="497"/>
      <c r="Z19" s="498">
        <f>(Z18-Y18)/Y18</f>
        <v>-1.1995862668543493</v>
      </c>
      <c r="AA19" s="498">
        <f t="shared" ref="AA19:AD19" si="33">(AA18-Z18)/Z18</f>
        <v>1.7046220137610438E-3</v>
      </c>
      <c r="AB19" s="498">
        <f t="shared" si="33"/>
        <v>3.6121532103568061E-3</v>
      </c>
      <c r="AC19" s="498">
        <f t="shared" si="33"/>
        <v>1.7612307275924131E-3</v>
      </c>
      <c r="AD19" s="499">
        <f t="shared" si="33"/>
        <v>-1.6696817956991378E-2</v>
      </c>
      <c r="AE19" s="55"/>
    </row>
    <row r="20" spans="2:34" ht="15.9">
      <c r="B20" s="6"/>
      <c r="J20" s="101" t="s">
        <v>15</v>
      </c>
      <c r="K20" s="230">
        <f>K16+K17+K18+K19</f>
        <v>96111.170604198473</v>
      </c>
      <c r="L20" s="230">
        <f t="shared" ref="L20:N20" si="34">L16+L17+L18+L19</f>
        <v>104540.28582935383</v>
      </c>
      <c r="M20" s="230">
        <f t="shared" si="34"/>
        <v>131262.34986495232</v>
      </c>
      <c r="N20" s="230">
        <f t="shared" si="34"/>
        <v>207951</v>
      </c>
      <c r="O20" s="230">
        <f>O16+O17+O18+O19</f>
        <v>356097</v>
      </c>
      <c r="P20" s="230">
        <f t="shared" ref="P20" si="35">P16+P17+P18+P19</f>
        <v>279843.33377099939</v>
      </c>
      <c r="Q20" s="230">
        <f t="shared" ref="Q20" si="36">Q16+Q17+Q18+Q19</f>
        <v>285991.23170206632</v>
      </c>
      <c r="R20" s="230">
        <f t="shared" ref="R20" si="37">R16+R17+R18+R19</f>
        <v>284444.40523775032</v>
      </c>
      <c r="S20" s="230">
        <f t="shared" ref="S20" si="38">S16+S17+S18+S19</f>
        <v>286440.63130818703</v>
      </c>
      <c r="T20" s="231">
        <f t="shared" ref="T20" si="39">T16+T17+T18+T19</f>
        <v>280000.99480769987</v>
      </c>
      <c r="W20" s="55"/>
      <c r="X20" s="492" t="s">
        <v>12</v>
      </c>
      <c r="Y20" s="506">
        <f>O16</f>
        <v>378277.08</v>
      </c>
      <c r="Z20" s="493">
        <f t="shared" ref="Z20:AD20" si="40">P19</f>
        <v>7631.69</v>
      </c>
      <c r="AA20" s="493">
        <f t="shared" si="40"/>
        <v>6943.8050000000003</v>
      </c>
      <c r="AB20" s="493">
        <f t="shared" si="40"/>
        <v>7287.7475000000004</v>
      </c>
      <c r="AC20" s="493">
        <f t="shared" si="40"/>
        <v>7115.7762499999999</v>
      </c>
      <c r="AD20" s="162">
        <f t="shared" si="40"/>
        <v>7201.7618750000001</v>
      </c>
      <c r="AE20" s="55"/>
    </row>
    <row r="21" spans="2:34" ht="15.9">
      <c r="B21" s="6"/>
      <c r="C21" s="6"/>
      <c r="D21" s="263"/>
      <c r="E21" s="263"/>
      <c r="F21" s="263"/>
      <c r="G21" s="263"/>
      <c r="H21" s="26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W21" s="55"/>
      <c r="X21" s="147" t="s">
        <v>28</v>
      </c>
      <c r="Y21" s="507"/>
      <c r="Z21" s="149">
        <f>(Z20-Y20)/Y20</f>
        <v>-0.97982513241352076</v>
      </c>
      <c r="AA21" s="149">
        <f t="shared" ref="AA21:AD21" si="41">(AA20-Z20)/Z20</f>
        <v>-9.0135343547759317E-2</v>
      </c>
      <c r="AB21" s="149">
        <f t="shared" si="41"/>
        <v>4.9532280932428271E-2</v>
      </c>
      <c r="AC21" s="149">
        <f t="shared" si="41"/>
        <v>-2.3597311789410994E-2</v>
      </c>
      <c r="AD21" s="150">
        <f t="shared" si="41"/>
        <v>1.2083801117270972E-2</v>
      </c>
      <c r="AE21" s="55"/>
    </row>
    <row r="22" spans="2:34" ht="15.9">
      <c r="B22" s="6"/>
      <c r="C22" s="6"/>
      <c r="D22" s="263"/>
      <c r="E22" s="263"/>
      <c r="F22" s="263"/>
      <c r="G22" s="263"/>
      <c r="H22" s="264"/>
      <c r="J22" s="31"/>
      <c r="K22" s="73"/>
      <c r="L22" s="73"/>
      <c r="M22" s="73"/>
      <c r="N22" s="73"/>
      <c r="O22" s="73"/>
      <c r="P22" s="73"/>
      <c r="Q22" s="73"/>
      <c r="R22" s="73"/>
      <c r="S22" s="73"/>
      <c r="T22" s="73"/>
      <c r="W22" s="55"/>
      <c r="X22" s="122" t="s">
        <v>26</v>
      </c>
      <c r="Y22" s="495">
        <f t="shared" ref="Y22:AD22" si="42">O20</f>
        <v>356097</v>
      </c>
      <c r="Z22" s="490">
        <f t="shared" si="42"/>
        <v>279843.33377099939</v>
      </c>
      <c r="AA22" s="490">
        <f t="shared" si="42"/>
        <v>285991.23170206632</v>
      </c>
      <c r="AB22" s="490">
        <f t="shared" si="42"/>
        <v>284444.40523775032</v>
      </c>
      <c r="AC22" s="490">
        <f t="shared" si="42"/>
        <v>286440.63130818703</v>
      </c>
      <c r="AD22" s="129">
        <f t="shared" si="42"/>
        <v>280000.99480769987</v>
      </c>
      <c r="AE22" s="55"/>
    </row>
    <row r="23" spans="2:34" ht="15.9">
      <c r="B23" s="6"/>
      <c r="C23" s="6"/>
      <c r="D23" s="6"/>
      <c r="E23" s="263"/>
      <c r="F23" s="263"/>
      <c r="G23" s="263"/>
      <c r="H23" s="263"/>
      <c r="J23" s="29" t="s">
        <v>29</v>
      </c>
      <c r="K23" s="484">
        <f t="shared" ref="K23:T23" si="43">K20/K4</f>
        <v>7.4186414429393291E-2</v>
      </c>
      <c r="L23" s="484">
        <f t="shared" si="43"/>
        <v>7.56254861889126E-2</v>
      </c>
      <c r="M23" s="484">
        <f t="shared" si="43"/>
        <v>8.9472817726392526E-2</v>
      </c>
      <c r="N23" s="484">
        <f t="shared" si="43"/>
        <v>8.870634395543503E-2</v>
      </c>
      <c r="O23" s="484">
        <f>O20/O4</f>
        <v>0.11884355337542231</v>
      </c>
      <c r="P23" s="484">
        <f t="shared" si="43"/>
        <v>8.9802606111887742E-2</v>
      </c>
      <c r="Q23" s="484">
        <f t="shared" si="43"/>
        <v>8.997596656612232E-2</v>
      </c>
      <c r="R23" s="484">
        <f t="shared" si="43"/>
        <v>8.7734625547082765E-2</v>
      </c>
      <c r="S23" s="484">
        <f t="shared" si="43"/>
        <v>8.6617985960083035E-2</v>
      </c>
      <c r="T23" s="485">
        <f t="shared" si="43"/>
        <v>8.3832353686189701E-2</v>
      </c>
      <c r="W23" s="55"/>
      <c r="X23" s="502" t="s">
        <v>28</v>
      </c>
      <c r="Y23" s="503"/>
      <c r="Z23" s="504">
        <f>(Z22-Y22)/Y22</f>
        <v>-0.21413734524301134</v>
      </c>
      <c r="AA23" s="504">
        <f t="shared" ref="AA23:AD23" si="44">(AA22-Z22)/Z22</f>
        <v>2.1969070508922162E-2</v>
      </c>
      <c r="AB23" s="504">
        <f t="shared" si="44"/>
        <v>-5.4086499614345229E-3</v>
      </c>
      <c r="AC23" s="504">
        <f t="shared" si="44"/>
        <v>7.0179832462100265E-3</v>
      </c>
      <c r="AD23" s="505">
        <f t="shared" si="44"/>
        <v>-2.2481574876710254E-2</v>
      </c>
      <c r="AE23" s="55"/>
    </row>
    <row r="24" spans="2:34" ht="15.9">
      <c r="B24" s="6"/>
      <c r="C24" s="6"/>
      <c r="D24" s="263"/>
      <c r="E24" s="263"/>
      <c r="F24" s="263"/>
      <c r="G24" s="263"/>
      <c r="H24" s="263"/>
      <c r="I24" s="15"/>
      <c r="J24" s="75" t="s">
        <v>30</v>
      </c>
      <c r="K24" s="477">
        <f>(K17+K18)</f>
        <v>-48890.550507437838</v>
      </c>
      <c r="L24" s="477">
        <f>(L17+L18)</f>
        <v>-45662.992526469425</v>
      </c>
      <c r="M24" s="477">
        <f>(M17+M18)</f>
        <v>-44824.936070573916</v>
      </c>
      <c r="N24" s="477">
        <f>(N17+N18)</f>
        <v>-40943</v>
      </c>
      <c r="O24" s="477">
        <f>(O17+O18)</f>
        <v>-28436</v>
      </c>
      <c r="P24" s="477">
        <f t="shared" ref="P24:T24" si="45">(P17+P18)</f>
        <v>-34689.5</v>
      </c>
      <c r="Q24" s="477">
        <f t="shared" si="45"/>
        <v>-31562.75</v>
      </c>
      <c r="R24" s="477">
        <f t="shared" si="45"/>
        <v>-33126.125</v>
      </c>
      <c r="S24" s="477">
        <f t="shared" si="45"/>
        <v>-32344.4375</v>
      </c>
      <c r="T24" s="486">
        <f t="shared" si="45"/>
        <v>-32735.28125</v>
      </c>
      <c r="W24" s="55"/>
      <c r="X24" s="91"/>
      <c r="Y24" s="55"/>
      <c r="Z24" s="55"/>
      <c r="AA24" s="55"/>
      <c r="AB24" s="55"/>
      <c r="AC24" s="55"/>
      <c r="AD24" s="55"/>
      <c r="AE24" s="55"/>
    </row>
    <row r="25" spans="2:34">
      <c r="B25" s="6"/>
      <c r="C25" s="6"/>
      <c r="D25" s="263"/>
      <c r="E25" s="263"/>
      <c r="F25" s="263"/>
      <c r="G25" s="263"/>
      <c r="H25" s="263"/>
      <c r="I25" s="15"/>
      <c r="J25" s="18"/>
      <c r="K25" s="18"/>
      <c r="L25" s="18"/>
      <c r="M25" s="18"/>
      <c r="N25" s="18"/>
      <c r="O25" s="18"/>
      <c r="P25" s="19"/>
      <c r="Q25" s="19"/>
      <c r="R25" s="19"/>
      <c r="S25" s="19"/>
      <c r="T25" s="19"/>
      <c r="W25" s="55"/>
      <c r="X25" s="55"/>
      <c r="Y25" s="55"/>
      <c r="Z25" s="55"/>
      <c r="AA25" s="55"/>
      <c r="AB25" s="55"/>
      <c r="AC25" s="55"/>
      <c r="AD25" s="55"/>
      <c r="AE25" s="55"/>
    </row>
    <row r="26" spans="2:34">
      <c r="B26" s="6"/>
      <c r="C26" s="6"/>
      <c r="D26" s="6"/>
      <c r="E26" s="6"/>
      <c r="F26" s="6"/>
      <c r="G26" s="6"/>
      <c r="H26" s="6"/>
      <c r="I26" s="15"/>
      <c r="P26" s="32"/>
      <c r="Q26" s="32"/>
      <c r="R26" s="32"/>
      <c r="S26" s="32"/>
      <c r="T26" s="32"/>
      <c r="AE26" s="55"/>
    </row>
    <row r="27" spans="2:34">
      <c r="B27" s="6"/>
      <c r="C27" s="26"/>
      <c r="D27" s="25"/>
      <c r="E27" s="25"/>
      <c r="F27" s="25"/>
      <c r="G27" s="25"/>
      <c r="H27" s="25"/>
      <c r="I27" s="15"/>
    </row>
    <row r="28" spans="2:34">
      <c r="C28" s="22"/>
      <c r="D28" s="24"/>
      <c r="E28" s="24"/>
      <c r="F28" s="27"/>
      <c r="G28" s="24"/>
      <c r="H28" s="25"/>
      <c r="I28" s="15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</row>
    <row r="29" spans="2:34" ht="15.9">
      <c r="C29" s="26"/>
      <c r="D29" s="25"/>
      <c r="E29" s="25"/>
      <c r="F29" s="25"/>
      <c r="G29" s="677" t="s">
        <v>339</v>
      </c>
      <c r="H29" s="678"/>
      <c r="I29" s="15"/>
      <c r="X29" s="131"/>
      <c r="Y29" s="673" t="s">
        <v>229</v>
      </c>
      <c r="Z29" s="673"/>
      <c r="AA29" s="673"/>
      <c r="AB29" s="673"/>
      <c r="AC29" s="674"/>
      <c r="AD29" s="672" t="s">
        <v>230</v>
      </c>
      <c r="AE29" s="673"/>
      <c r="AF29" s="673"/>
      <c r="AG29" s="673"/>
      <c r="AH29" s="674"/>
    </row>
    <row r="30" spans="2:34" ht="15.9">
      <c r="C30" s="22"/>
      <c r="D30" s="24"/>
      <c r="E30" s="24"/>
      <c r="F30" s="27"/>
      <c r="G30" s="482">
        <f>-G14/('Adj. balance sheet'!M16+'Adj. balance sheet'!M17+'Adj. balance sheet'!M21+'Adj. balance sheet'!M22+'Adj. balance sheet'!M23)</f>
        <v>3.1107439137552061E-2</v>
      </c>
      <c r="H30" s="483">
        <f>-H14/('Adj. balance sheet'!N16+'Adj. balance sheet'!N17+'Adj. balance sheet'!N21+'Adj. balance sheet'!N22+'Adj. balance sheet'!N23)</f>
        <v>4.2373147417529865E-2</v>
      </c>
      <c r="I30" s="15"/>
      <c r="X30" s="141" t="s">
        <v>340</v>
      </c>
      <c r="Y30" s="133">
        <v>2016</v>
      </c>
      <c r="Z30" s="133">
        <v>2017</v>
      </c>
      <c r="AA30" s="133">
        <v>2018</v>
      </c>
      <c r="AB30" s="133">
        <v>2019</v>
      </c>
      <c r="AC30" s="134">
        <v>2020</v>
      </c>
      <c r="AD30" s="132">
        <v>2021</v>
      </c>
      <c r="AE30" s="133">
        <v>2022</v>
      </c>
      <c r="AF30" s="133">
        <v>2023</v>
      </c>
      <c r="AG30" s="133">
        <v>2024</v>
      </c>
      <c r="AH30" s="134">
        <v>2025</v>
      </c>
    </row>
    <row r="31" spans="2:34" ht="15.9">
      <c r="C31" s="6"/>
      <c r="D31" s="24"/>
      <c r="E31" s="24"/>
      <c r="F31" s="27"/>
      <c r="G31" s="675">
        <f>AVERAGE(G30:H30)</f>
        <v>3.6740293277540963E-2</v>
      </c>
      <c r="H31" s="676"/>
      <c r="I31" s="15"/>
      <c r="P31" s="18"/>
      <c r="Q31" s="18"/>
      <c r="R31" s="18"/>
      <c r="S31" s="18"/>
      <c r="T31" s="18"/>
      <c r="U31" s="6"/>
      <c r="X31" s="122" t="s">
        <v>12</v>
      </c>
      <c r="Y31" s="135">
        <f>K16</f>
        <v>134245.79999999999</v>
      </c>
      <c r="Z31" s="137">
        <f t="shared" ref="Z31:AH31" si="46">L16</f>
        <v>140157.41999999998</v>
      </c>
      <c r="AA31" s="137">
        <f t="shared" si="46"/>
        <v>166225.79999999999</v>
      </c>
      <c r="AB31" s="137">
        <f t="shared" si="46"/>
        <v>239886.54</v>
      </c>
      <c r="AC31" s="138">
        <f t="shared" si="46"/>
        <v>378277.08</v>
      </c>
      <c r="AD31" s="137">
        <f t="shared" si="46"/>
        <v>306901.14377099939</v>
      </c>
      <c r="AE31" s="137">
        <f t="shared" si="46"/>
        <v>310610.17670206632</v>
      </c>
      <c r="AF31" s="137">
        <f t="shared" si="46"/>
        <v>310282.78273775033</v>
      </c>
      <c r="AG31" s="137">
        <f t="shared" si="46"/>
        <v>311669.29255818704</v>
      </c>
      <c r="AH31" s="138">
        <f t="shared" si="46"/>
        <v>305534.51418269984</v>
      </c>
    </row>
    <row r="32" spans="2:34" ht="15.9">
      <c r="C32" s="22"/>
      <c r="D32" s="24"/>
      <c r="E32" s="24"/>
      <c r="F32" s="27"/>
      <c r="G32" s="59"/>
      <c r="H32" s="25"/>
      <c r="I32" s="15"/>
      <c r="J32" s="669" t="s">
        <v>31</v>
      </c>
      <c r="K32" s="670"/>
      <c r="L32" s="670"/>
      <c r="M32" s="670"/>
      <c r="N32" s="670"/>
      <c r="O32" s="670"/>
      <c r="P32" s="670"/>
      <c r="Q32" s="670"/>
      <c r="R32" s="670"/>
      <c r="S32" s="670"/>
      <c r="T32" s="671"/>
      <c r="U32" s="121"/>
      <c r="X32" s="147" t="s">
        <v>28</v>
      </c>
      <c r="Y32" s="148"/>
      <c r="Z32" s="149">
        <f>(Z31-Y31)/Y31</f>
        <v>4.4035791063854482E-2</v>
      </c>
      <c r="AA32" s="149">
        <f t="shared" ref="AA32" si="47">(AA31-Z31)/Z31</f>
        <v>0.18599357779274195</v>
      </c>
      <c r="AB32" s="149">
        <f t="shared" ref="AB32" si="48">(AB31-AA31)/AA31</f>
        <v>0.44313662500045137</v>
      </c>
      <c r="AC32" s="150">
        <f t="shared" ref="AC32" si="49">(AC31-AB31)/AB31</f>
        <v>0.57689997946529226</v>
      </c>
      <c r="AD32" s="149">
        <f t="shared" ref="AD32" si="50">(AD31-AC31)/AC31</f>
        <v>-0.18868691761340819</v>
      </c>
      <c r="AE32" s="149">
        <f t="shared" ref="AE32" si="51">(AE31-AD31)/AD31</f>
        <v>1.2085432088954691E-2</v>
      </c>
      <c r="AF32" s="149">
        <f t="shared" ref="AF32" si="52">(AF31-AE31)/AE31</f>
        <v>-1.0540348928426448E-3</v>
      </c>
      <c r="AG32" s="149">
        <f t="shared" ref="AG32" si="53">(AG31-AF31)/AF31</f>
        <v>4.4685361147111463E-3</v>
      </c>
      <c r="AH32" s="150">
        <f t="shared" ref="AH32" si="54">(AH31-AG31)/AG31</f>
        <v>-1.9683615043153028E-2</v>
      </c>
    </row>
    <row r="33" spans="3:34" ht="15.9">
      <c r="C33" s="26"/>
      <c r="D33" s="28"/>
      <c r="E33" s="28"/>
      <c r="F33" s="28"/>
      <c r="G33" s="28"/>
      <c r="H33" s="25"/>
      <c r="I33" s="15"/>
      <c r="J33" s="282"/>
      <c r="K33" s="271">
        <v>2016</v>
      </c>
      <c r="L33" s="271">
        <v>2017</v>
      </c>
      <c r="M33" s="271">
        <v>2018</v>
      </c>
      <c r="N33" s="271">
        <v>2019</v>
      </c>
      <c r="O33" s="271">
        <v>2020</v>
      </c>
      <c r="P33" s="271">
        <v>2021</v>
      </c>
      <c r="Q33" s="271">
        <v>2022</v>
      </c>
      <c r="R33" s="271">
        <v>2023</v>
      </c>
      <c r="S33" s="271">
        <v>2024</v>
      </c>
      <c r="T33" s="283">
        <v>2025</v>
      </c>
      <c r="U33" s="6"/>
      <c r="X33" s="122" t="s">
        <v>26</v>
      </c>
      <c r="Y33" s="139">
        <f>K20</f>
        <v>96111.170604198473</v>
      </c>
      <c r="Z33" s="136">
        <f t="shared" ref="Z33:AH33" si="55">L20</f>
        <v>104540.28582935383</v>
      </c>
      <c r="AA33" s="136">
        <f t="shared" si="55"/>
        <v>131262.34986495232</v>
      </c>
      <c r="AB33" s="136">
        <f t="shared" si="55"/>
        <v>207951</v>
      </c>
      <c r="AC33" s="140">
        <f t="shared" si="55"/>
        <v>356097</v>
      </c>
      <c r="AD33" s="136">
        <f t="shared" si="55"/>
        <v>279843.33377099939</v>
      </c>
      <c r="AE33" s="136">
        <f t="shared" si="55"/>
        <v>285991.23170206632</v>
      </c>
      <c r="AF33" s="136">
        <f t="shared" si="55"/>
        <v>284444.40523775032</v>
      </c>
      <c r="AG33" s="136">
        <f t="shared" si="55"/>
        <v>286440.63130818703</v>
      </c>
      <c r="AH33" s="140">
        <f t="shared" si="55"/>
        <v>280000.99480769987</v>
      </c>
    </row>
    <row r="34" spans="3:34" ht="15.9">
      <c r="C34" s="22"/>
      <c r="D34" s="24"/>
      <c r="E34" s="24"/>
      <c r="F34" s="27"/>
      <c r="G34" s="24"/>
      <c r="H34" s="25"/>
      <c r="I34" s="15"/>
      <c r="J34" s="29" t="s">
        <v>32</v>
      </c>
      <c r="K34" s="284"/>
      <c r="L34" s="250">
        <f>(L4-K4)/K4</f>
        <v>6.7003927332007759E-2</v>
      </c>
      <c r="M34" s="250">
        <f>(M4-L4)/L4</f>
        <v>6.1288740413009225E-2</v>
      </c>
      <c r="N34" s="250">
        <f>(N4-M4)/M4</f>
        <v>0.5979282430759667</v>
      </c>
      <c r="O34" s="250">
        <f>(O4-N4)/N4</f>
        <v>0.27816332894389412</v>
      </c>
      <c r="P34" s="250">
        <v>0.04</v>
      </c>
      <c r="Q34" s="250">
        <v>0.02</v>
      </c>
      <c r="R34" s="250">
        <v>0.02</v>
      </c>
      <c r="S34" s="250">
        <v>0.02</v>
      </c>
      <c r="T34" s="251">
        <v>0.01</v>
      </c>
      <c r="X34" s="151" t="s">
        <v>28</v>
      </c>
      <c r="Y34" s="152"/>
      <c r="Z34" s="153">
        <f>(Z33-Y33)/Y33</f>
        <v>8.7701722621482084E-2</v>
      </c>
      <c r="AA34" s="153">
        <f t="shared" ref="AA34" si="56">(AA33-Z33)/Z33</f>
        <v>0.25561498922260661</v>
      </c>
      <c r="AB34" s="153">
        <f t="shared" ref="AB34" si="57">(AB33-AA33)/AA33</f>
        <v>0.58423950366535315</v>
      </c>
      <c r="AC34" s="154">
        <f t="shared" ref="AC34" si="58">(AC33-AB33)/AB33</f>
        <v>0.71240821154983625</v>
      </c>
      <c r="AD34" s="153">
        <f t="shared" ref="AD34" si="59">(AD33-AC33)/AC33</f>
        <v>-0.21413734524301134</v>
      </c>
      <c r="AE34" s="153">
        <f t="shared" ref="AE34" si="60">(AE33-AD33)/AD33</f>
        <v>2.1969070508922162E-2</v>
      </c>
      <c r="AF34" s="153">
        <f t="shared" ref="AF34" si="61">(AF33-AE33)/AE33</f>
        <v>-5.4086499614345229E-3</v>
      </c>
      <c r="AG34" s="153">
        <f t="shared" ref="AG34" si="62">(AG33-AF33)/AF33</f>
        <v>7.0179832462100265E-3</v>
      </c>
      <c r="AH34" s="154">
        <f t="shared" ref="AH34" si="63">(AH33-AG33)/AG33</f>
        <v>-2.2481574876710254E-2</v>
      </c>
    </row>
    <row r="35" spans="3:34" ht="15.9">
      <c r="C35" s="22"/>
      <c r="D35" s="24"/>
      <c r="E35" s="24"/>
      <c r="F35" s="27"/>
      <c r="G35" s="27"/>
      <c r="H35" s="25"/>
      <c r="I35" s="15"/>
      <c r="J35" s="93" t="s">
        <v>33</v>
      </c>
      <c r="K35" s="279">
        <f>-(K5/K4)</f>
        <v>0.39774965728470685</v>
      </c>
      <c r="L35" s="279">
        <f>-(L5/L4)</f>
        <v>0.39615883768271526</v>
      </c>
      <c r="M35" s="279">
        <f>-(M5/M4)</f>
        <v>0.39073278330052402</v>
      </c>
      <c r="N35" s="279">
        <f>-(N5/N4)</f>
        <v>0.39486439874706891</v>
      </c>
      <c r="O35" s="279">
        <f>N35</f>
        <v>0.39486439874706891</v>
      </c>
      <c r="P35" s="279">
        <f>$O$35</f>
        <v>0.39486439874706891</v>
      </c>
      <c r="Q35" s="279">
        <f t="shared" ref="Q35:T35" si="64">$O$35</f>
        <v>0.39486439874706891</v>
      </c>
      <c r="R35" s="279">
        <f t="shared" si="64"/>
        <v>0.39486439874706891</v>
      </c>
      <c r="S35" s="279">
        <f t="shared" si="64"/>
        <v>0.39486439874706891</v>
      </c>
      <c r="T35" s="278">
        <f t="shared" si="64"/>
        <v>0.39486439874706891</v>
      </c>
      <c r="X35" s="117"/>
      <c r="Y35" s="118"/>
      <c r="Z35" s="37"/>
      <c r="AA35" s="37"/>
      <c r="AB35" s="37"/>
      <c r="AC35" s="37"/>
      <c r="AD35" s="37"/>
      <c r="AE35" s="55"/>
      <c r="AF35" s="55"/>
      <c r="AG35" s="55"/>
      <c r="AH35" s="55"/>
    </row>
    <row r="36" spans="3:34" ht="15.9">
      <c r="C36" s="22"/>
      <c r="D36" s="24"/>
      <c r="E36" s="24"/>
      <c r="F36" s="24"/>
      <c r="G36" s="24"/>
      <c r="H36" s="25"/>
      <c r="I36" s="15"/>
      <c r="J36" s="93" t="s">
        <v>34</v>
      </c>
      <c r="K36" s="279">
        <f>-(K7/K4)</f>
        <v>0.22349591211668376</v>
      </c>
      <c r="L36" s="279">
        <f>-(L7/L4)</f>
        <v>0.22170418029691638</v>
      </c>
      <c r="M36" s="279">
        <f>-(M7/M4)</f>
        <v>0.21191849844314903</v>
      </c>
      <c r="N36" s="279">
        <f>-(N7/N4)</f>
        <v>0.21477709625583818</v>
      </c>
      <c r="O36" s="279">
        <f>-(O7/O4)</f>
        <v>0.20261945279441559</v>
      </c>
      <c r="P36" s="279">
        <v>0.215</v>
      </c>
      <c r="Q36" s="279">
        <v>0.215</v>
      </c>
      <c r="R36" s="279">
        <v>0.215</v>
      </c>
      <c r="S36" s="279">
        <v>0.215</v>
      </c>
      <c r="T36" s="278">
        <v>0.215</v>
      </c>
      <c r="X36" s="6"/>
      <c r="Y36" s="119"/>
      <c r="Z36" s="120"/>
      <c r="AA36" s="120"/>
      <c r="AB36" s="120"/>
      <c r="AC36" s="120"/>
      <c r="AD36" s="120"/>
      <c r="AE36" s="55"/>
      <c r="AF36" s="55"/>
      <c r="AG36" s="55"/>
      <c r="AH36" s="55"/>
    </row>
    <row r="37" spans="3:34">
      <c r="C37" s="26"/>
      <c r="D37" s="28"/>
      <c r="E37" s="28"/>
      <c r="F37" s="28"/>
      <c r="G37" s="28"/>
      <c r="H37" s="25"/>
      <c r="I37" s="15"/>
      <c r="J37" s="93" t="s">
        <v>35</v>
      </c>
      <c r="K37" s="279">
        <f>-(K8/K4)</f>
        <v>0.22355766261995036</v>
      </c>
      <c r="L37" s="279">
        <f>-(L8/L4)</f>
        <v>0.22694528560949462</v>
      </c>
      <c r="M37" s="279">
        <f>-(M8/M4)</f>
        <v>0.22679992147581837</v>
      </c>
      <c r="N37" s="279">
        <f>-(N8/N4)</f>
        <v>0.14851277352413103</v>
      </c>
      <c r="O37" s="279">
        <f>-(O8/O4)</f>
        <v>0.14583505070000144</v>
      </c>
      <c r="P37" s="279">
        <f>$O$37</f>
        <v>0.14583505070000144</v>
      </c>
      <c r="Q37" s="279">
        <f t="shared" ref="Q37:T37" si="65">$O$37</f>
        <v>0.14583505070000144</v>
      </c>
      <c r="R37" s="279">
        <f t="shared" si="65"/>
        <v>0.14583505070000144</v>
      </c>
      <c r="S37" s="279">
        <f t="shared" si="65"/>
        <v>0.14583505070000144</v>
      </c>
      <c r="T37" s="278">
        <f t="shared" si="65"/>
        <v>0.14583505070000144</v>
      </c>
    </row>
    <row r="38" spans="3:34">
      <c r="C38" s="22"/>
      <c r="D38" s="24"/>
      <c r="E38" s="24"/>
      <c r="F38" s="27"/>
      <c r="G38" s="24"/>
      <c r="H38" s="25"/>
      <c r="I38" s="15"/>
      <c r="J38" s="93" t="s">
        <v>36</v>
      </c>
      <c r="K38" s="279">
        <f>K11/'Adj. balance sheet'!AE11</f>
        <v>-3.2921172960220721E-2</v>
      </c>
      <c r="L38" s="279">
        <f>L11/'Adj. balance sheet'!AF11</f>
        <v>-3.9477319717376329E-2</v>
      </c>
      <c r="M38" s="279">
        <f>M11/'Adj. balance sheet'!AG11</f>
        <v>-4.2038463627251242E-2</v>
      </c>
      <c r="N38" s="279">
        <f>N11/'Adj. balance sheet'!AH11</f>
        <v>-0.26448813529546222</v>
      </c>
      <c r="O38" s="279">
        <f>O11/'Adj. balance sheet'!AI11</f>
        <v>-0.33376583316604569</v>
      </c>
      <c r="P38" s="279">
        <f>O38</f>
        <v>-0.33376583316604569</v>
      </c>
      <c r="Q38" s="279">
        <f t="shared" ref="Q38:T38" si="66">P38</f>
        <v>-0.33376583316604569</v>
      </c>
      <c r="R38" s="279">
        <f t="shared" si="66"/>
        <v>-0.33376583316604569</v>
      </c>
      <c r="S38" s="279">
        <f t="shared" si="66"/>
        <v>-0.33376583316604569</v>
      </c>
      <c r="T38" s="278">
        <f t="shared" si="66"/>
        <v>-0.33376583316604569</v>
      </c>
      <c r="U38" s="17"/>
    </row>
    <row r="39" spans="3:34">
      <c r="C39" s="22"/>
      <c r="D39" s="24"/>
      <c r="E39" s="24"/>
      <c r="F39" s="24"/>
      <c r="G39" s="24"/>
      <c r="H39" s="25"/>
      <c r="J39" s="93" t="s">
        <v>37</v>
      </c>
      <c r="K39" s="279">
        <v>0.22</v>
      </c>
      <c r="L39" s="279">
        <v>0.22</v>
      </c>
      <c r="M39" s="279">
        <v>0.22</v>
      </c>
      <c r="N39" s="279">
        <v>0.22</v>
      </c>
      <c r="O39" s="279">
        <v>0.22</v>
      </c>
      <c r="P39" s="279">
        <v>0.22</v>
      </c>
      <c r="Q39" s="279">
        <v>0.22</v>
      </c>
      <c r="R39" s="279">
        <v>0.22</v>
      </c>
      <c r="S39" s="279">
        <v>0.22</v>
      </c>
      <c r="T39" s="278">
        <v>0.22</v>
      </c>
    </row>
    <row r="40" spans="3:34">
      <c r="C40" s="22"/>
      <c r="D40" s="24"/>
      <c r="E40" s="24"/>
      <c r="F40" s="24"/>
      <c r="G40" s="24"/>
      <c r="H40" s="25"/>
      <c r="J40" s="75" t="s">
        <v>38</v>
      </c>
      <c r="K40" s="280">
        <f>-(K24/'Adj. balance sheet'!AE43)</f>
        <v>4.4614914087747398E-2</v>
      </c>
      <c r="L40" s="280">
        <f>-(L24/'Adj. balance sheet'!AF43)</f>
        <v>3.9103784828028218E-2</v>
      </c>
      <c r="M40" s="280">
        <f>-(M24/'Adj. balance sheet'!AG43)</f>
        <v>4.2985227834936066E-2</v>
      </c>
      <c r="N40" s="280">
        <f>-(N24/'Adj. balance sheet'!AH43)</f>
        <v>3.1686293083700169E-2</v>
      </c>
      <c r="O40" s="280">
        <f>-(O24/'Adj. balance sheet'!AI43)</f>
        <v>2.3492574922031519E-2</v>
      </c>
      <c r="P40" s="280">
        <f>-(P24/'Adj. balance sheet'!AJ43)</f>
        <v>2.8085774979493255E-2</v>
      </c>
      <c r="Q40" s="280">
        <f>-(Q24/'Adj. balance sheet'!AK43)</f>
        <v>2.5372570937845763E-2</v>
      </c>
      <c r="R40" s="280">
        <f>-(R24/'Adj. balance sheet'!AL43)</f>
        <v>2.7539933885259452E-2</v>
      </c>
      <c r="S40" s="280">
        <f>-(S24/'Adj. balance sheet'!AM43)</f>
        <v>2.7229787180364808E-2</v>
      </c>
      <c r="T40" s="281">
        <f>-(T24/'Adj. balance sheet'!AN43)</f>
        <v>2.7886815380207007E-2</v>
      </c>
    </row>
    <row r="41" spans="3:34">
      <c r="C41" s="22"/>
      <c r="D41" s="24"/>
      <c r="E41" s="24"/>
      <c r="F41" s="27"/>
      <c r="G41" s="24"/>
      <c r="H41" s="25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3:34">
      <c r="C42" s="22"/>
      <c r="D42" s="24"/>
      <c r="E42" s="24"/>
      <c r="F42" s="27"/>
      <c r="G42" s="27"/>
      <c r="H42" s="25"/>
    </row>
    <row r="43" spans="3:34">
      <c r="C43" s="23"/>
      <c r="D43" s="25"/>
      <c r="E43" s="25"/>
      <c r="F43" s="25"/>
      <c r="G43" s="25"/>
      <c r="H43" s="25"/>
    </row>
    <row r="44" spans="3:34">
      <c r="C44" s="26"/>
      <c r="D44" s="28"/>
      <c r="E44" s="28"/>
      <c r="F44" s="28"/>
      <c r="G44" s="28"/>
      <c r="H44" s="25"/>
    </row>
    <row r="45" spans="3:34">
      <c r="C45" s="22"/>
      <c r="D45" s="24"/>
      <c r="E45" s="24"/>
      <c r="F45" s="27"/>
      <c r="G45" s="27"/>
      <c r="H45" s="25"/>
    </row>
    <row r="46" spans="3:34">
      <c r="C46" s="26"/>
      <c r="D46" s="28"/>
      <c r="E46" s="28"/>
      <c r="F46" s="28"/>
      <c r="G46" s="28"/>
      <c r="H46" s="25"/>
    </row>
  </sheetData>
  <mergeCells count="8">
    <mergeCell ref="J32:T32"/>
    <mergeCell ref="C2:H2"/>
    <mergeCell ref="J2:T2"/>
    <mergeCell ref="X12:AD12"/>
    <mergeCell ref="G31:H31"/>
    <mergeCell ref="Y29:AC29"/>
    <mergeCell ref="AD29:AH29"/>
    <mergeCell ref="G29:H29"/>
  </mergeCells>
  <pageMargins left="0.7" right="0.7" top="0.75" bottom="0.75" header="0.3" footer="0.3"/>
  <pageSetup paperSize="9" orientation="portrait" verticalDpi="0" r:id="rId1"/>
  <ignoredErrors>
    <ignoredError sqref="AB33:AH33 Z33:AA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7"/>
  <sheetViews>
    <sheetView zoomScale="59" zoomScaleNormal="61" workbookViewId="0">
      <selection activeCell="I70" sqref="I70"/>
    </sheetView>
  </sheetViews>
  <sheetFormatPr defaultColWidth="11.07421875" defaultRowHeight="14.6"/>
  <cols>
    <col min="2" max="2" width="39.15234375" customWidth="1"/>
    <col min="3" max="3" width="14.4609375" customWidth="1"/>
    <col min="4" max="4" width="14.3046875" customWidth="1"/>
    <col min="5" max="5" width="14.4609375" customWidth="1"/>
    <col min="6" max="6" width="15.69140625" customWidth="1"/>
    <col min="7" max="7" width="15.3046875" customWidth="1"/>
    <col min="9" max="9" width="61" customWidth="1"/>
    <col min="10" max="10" width="16.69140625" customWidth="1"/>
    <col min="11" max="11" width="17.3046875" customWidth="1"/>
    <col min="12" max="12" width="16.4609375" customWidth="1"/>
    <col min="13" max="13" width="17.69140625" customWidth="1"/>
    <col min="14" max="14" width="19.3046875" customWidth="1"/>
    <col min="16" max="16" width="35.84375" customWidth="1"/>
    <col min="17" max="19" width="18.15234375" bestFit="1" customWidth="1"/>
    <col min="20" max="21" width="18.4609375" bestFit="1" customWidth="1"/>
    <col min="23" max="23" width="66.3046875" customWidth="1"/>
    <col min="24" max="26" width="18.15234375" bestFit="1" customWidth="1"/>
    <col min="27" max="28" width="18.4609375" bestFit="1" customWidth="1"/>
    <col min="29" max="29" width="32.4609375" customWidth="1"/>
    <col min="30" max="30" width="54.84375" bestFit="1" customWidth="1"/>
    <col min="31" max="31" width="24.15234375" customWidth="1"/>
    <col min="32" max="32" width="25.69140625" customWidth="1"/>
    <col min="33" max="33" width="22.15234375" customWidth="1"/>
    <col min="34" max="34" width="25.84375" customWidth="1"/>
    <col min="35" max="35" width="23.69140625" customWidth="1"/>
    <col min="36" max="40" width="18.4609375" bestFit="1" customWidth="1"/>
    <col min="45" max="49" width="14.69140625" bestFit="1" customWidth="1"/>
  </cols>
  <sheetData>
    <row r="1" spans="1:52">
      <c r="M1" s="669" t="s">
        <v>129</v>
      </c>
      <c r="N1" s="671"/>
      <c r="T1" s="681" t="s">
        <v>129</v>
      </c>
      <c r="U1" s="682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>
      <c r="B2" s="669" t="s">
        <v>113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1"/>
      <c r="P2" s="576" t="s">
        <v>340</v>
      </c>
      <c r="Q2" s="683" t="s">
        <v>39</v>
      </c>
      <c r="R2" s="683"/>
      <c r="S2" s="683"/>
      <c r="T2" s="683"/>
      <c r="U2" s="683"/>
      <c r="V2" s="683"/>
      <c r="W2" s="683"/>
      <c r="X2" s="683"/>
      <c r="Y2" s="683"/>
      <c r="Z2" s="683"/>
      <c r="AA2" s="577"/>
      <c r="AB2" s="578"/>
      <c r="AD2" s="465" t="s">
        <v>340</v>
      </c>
      <c r="AE2" s="670" t="s">
        <v>40</v>
      </c>
      <c r="AF2" s="670"/>
      <c r="AG2" s="670"/>
      <c r="AH2" s="670"/>
      <c r="AI2" s="670"/>
      <c r="AJ2" s="670"/>
      <c r="AK2" s="670"/>
      <c r="AL2" s="670"/>
      <c r="AM2" s="670"/>
      <c r="AN2" s="575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15.9">
      <c r="B3" s="285" t="s">
        <v>41</v>
      </c>
      <c r="C3" s="509">
        <v>2016</v>
      </c>
      <c r="D3" s="509">
        <v>2017</v>
      </c>
      <c r="E3" s="271">
        <v>2018</v>
      </c>
      <c r="F3" s="271">
        <v>2019</v>
      </c>
      <c r="G3" s="271">
        <v>2020</v>
      </c>
      <c r="H3" s="510"/>
      <c r="I3" s="271" t="s">
        <v>42</v>
      </c>
      <c r="J3" s="271">
        <v>2016</v>
      </c>
      <c r="K3" s="133">
        <v>2017</v>
      </c>
      <c r="L3" s="271">
        <v>2018</v>
      </c>
      <c r="M3" s="271">
        <v>2019</v>
      </c>
      <c r="N3" s="283">
        <v>2020</v>
      </c>
      <c r="P3" s="101" t="s">
        <v>41</v>
      </c>
      <c r="Q3" s="102">
        <v>2016</v>
      </c>
      <c r="R3" s="102">
        <v>2017</v>
      </c>
      <c r="S3" s="102">
        <v>2018</v>
      </c>
      <c r="T3" s="102">
        <v>2019</v>
      </c>
      <c r="U3" s="102">
        <v>2020</v>
      </c>
      <c r="V3" s="511"/>
      <c r="W3" s="102" t="s">
        <v>42</v>
      </c>
      <c r="X3" s="102">
        <v>2016</v>
      </c>
      <c r="Y3" s="102">
        <v>2017</v>
      </c>
      <c r="Z3" s="102">
        <v>2018</v>
      </c>
      <c r="AA3" s="102">
        <v>2019</v>
      </c>
      <c r="AB3" s="103">
        <v>2020</v>
      </c>
      <c r="AD3" s="171" t="s">
        <v>341</v>
      </c>
      <c r="AE3" s="174">
        <v>2016</v>
      </c>
      <c r="AF3" s="174">
        <v>2017</v>
      </c>
      <c r="AG3" s="174">
        <v>2018</v>
      </c>
      <c r="AH3" s="174">
        <v>2019</v>
      </c>
      <c r="AI3" s="174">
        <v>2020</v>
      </c>
      <c r="AJ3" s="579">
        <v>2021</v>
      </c>
      <c r="AK3" s="579">
        <v>2022</v>
      </c>
      <c r="AL3" s="579">
        <v>2023</v>
      </c>
      <c r="AM3" s="579">
        <v>2024</v>
      </c>
      <c r="AN3" s="642">
        <v>2025</v>
      </c>
      <c r="AQ3" s="6"/>
      <c r="AR3" s="117"/>
      <c r="AS3" s="117"/>
      <c r="AT3" s="117"/>
      <c r="AU3" s="117"/>
      <c r="AV3" s="117"/>
      <c r="AW3" s="117"/>
      <c r="AX3" s="6"/>
      <c r="AY3" s="6"/>
      <c r="AZ3" s="6"/>
    </row>
    <row r="4" spans="1:52" ht="15.9">
      <c r="A4" s="7"/>
      <c r="B4" s="487" t="s">
        <v>43</v>
      </c>
      <c r="C4" s="511"/>
      <c r="D4" s="511"/>
      <c r="E4" s="512"/>
      <c r="F4" s="512"/>
      <c r="G4" s="512"/>
      <c r="H4" s="511"/>
      <c r="I4" s="102" t="s">
        <v>44</v>
      </c>
      <c r="J4" s="511"/>
      <c r="K4" s="511"/>
      <c r="L4" s="511"/>
      <c r="M4" s="511"/>
      <c r="N4" s="538"/>
      <c r="P4" s="525" t="s">
        <v>104</v>
      </c>
      <c r="Q4" s="123">
        <f t="shared" ref="Q4:U7" si="0">C39</f>
        <v>1463023</v>
      </c>
      <c r="R4" s="123">
        <f t="shared" si="0"/>
        <v>1462354</v>
      </c>
      <c r="S4" s="123">
        <f t="shared" si="0"/>
        <v>1462889</v>
      </c>
      <c r="T4" s="123">
        <f t="shared" si="0"/>
        <v>1520250</v>
      </c>
      <c r="U4" s="124">
        <f t="shared" si="0"/>
        <v>1521108</v>
      </c>
      <c r="W4" s="125" t="s">
        <v>45</v>
      </c>
      <c r="X4" s="123">
        <f t="shared" ref="X4:AB6" si="1">J40</f>
        <v>48774</v>
      </c>
      <c r="Y4" s="123">
        <f t="shared" si="1"/>
        <v>48774</v>
      </c>
      <c r="Z4" s="123">
        <f t="shared" si="1"/>
        <v>48774</v>
      </c>
      <c r="AA4" s="123">
        <f t="shared" si="1"/>
        <v>48774</v>
      </c>
      <c r="AB4" s="124">
        <f t="shared" si="1"/>
        <v>48770</v>
      </c>
      <c r="AD4" s="638" t="s">
        <v>104</v>
      </c>
      <c r="AE4" s="582">
        <f t="shared" ref="AE4:AI7" si="2">Q39</f>
        <v>1463023</v>
      </c>
      <c r="AF4" s="582">
        <f t="shared" si="2"/>
        <v>1462354</v>
      </c>
      <c r="AG4" s="582">
        <f t="shared" si="2"/>
        <v>1462889</v>
      </c>
      <c r="AH4" s="582">
        <f t="shared" si="2"/>
        <v>1520250</v>
      </c>
      <c r="AI4" s="582">
        <f t="shared" si="2"/>
        <v>1521108</v>
      </c>
      <c r="AJ4" s="544"/>
      <c r="AK4" s="544"/>
      <c r="AL4" s="544"/>
      <c r="AM4" s="544"/>
      <c r="AN4" s="478"/>
      <c r="AQ4" s="6"/>
      <c r="AR4" s="117"/>
      <c r="AS4" s="37"/>
      <c r="AT4" s="37"/>
      <c r="AU4" s="37"/>
      <c r="AV4" s="37"/>
      <c r="AW4" s="37"/>
      <c r="AX4" s="6"/>
      <c r="AY4" s="6"/>
      <c r="AZ4" s="6"/>
    </row>
    <row r="5" spans="1:52" ht="15.9">
      <c r="B5" s="126" t="s">
        <v>104</v>
      </c>
      <c r="C5" s="490">
        <v>1463023</v>
      </c>
      <c r="D5" s="490">
        <v>1462354</v>
      </c>
      <c r="E5" s="490">
        <v>1462889</v>
      </c>
      <c r="F5" s="490">
        <f>1510165+10085</f>
        <v>1520250</v>
      </c>
      <c r="G5" s="515">
        <f>1515485+5623</f>
        <v>1521108</v>
      </c>
      <c r="I5" s="130" t="s">
        <v>45</v>
      </c>
      <c r="J5" s="490">
        <v>48774</v>
      </c>
      <c r="K5" s="490">
        <v>48774</v>
      </c>
      <c r="L5" s="490">
        <v>48774</v>
      </c>
      <c r="M5" s="490">
        <v>48774</v>
      </c>
      <c r="N5" s="129">
        <v>48770</v>
      </c>
      <c r="P5" s="126" t="s">
        <v>105</v>
      </c>
      <c r="Q5" s="128">
        <f t="shared" si="0"/>
        <v>0</v>
      </c>
      <c r="R5" s="128">
        <f t="shared" si="0"/>
        <v>8423</v>
      </c>
      <c r="S5" s="128">
        <f t="shared" si="0"/>
        <v>6532</v>
      </c>
      <c r="T5" s="128">
        <f t="shared" si="0"/>
        <v>0</v>
      </c>
      <c r="U5" s="129">
        <f t="shared" si="0"/>
        <v>0</v>
      </c>
      <c r="W5" s="130" t="s">
        <v>114</v>
      </c>
      <c r="X5" s="128">
        <f t="shared" si="1"/>
        <v>321049</v>
      </c>
      <c r="Y5" s="128">
        <f t="shared" si="1"/>
        <v>321049</v>
      </c>
      <c r="Z5" s="128">
        <f t="shared" si="1"/>
        <v>321049</v>
      </c>
      <c r="AA5" s="128">
        <f t="shared" si="1"/>
        <v>321049</v>
      </c>
      <c r="AB5" s="129">
        <f t="shared" si="1"/>
        <v>321050</v>
      </c>
      <c r="AD5" s="479" t="s">
        <v>105</v>
      </c>
      <c r="AE5" s="544">
        <f t="shared" si="2"/>
        <v>0</v>
      </c>
      <c r="AF5" s="544">
        <f t="shared" si="2"/>
        <v>8423</v>
      </c>
      <c r="AG5" s="544">
        <f t="shared" si="2"/>
        <v>6532</v>
      </c>
      <c r="AH5" s="544">
        <f t="shared" si="2"/>
        <v>0</v>
      </c>
      <c r="AI5" s="544">
        <f t="shared" si="2"/>
        <v>0</v>
      </c>
      <c r="AJ5" s="516"/>
      <c r="AK5" s="516"/>
      <c r="AL5" s="516"/>
      <c r="AM5" s="516"/>
      <c r="AN5" s="517"/>
      <c r="AQ5" s="6"/>
      <c r="AR5" s="117"/>
      <c r="AS5" s="37"/>
      <c r="AT5" s="37"/>
      <c r="AU5" s="37"/>
      <c r="AV5" s="37"/>
      <c r="AW5" s="37"/>
      <c r="AX5" s="6"/>
      <c r="AY5" s="6"/>
      <c r="AZ5" s="6"/>
    </row>
    <row r="6" spans="1:52" ht="15.9">
      <c r="B6" s="126" t="s">
        <v>105</v>
      </c>
      <c r="C6" s="490">
        <v>0</v>
      </c>
      <c r="D6" s="490">
        <v>8423</v>
      </c>
      <c r="E6" s="490">
        <v>6532</v>
      </c>
      <c r="F6" s="490"/>
      <c r="G6" s="515"/>
      <c r="I6" s="130" t="s">
        <v>114</v>
      </c>
      <c r="J6" s="490">
        <v>321049</v>
      </c>
      <c r="K6" s="490">
        <v>321049</v>
      </c>
      <c r="L6" s="490">
        <v>321049</v>
      </c>
      <c r="M6" s="490">
        <v>321049</v>
      </c>
      <c r="N6" s="129">
        <v>321050</v>
      </c>
      <c r="P6" s="126" t="s">
        <v>108</v>
      </c>
      <c r="Q6" s="128">
        <f t="shared" si="0"/>
        <v>0</v>
      </c>
      <c r="R6" s="128">
        <f t="shared" si="0"/>
        <v>0</v>
      </c>
      <c r="S6" s="128">
        <f t="shared" si="0"/>
        <v>0</v>
      </c>
      <c r="T6" s="128">
        <f t="shared" si="0"/>
        <v>65402</v>
      </c>
      <c r="U6" s="129">
        <f t="shared" si="0"/>
        <v>72280</v>
      </c>
      <c r="W6" s="130" t="s">
        <v>115</v>
      </c>
      <c r="X6" s="128">
        <f t="shared" si="1"/>
        <v>64617</v>
      </c>
      <c r="Y6" s="128">
        <f t="shared" si="1"/>
        <v>64617</v>
      </c>
      <c r="Z6" s="128">
        <f t="shared" si="1"/>
        <v>64617</v>
      </c>
      <c r="AA6" s="128">
        <f t="shared" si="1"/>
        <v>64617</v>
      </c>
      <c r="AB6" s="129">
        <f t="shared" si="1"/>
        <v>64617</v>
      </c>
      <c r="AD6" s="479" t="s">
        <v>108</v>
      </c>
      <c r="AE6" s="544">
        <f t="shared" si="2"/>
        <v>0</v>
      </c>
      <c r="AF6" s="544">
        <f t="shared" si="2"/>
        <v>0</v>
      </c>
      <c r="AG6" s="544">
        <f t="shared" si="2"/>
        <v>0</v>
      </c>
      <c r="AH6" s="544">
        <f t="shared" si="2"/>
        <v>65402</v>
      </c>
      <c r="AI6" s="544">
        <f t="shared" si="2"/>
        <v>72280</v>
      </c>
      <c r="AJ6" s="516"/>
      <c r="AK6" s="516"/>
      <c r="AL6" s="516"/>
      <c r="AM6" s="516"/>
      <c r="AN6" s="517"/>
      <c r="AQ6" s="6"/>
      <c r="AR6" s="117"/>
      <c r="AS6" s="37"/>
      <c r="AT6" s="37"/>
      <c r="AU6" s="37"/>
      <c r="AV6" s="37"/>
      <c r="AW6" s="37"/>
      <c r="AX6" s="6"/>
      <c r="AY6" s="6"/>
      <c r="AZ6" s="6"/>
    </row>
    <row r="7" spans="1:52" ht="15.9">
      <c r="B7" s="126" t="s">
        <v>108</v>
      </c>
      <c r="C7" s="490"/>
      <c r="D7" s="490"/>
      <c r="E7" s="490"/>
      <c r="F7" s="490">
        <v>65402</v>
      </c>
      <c r="G7" s="515">
        <v>72280</v>
      </c>
      <c r="I7" s="130" t="s">
        <v>115</v>
      </c>
      <c r="J7" s="490">
        <v>64617</v>
      </c>
      <c r="K7" s="490">
        <v>64617</v>
      </c>
      <c r="L7" s="490">
        <v>64617</v>
      </c>
      <c r="M7" s="490">
        <v>64617</v>
      </c>
      <c r="N7" s="490">
        <v>64617</v>
      </c>
      <c r="O7" s="1"/>
      <c r="P7" s="126" t="s">
        <v>109</v>
      </c>
      <c r="Q7" s="128">
        <f t="shared" si="0"/>
        <v>0</v>
      </c>
      <c r="R7" s="128">
        <f t="shared" si="0"/>
        <v>0</v>
      </c>
      <c r="S7" s="128">
        <f t="shared" si="0"/>
        <v>0</v>
      </c>
      <c r="T7" s="128">
        <f t="shared" si="0"/>
        <v>2185</v>
      </c>
      <c r="U7" s="129">
        <f t="shared" si="0"/>
        <v>15810</v>
      </c>
      <c r="W7" s="536" t="s">
        <v>116</v>
      </c>
      <c r="X7" s="233">
        <f>SUM(X4:X6)</f>
        <v>434440</v>
      </c>
      <c r="Y7" s="233">
        <f>SUM(Y4:Y6)</f>
        <v>434440</v>
      </c>
      <c r="Z7" s="233">
        <f>SUM(Z4:Z6)</f>
        <v>434440</v>
      </c>
      <c r="AA7" s="233">
        <f>SUM(AA4:AA6)</f>
        <v>434440</v>
      </c>
      <c r="AB7" s="224">
        <f>SUM(AB4:AB6)</f>
        <v>434437</v>
      </c>
      <c r="AD7" s="479" t="s">
        <v>109</v>
      </c>
      <c r="AE7" s="544">
        <f t="shared" si="2"/>
        <v>0</v>
      </c>
      <c r="AF7" s="544">
        <f t="shared" si="2"/>
        <v>0</v>
      </c>
      <c r="AG7" s="544">
        <f t="shared" si="2"/>
        <v>0</v>
      </c>
      <c r="AH7" s="544">
        <f t="shared" si="2"/>
        <v>2185</v>
      </c>
      <c r="AI7" s="544">
        <f t="shared" si="2"/>
        <v>15810</v>
      </c>
      <c r="AJ7" s="516"/>
      <c r="AK7" s="516"/>
      <c r="AL7" s="516"/>
      <c r="AM7" s="516"/>
      <c r="AN7" s="517"/>
      <c r="AQ7" s="6"/>
      <c r="AR7" s="117"/>
      <c r="AS7" s="37"/>
      <c r="AT7" s="37"/>
      <c r="AU7" s="37"/>
      <c r="AV7" s="37"/>
      <c r="AW7" s="37"/>
      <c r="AX7" s="6"/>
      <c r="AY7" s="6"/>
      <c r="AZ7" s="6"/>
    </row>
    <row r="8" spans="1:52" ht="15.9">
      <c r="B8" s="126" t="s">
        <v>109</v>
      </c>
      <c r="C8" s="490"/>
      <c r="D8" s="490"/>
      <c r="E8" s="490"/>
      <c r="F8" s="490">
        <v>2185</v>
      </c>
      <c r="G8" s="515">
        <v>15810</v>
      </c>
      <c r="I8" s="533" t="s">
        <v>116</v>
      </c>
      <c r="J8" s="534">
        <f>J5+J6+J7</f>
        <v>434440</v>
      </c>
      <c r="K8" s="534">
        <f>K5+K6+K7</f>
        <v>434440</v>
      </c>
      <c r="L8" s="534">
        <f>L5+L6+L7</f>
        <v>434440</v>
      </c>
      <c r="M8" s="534">
        <f>M5+M6+M7</f>
        <v>434440</v>
      </c>
      <c r="N8" s="224">
        <f>N5+N6+N7</f>
        <v>434437</v>
      </c>
      <c r="P8" s="492" t="s">
        <v>47</v>
      </c>
      <c r="Q8" s="540">
        <f>SUM(Q4:Q7)</f>
        <v>1463023</v>
      </c>
      <c r="R8" s="540">
        <f>SUM(R4:R7)</f>
        <v>1470777</v>
      </c>
      <c r="S8" s="540">
        <f>SUM(S4:S7)</f>
        <v>1469421</v>
      </c>
      <c r="T8" s="540">
        <f>SUM(T4:T7)</f>
        <v>1587837</v>
      </c>
      <c r="U8" s="530">
        <f>SUM(U4:U7)</f>
        <v>1609198</v>
      </c>
      <c r="W8" s="130" t="s">
        <v>117</v>
      </c>
      <c r="X8" s="128">
        <f t="shared" ref="X8:AB9" si="3">J44</f>
        <v>6370</v>
      </c>
      <c r="Y8" s="128">
        <f t="shared" si="3"/>
        <v>3205</v>
      </c>
      <c r="Z8" s="128">
        <f t="shared" si="3"/>
        <v>8265</v>
      </c>
      <c r="AA8" s="128">
        <f t="shared" si="3"/>
        <v>-10148</v>
      </c>
      <c r="AB8" s="129">
        <f t="shared" si="3"/>
        <v>0</v>
      </c>
      <c r="AD8" s="492" t="s">
        <v>47</v>
      </c>
      <c r="AE8" s="529">
        <f>SUM(AE4:AE7)</f>
        <v>1463023</v>
      </c>
      <c r="AF8" s="529">
        <f>SUM(AF4:AF7)</f>
        <v>1470777</v>
      </c>
      <c r="AG8" s="529">
        <f>SUM(AG4:AG7)</f>
        <v>1469421</v>
      </c>
      <c r="AH8" s="529">
        <f>SUM(AH4:AH7)</f>
        <v>1587837</v>
      </c>
      <c r="AI8" s="529">
        <f>SUM(AI4:AI7)</f>
        <v>1609198</v>
      </c>
      <c r="AJ8" s="516"/>
      <c r="AK8" s="516"/>
      <c r="AL8" s="516"/>
      <c r="AM8" s="516"/>
      <c r="AN8" s="517"/>
      <c r="AQ8" s="6"/>
      <c r="AR8" s="117"/>
      <c r="AS8" s="37"/>
      <c r="AT8" s="37"/>
      <c r="AU8" s="37"/>
      <c r="AV8" s="37"/>
      <c r="AW8" s="37"/>
      <c r="AX8" s="6"/>
      <c r="AY8" s="6"/>
      <c r="AZ8" s="6"/>
    </row>
    <row r="9" spans="1:52" ht="15.9">
      <c r="B9" s="492" t="s">
        <v>47</v>
      </c>
      <c r="C9" s="529">
        <f>C5+C6+C7+C8</f>
        <v>1463023</v>
      </c>
      <c r="D9" s="529">
        <f>D5+D6+D7+D8</f>
        <v>1470777</v>
      </c>
      <c r="E9" s="529">
        <f>E5+E6+E7+E8</f>
        <v>1469421</v>
      </c>
      <c r="F9" s="529">
        <f>F5+F6+F7+F8-1</f>
        <v>1587836</v>
      </c>
      <c r="G9" s="530">
        <f>G5+G6+G7+G8-1</f>
        <v>1609197</v>
      </c>
      <c r="I9" s="130" t="s">
        <v>117</v>
      </c>
      <c r="J9" s="490">
        <v>6370</v>
      </c>
      <c r="K9" s="490">
        <v>3205</v>
      </c>
      <c r="L9" s="490">
        <v>8265</v>
      </c>
      <c r="M9" s="490">
        <v>-10148</v>
      </c>
      <c r="N9" s="129"/>
      <c r="P9" s="126" t="s">
        <v>128</v>
      </c>
      <c r="Q9" s="128">
        <f t="shared" ref="Q9:U10" si="4">C44</f>
        <v>0</v>
      </c>
      <c r="R9" s="128">
        <f t="shared" si="4"/>
        <v>0</v>
      </c>
      <c r="S9" s="128">
        <f t="shared" si="4"/>
        <v>0</v>
      </c>
      <c r="T9" s="128">
        <f t="shared" si="4"/>
        <v>822604</v>
      </c>
      <c r="U9" s="129">
        <f t="shared" si="4"/>
        <v>821683</v>
      </c>
      <c r="W9" s="130" t="s">
        <v>49</v>
      </c>
      <c r="X9" s="128">
        <f t="shared" si="3"/>
        <v>561482</v>
      </c>
      <c r="Y9" s="128">
        <f t="shared" si="3"/>
        <v>580872</v>
      </c>
      <c r="Z9" s="128">
        <f t="shared" si="3"/>
        <v>647982</v>
      </c>
      <c r="AA9" s="128">
        <f t="shared" si="3"/>
        <v>725869</v>
      </c>
      <c r="AB9" s="129">
        <f t="shared" si="3"/>
        <v>750164</v>
      </c>
      <c r="AD9" s="479" t="s">
        <v>128</v>
      </c>
      <c r="AE9" s="544">
        <f t="shared" ref="AE9:AI10" si="5">Q44</f>
        <v>0</v>
      </c>
      <c r="AF9" s="544">
        <f t="shared" si="5"/>
        <v>0</v>
      </c>
      <c r="AG9" s="544">
        <f t="shared" si="5"/>
        <v>0</v>
      </c>
      <c r="AH9" s="544">
        <f t="shared" si="5"/>
        <v>822604</v>
      </c>
      <c r="AI9" s="544">
        <f t="shared" si="5"/>
        <v>821683</v>
      </c>
      <c r="AJ9" s="516"/>
      <c r="AK9" s="516"/>
      <c r="AL9" s="516"/>
      <c r="AM9" s="516"/>
      <c r="AN9" s="517"/>
      <c r="AQ9" s="6"/>
      <c r="AR9" s="117"/>
      <c r="AS9" s="37"/>
      <c r="AT9" s="37"/>
      <c r="AU9" s="37"/>
      <c r="AV9" s="37"/>
      <c r="AW9" s="37"/>
      <c r="AX9" s="6"/>
      <c r="AY9" s="6"/>
      <c r="AZ9" s="6"/>
    </row>
    <row r="10" spans="1:52" ht="15.9">
      <c r="B10" s="126" t="s">
        <v>110</v>
      </c>
      <c r="C10" s="490"/>
      <c r="D10" s="490"/>
      <c r="E10" s="490"/>
      <c r="F10" s="490">
        <v>822604</v>
      </c>
      <c r="G10" s="129">
        <v>821683</v>
      </c>
      <c r="I10" s="130" t="s">
        <v>49</v>
      </c>
      <c r="J10" s="521">
        <v>561482</v>
      </c>
      <c r="K10" s="490">
        <v>580872</v>
      </c>
      <c r="L10" s="490">
        <v>647982</v>
      </c>
      <c r="M10" s="490">
        <v>725869</v>
      </c>
      <c r="N10" s="129">
        <v>750164</v>
      </c>
      <c r="P10" s="126" t="s">
        <v>55</v>
      </c>
      <c r="Q10" s="128">
        <f t="shared" si="4"/>
        <v>88492</v>
      </c>
      <c r="R10" s="128">
        <f t="shared" si="4"/>
        <v>91896</v>
      </c>
      <c r="S10" s="128">
        <f t="shared" si="4"/>
        <v>91530</v>
      </c>
      <c r="T10" s="128">
        <f t="shared" si="4"/>
        <v>179233</v>
      </c>
      <c r="U10" s="129">
        <f t="shared" si="4"/>
        <v>199512</v>
      </c>
      <c r="W10" s="535" t="s">
        <v>57</v>
      </c>
      <c r="X10" s="168">
        <f>X7+X8+X9</f>
        <v>1002292</v>
      </c>
      <c r="Y10" s="168">
        <f>Y7+Y8+Y9</f>
        <v>1018517</v>
      </c>
      <c r="Z10" s="168">
        <f>Z7+Z8+Z9</f>
        <v>1090687</v>
      </c>
      <c r="AA10" s="168">
        <f>AA7+AA8+AA9</f>
        <v>1150161</v>
      </c>
      <c r="AB10" s="170">
        <f>AB7+AB8+AB9</f>
        <v>1184601</v>
      </c>
      <c r="AD10" s="479" t="s">
        <v>55</v>
      </c>
      <c r="AE10" s="544">
        <f t="shared" si="5"/>
        <v>88492</v>
      </c>
      <c r="AF10" s="544">
        <f t="shared" si="5"/>
        <v>91896</v>
      </c>
      <c r="AG10" s="544">
        <f t="shared" si="5"/>
        <v>91530</v>
      </c>
      <c r="AH10" s="544">
        <f t="shared" si="5"/>
        <v>179233</v>
      </c>
      <c r="AI10" s="544">
        <f t="shared" si="5"/>
        <v>199512</v>
      </c>
      <c r="AJ10" s="544"/>
      <c r="AK10" s="544"/>
      <c r="AL10" s="544"/>
      <c r="AM10" s="544"/>
      <c r="AN10" s="478"/>
      <c r="AQ10" s="6"/>
      <c r="AR10" s="117"/>
      <c r="AS10" s="37"/>
      <c r="AT10" s="37"/>
      <c r="AU10" s="37"/>
      <c r="AV10" s="37"/>
      <c r="AW10" s="37"/>
      <c r="AX10" s="6"/>
      <c r="AY10" s="6"/>
      <c r="AZ10" s="6"/>
    </row>
    <row r="11" spans="1:52" ht="15.9">
      <c r="B11" s="126" t="s">
        <v>55</v>
      </c>
      <c r="C11" s="490">
        <v>88492</v>
      </c>
      <c r="D11" s="490">
        <v>91896</v>
      </c>
      <c r="E11" s="490">
        <v>91530</v>
      </c>
      <c r="F11" s="490">
        <v>179233</v>
      </c>
      <c r="G11" s="129">
        <v>199512</v>
      </c>
      <c r="I11" s="535" t="s">
        <v>57</v>
      </c>
      <c r="J11" s="168">
        <f>J8+J9+J10</f>
        <v>1002292</v>
      </c>
      <c r="K11" s="168">
        <f>K8+K9+K10-1</f>
        <v>1018516</v>
      </c>
      <c r="L11" s="168">
        <f>L8+L9+L10</f>
        <v>1090687</v>
      </c>
      <c r="M11" s="168">
        <f>M8+M9+M10</f>
        <v>1150161</v>
      </c>
      <c r="N11" s="170">
        <f>N8+N9+N10</f>
        <v>1184601</v>
      </c>
      <c r="P11" s="492" t="s">
        <v>50</v>
      </c>
      <c r="Q11" s="540">
        <f>Q9+Q10</f>
        <v>88492</v>
      </c>
      <c r="R11" s="540">
        <f>R9+R10</f>
        <v>91896</v>
      </c>
      <c r="S11" s="540">
        <f>S9+S10</f>
        <v>91530</v>
      </c>
      <c r="T11" s="540">
        <f>T9+T10</f>
        <v>1001837</v>
      </c>
      <c r="U11" s="530">
        <f>U9+U10</f>
        <v>1021195</v>
      </c>
      <c r="W11" s="139" t="s">
        <v>121</v>
      </c>
      <c r="X11" s="128">
        <f t="shared" ref="X11:AB14" si="6">J55</f>
        <v>526544</v>
      </c>
      <c r="Y11" s="128">
        <f t="shared" si="6"/>
        <v>429433</v>
      </c>
      <c r="Z11" s="128">
        <f t="shared" si="6"/>
        <v>427873</v>
      </c>
      <c r="AA11" s="128">
        <f t="shared" si="6"/>
        <v>494498</v>
      </c>
      <c r="AB11" s="129">
        <f t="shared" si="6"/>
        <v>461480</v>
      </c>
      <c r="AD11" s="492" t="s">
        <v>50</v>
      </c>
      <c r="AE11" s="529">
        <f>AE9+AE10</f>
        <v>88492</v>
      </c>
      <c r="AF11" s="529">
        <f>AF9+AF10</f>
        <v>91896</v>
      </c>
      <c r="AG11" s="529">
        <f>AG9+AG10</f>
        <v>91530</v>
      </c>
      <c r="AH11" s="529">
        <f>AH9+AH10</f>
        <v>1001837</v>
      </c>
      <c r="AI11" s="529">
        <f>AI9+AI10</f>
        <v>1021195</v>
      </c>
      <c r="AJ11" s="544"/>
      <c r="AK11" s="544"/>
      <c r="AL11" s="544"/>
      <c r="AM11" s="544"/>
      <c r="AN11" s="478"/>
      <c r="AQ11" s="6"/>
      <c r="AR11" s="117"/>
      <c r="AS11" s="37"/>
      <c r="AT11" s="37"/>
      <c r="AU11" s="37"/>
      <c r="AV11" s="37"/>
      <c r="AW11" s="37"/>
      <c r="AX11" s="6"/>
      <c r="AY11" s="6"/>
      <c r="AZ11" s="6"/>
    </row>
    <row r="12" spans="1:52" ht="15.9">
      <c r="B12" s="492" t="s">
        <v>50</v>
      </c>
      <c r="C12" s="529">
        <f>C10+C11</f>
        <v>88492</v>
      </c>
      <c r="D12" s="530">
        <f>D10+D11</f>
        <v>91896</v>
      </c>
      <c r="E12" s="530">
        <f>E10+E11</f>
        <v>91530</v>
      </c>
      <c r="F12" s="530">
        <f>F10+F11+1</f>
        <v>1001838</v>
      </c>
      <c r="G12" s="530">
        <f>G10+G11</f>
        <v>1021195</v>
      </c>
      <c r="I12" s="130"/>
      <c r="J12" s="490"/>
      <c r="K12" s="490"/>
      <c r="L12" s="490"/>
      <c r="M12" s="490"/>
      <c r="N12" s="129"/>
      <c r="P12" s="126" t="s">
        <v>52</v>
      </c>
      <c r="Q12" s="128">
        <f t="shared" ref="Q12:U13" si="7">C47</f>
        <v>0</v>
      </c>
      <c r="R12" s="128">
        <f t="shared" si="7"/>
        <v>0</v>
      </c>
      <c r="S12" s="128">
        <f t="shared" si="7"/>
        <v>0</v>
      </c>
      <c r="T12" s="128">
        <f t="shared" si="7"/>
        <v>0</v>
      </c>
      <c r="U12" s="129">
        <f t="shared" si="7"/>
        <v>0</v>
      </c>
      <c r="W12" s="126" t="s">
        <v>123</v>
      </c>
      <c r="X12" s="128">
        <f t="shared" si="6"/>
        <v>0</v>
      </c>
      <c r="Y12" s="128">
        <f t="shared" si="6"/>
        <v>0</v>
      </c>
      <c r="Z12" s="128">
        <f t="shared" si="6"/>
        <v>0</v>
      </c>
      <c r="AA12" s="128">
        <f t="shared" si="6"/>
        <v>180000</v>
      </c>
      <c r="AB12" s="129">
        <f t="shared" si="6"/>
        <v>60297</v>
      </c>
      <c r="AD12" s="479" t="s">
        <v>52</v>
      </c>
      <c r="AE12" s="544">
        <f t="shared" ref="AE12:AI15" si="8">Q47</f>
        <v>0</v>
      </c>
      <c r="AF12" s="544">
        <f t="shared" si="8"/>
        <v>0</v>
      </c>
      <c r="AG12" s="544">
        <f t="shared" si="8"/>
        <v>0</v>
      </c>
      <c r="AH12" s="544">
        <f t="shared" si="8"/>
        <v>0</v>
      </c>
      <c r="AI12" s="544">
        <f t="shared" si="8"/>
        <v>0</v>
      </c>
      <c r="AJ12" s="544"/>
      <c r="AK12" s="544"/>
      <c r="AL12" s="544"/>
      <c r="AM12" s="544"/>
      <c r="AN12" s="478"/>
      <c r="AQ12" s="6"/>
      <c r="AR12" s="117"/>
      <c r="AS12" s="37"/>
      <c r="AT12" s="37"/>
      <c r="AU12" s="37"/>
      <c r="AV12" s="37"/>
      <c r="AW12" s="37"/>
      <c r="AX12" s="6"/>
      <c r="AY12" s="6"/>
      <c r="AZ12" s="6"/>
    </row>
    <row r="13" spans="1:52" ht="15.9">
      <c r="B13" s="126"/>
      <c r="C13" s="490">
        <v>0</v>
      </c>
      <c r="D13" s="490">
        <v>0</v>
      </c>
      <c r="E13" s="490">
        <v>0</v>
      </c>
      <c r="F13" s="490">
        <v>0</v>
      </c>
      <c r="G13" s="490">
        <v>0</v>
      </c>
      <c r="I13" s="535" t="s">
        <v>60</v>
      </c>
      <c r="J13" s="532"/>
      <c r="K13" s="532"/>
      <c r="L13" s="168"/>
      <c r="M13" s="168"/>
      <c r="N13" s="170"/>
      <c r="P13" s="126" t="s">
        <v>53</v>
      </c>
      <c r="Q13" s="128">
        <f t="shared" si="7"/>
        <v>0</v>
      </c>
      <c r="R13" s="128">
        <f t="shared" si="7"/>
        <v>0</v>
      </c>
      <c r="S13" s="128">
        <f t="shared" si="7"/>
        <v>0</v>
      </c>
      <c r="T13" s="128">
        <f t="shared" si="7"/>
        <v>0</v>
      </c>
      <c r="U13" s="129">
        <f t="shared" si="7"/>
        <v>0</v>
      </c>
      <c r="W13" s="130" t="s">
        <v>124</v>
      </c>
      <c r="X13" s="128">
        <f t="shared" si="6"/>
        <v>40626</v>
      </c>
      <c r="Y13" s="128">
        <f t="shared" si="6"/>
        <v>45161</v>
      </c>
      <c r="Z13" s="128">
        <f t="shared" si="6"/>
        <v>37666</v>
      </c>
      <c r="AA13" s="128">
        <f t="shared" si="6"/>
        <v>145122</v>
      </c>
      <c r="AB13" s="129">
        <f t="shared" si="6"/>
        <v>92316</v>
      </c>
      <c r="AD13" s="479" t="s">
        <v>53</v>
      </c>
      <c r="AE13" s="544">
        <f t="shared" si="8"/>
        <v>0</v>
      </c>
      <c r="AF13" s="544">
        <f t="shared" si="8"/>
        <v>0</v>
      </c>
      <c r="AG13" s="544">
        <f t="shared" si="8"/>
        <v>0</v>
      </c>
      <c r="AH13" s="544">
        <f t="shared" si="8"/>
        <v>0</v>
      </c>
      <c r="AI13" s="544">
        <f t="shared" si="8"/>
        <v>0</v>
      </c>
      <c r="AJ13" s="516"/>
      <c r="AK13" s="516"/>
      <c r="AL13" s="516" t="s">
        <v>344</v>
      </c>
      <c r="AM13" s="516"/>
      <c r="AN13" s="517"/>
      <c r="AQ13" s="6"/>
      <c r="AR13" s="240"/>
      <c r="AS13" s="240"/>
      <c r="AT13" s="173"/>
      <c r="AU13" s="6"/>
      <c r="AV13" s="6"/>
      <c r="AW13" s="6"/>
      <c r="AX13" s="6"/>
      <c r="AY13" s="6"/>
      <c r="AZ13" s="6"/>
    </row>
    <row r="14" spans="1:52">
      <c r="B14" s="126"/>
      <c r="C14" s="490">
        <v>0</v>
      </c>
      <c r="D14" s="490">
        <v>0</v>
      </c>
      <c r="E14" s="490">
        <v>0</v>
      </c>
      <c r="F14" s="490">
        <v>0</v>
      </c>
      <c r="G14" s="490">
        <v>0</v>
      </c>
      <c r="I14" s="130" t="s">
        <v>127</v>
      </c>
      <c r="J14" s="490">
        <v>350349</v>
      </c>
      <c r="K14" s="490">
        <v>334585</v>
      </c>
      <c r="L14" s="490">
        <v>321352</v>
      </c>
      <c r="M14" s="490">
        <v>315398</v>
      </c>
      <c r="N14" s="129">
        <v>315336</v>
      </c>
      <c r="P14" s="564" t="s">
        <v>127</v>
      </c>
      <c r="Q14" s="128">
        <f t="shared" ref="Q14:U15" si="9">J47*(-1)</f>
        <v>-350349</v>
      </c>
      <c r="R14" s="128">
        <f t="shared" si="9"/>
        <v>-334585</v>
      </c>
      <c r="S14" s="128">
        <f t="shared" si="9"/>
        <v>-321352</v>
      </c>
      <c r="T14" s="128">
        <f t="shared" si="9"/>
        <v>-315398</v>
      </c>
      <c r="U14" s="129">
        <f t="shared" si="9"/>
        <v>-315336</v>
      </c>
      <c r="W14" s="130" t="s">
        <v>126</v>
      </c>
      <c r="X14" s="128">
        <f t="shared" si="6"/>
        <v>0</v>
      </c>
      <c r="Y14" s="128">
        <f t="shared" si="6"/>
        <v>0</v>
      </c>
      <c r="Z14" s="128">
        <f t="shared" si="6"/>
        <v>0</v>
      </c>
      <c r="AA14" s="128">
        <f t="shared" si="6"/>
        <v>11787</v>
      </c>
      <c r="AB14" s="129">
        <f t="shared" si="6"/>
        <v>78364</v>
      </c>
      <c r="AD14" s="639" t="s">
        <v>127</v>
      </c>
      <c r="AE14" s="544">
        <f t="shared" si="8"/>
        <v>-350349</v>
      </c>
      <c r="AF14" s="544">
        <f t="shared" si="8"/>
        <v>-334585</v>
      </c>
      <c r="AG14" s="544">
        <f t="shared" si="8"/>
        <v>-321352</v>
      </c>
      <c r="AH14" s="544">
        <f t="shared" si="8"/>
        <v>-315398</v>
      </c>
      <c r="AI14" s="544">
        <f t="shared" si="8"/>
        <v>-315336</v>
      </c>
      <c r="AJ14" s="544"/>
      <c r="AK14" s="544"/>
      <c r="AL14" s="544"/>
      <c r="AM14" s="544"/>
      <c r="AN14" s="478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5.9">
      <c r="B15" s="126"/>
      <c r="C15" s="490">
        <v>0</v>
      </c>
      <c r="D15" s="490">
        <v>0</v>
      </c>
      <c r="E15" s="490">
        <v>0</v>
      </c>
      <c r="F15" s="490">
        <v>0</v>
      </c>
      <c r="G15" s="490">
        <v>0</v>
      </c>
      <c r="I15" s="536" t="s">
        <v>119</v>
      </c>
      <c r="J15" s="534">
        <f>J14</f>
        <v>350349</v>
      </c>
      <c r="K15" s="534">
        <f>K14</f>
        <v>334585</v>
      </c>
      <c r="L15" s="534">
        <f>L14</f>
        <v>321352</v>
      </c>
      <c r="M15" s="534">
        <f>M14</f>
        <v>315398</v>
      </c>
      <c r="N15" s="224">
        <f>N14</f>
        <v>315336</v>
      </c>
      <c r="P15" s="564" t="s">
        <v>120</v>
      </c>
      <c r="Q15" s="128">
        <f t="shared" si="9"/>
        <v>0</v>
      </c>
      <c r="R15" s="128">
        <f t="shared" si="9"/>
        <v>0</v>
      </c>
      <c r="S15" s="128">
        <f t="shared" si="9"/>
        <v>0</v>
      </c>
      <c r="T15" s="128">
        <f t="shared" si="9"/>
        <v>-584848</v>
      </c>
      <c r="U15" s="129">
        <f t="shared" si="9"/>
        <v>-585131</v>
      </c>
      <c r="W15" s="531" t="s">
        <v>61</v>
      </c>
      <c r="X15" s="168">
        <f>SUM(X11:X14)</f>
        <v>567170</v>
      </c>
      <c r="Y15" s="168">
        <f>SUM(Y11:Y14)</f>
        <v>474594</v>
      </c>
      <c r="Z15" s="168">
        <f>SUM(Z11:Z14)</f>
        <v>465539</v>
      </c>
      <c r="AA15" s="168">
        <f>SUM(AA11:AA14)</f>
        <v>831407</v>
      </c>
      <c r="AB15" s="170">
        <f>SUM(AB11:AB14)</f>
        <v>692457</v>
      </c>
      <c r="AD15" s="640" t="s">
        <v>120</v>
      </c>
      <c r="AE15" s="544">
        <f t="shared" si="8"/>
        <v>0</v>
      </c>
      <c r="AF15" s="544">
        <f t="shared" si="8"/>
        <v>0</v>
      </c>
      <c r="AG15" s="544">
        <f t="shared" si="8"/>
        <v>0</v>
      </c>
      <c r="AH15" s="544">
        <f t="shared" si="8"/>
        <v>-584848</v>
      </c>
      <c r="AI15" s="544">
        <f t="shared" si="8"/>
        <v>-585131</v>
      </c>
      <c r="AJ15" s="544"/>
      <c r="AK15" s="544"/>
      <c r="AL15" s="544"/>
      <c r="AM15" s="544"/>
      <c r="AN15" s="478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5.9">
      <c r="B16" s="122"/>
      <c r="C16" s="490">
        <v>0</v>
      </c>
      <c r="D16" s="490">
        <v>0</v>
      </c>
      <c r="E16" s="490">
        <v>0</v>
      </c>
      <c r="F16" s="490">
        <v>0</v>
      </c>
      <c r="G16" s="490">
        <v>0</v>
      </c>
      <c r="I16" s="130" t="s">
        <v>120</v>
      </c>
      <c r="J16" s="523"/>
      <c r="K16" s="523"/>
      <c r="L16" s="523"/>
      <c r="M16" s="523">
        <v>584848</v>
      </c>
      <c r="N16" s="524">
        <v>585131</v>
      </c>
      <c r="P16" s="531" t="s">
        <v>46</v>
      </c>
      <c r="Q16" s="168">
        <f>Q8+Q11+Q12+Q13+Q14+Q15</f>
        <v>1201166</v>
      </c>
      <c r="R16" s="168">
        <f>R8+R11+R12+R13+R14+R15</f>
        <v>1228088</v>
      </c>
      <c r="S16" s="168">
        <f>S8+S11+S12+S13+S14+S15</f>
        <v>1239599</v>
      </c>
      <c r="T16" s="168">
        <f>T8+T11+T12+T13+T14+T15</f>
        <v>1689428</v>
      </c>
      <c r="U16" s="170">
        <f>U8+U11+U12+U13+U14+U15</f>
        <v>1729926</v>
      </c>
      <c r="W16" s="126"/>
      <c r="X16" s="127"/>
      <c r="Y16" s="127"/>
      <c r="Z16" s="127"/>
      <c r="AA16" s="127"/>
      <c r="AB16" s="522"/>
      <c r="AD16" s="531" t="s">
        <v>58</v>
      </c>
      <c r="AE16" s="168">
        <f>AE8+AE11+AE12+AE13+AE14+AE15</f>
        <v>1201166</v>
      </c>
      <c r="AF16" s="168">
        <f>AF8+AF11+AF12+AF13+AF14+AF15</f>
        <v>1228088</v>
      </c>
      <c r="AG16" s="168">
        <f>AG8+AG11+AG12+AG13+AG14+AG15</f>
        <v>1239599</v>
      </c>
      <c r="AH16" s="168">
        <f>AH8+AH11+AH12+AH13+AH14+AH15</f>
        <v>1689428</v>
      </c>
      <c r="AI16" s="168">
        <f>AI8+AI11+AI12+AI13+AI14+AI15</f>
        <v>1729926</v>
      </c>
      <c r="AJ16" s="516"/>
      <c r="AK16" s="516"/>
      <c r="AL16" s="516"/>
      <c r="AM16" s="516"/>
      <c r="AN16" s="517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2:52" ht="15.9">
      <c r="B17" s="531" t="s">
        <v>63</v>
      </c>
      <c r="C17" s="168">
        <f>C9+C12+C16</f>
        <v>1551515</v>
      </c>
      <c r="D17" s="168">
        <f>D9+D12+D16-1</f>
        <v>1562672</v>
      </c>
      <c r="E17" s="168">
        <f>E9+E12+E16</f>
        <v>1560951</v>
      </c>
      <c r="F17" s="168">
        <f>F9+F12+F16</f>
        <v>2589674</v>
      </c>
      <c r="G17" s="170">
        <f>G9+G12+G16</f>
        <v>2630392</v>
      </c>
      <c r="I17" s="139" t="s">
        <v>121</v>
      </c>
      <c r="J17" s="523">
        <v>526544</v>
      </c>
      <c r="K17" s="523">
        <v>429433</v>
      </c>
      <c r="L17" s="523">
        <v>427873</v>
      </c>
      <c r="M17" s="523">
        <v>494498</v>
      </c>
      <c r="N17" s="524">
        <v>461480</v>
      </c>
      <c r="P17" s="126" t="s">
        <v>59</v>
      </c>
      <c r="Q17" s="128">
        <f>C20</f>
        <v>222190</v>
      </c>
      <c r="R17" s="128">
        <f>D20</f>
        <v>301997</v>
      </c>
      <c r="S17" s="128">
        <f>E20</f>
        <v>253157</v>
      </c>
      <c r="T17" s="128">
        <f>F20</f>
        <v>484988</v>
      </c>
      <c r="U17" s="129">
        <f>G20</f>
        <v>482161</v>
      </c>
      <c r="W17" s="126"/>
      <c r="X17" s="127"/>
      <c r="Y17" s="127"/>
      <c r="Z17" s="127"/>
      <c r="AA17" s="127"/>
      <c r="AB17" s="522"/>
      <c r="AD17" s="479" t="s">
        <v>59</v>
      </c>
      <c r="AE17" s="544">
        <f>Q52</f>
        <v>222190</v>
      </c>
      <c r="AF17" s="544">
        <f>R52</f>
        <v>301997</v>
      </c>
      <c r="AG17" s="544">
        <f>S52</f>
        <v>253157</v>
      </c>
      <c r="AH17" s="544">
        <f>T52</f>
        <v>484988</v>
      </c>
      <c r="AI17" s="544">
        <f>U52</f>
        <v>482161</v>
      </c>
      <c r="AJ17" s="544"/>
      <c r="AK17" s="544"/>
      <c r="AL17" s="544"/>
      <c r="AM17" s="544"/>
      <c r="AN17" s="478"/>
      <c r="AQ17" s="6"/>
      <c r="AR17" s="116"/>
      <c r="AS17" s="116"/>
      <c r="AT17" s="116"/>
      <c r="AU17" s="116"/>
      <c r="AV17" s="116"/>
      <c r="AW17" s="116"/>
      <c r="AX17" s="116"/>
      <c r="AY17" s="6"/>
      <c r="AZ17" s="6"/>
    </row>
    <row r="18" spans="2:52" ht="15.9">
      <c r="B18" s="1"/>
      <c r="C18" s="2"/>
      <c r="D18" s="2"/>
      <c r="G18" s="7"/>
      <c r="I18" s="535" t="s">
        <v>64</v>
      </c>
      <c r="J18" s="168">
        <f>J15+J16+J17</f>
        <v>876893</v>
      </c>
      <c r="K18" s="168">
        <f>K15+K16+K17</f>
        <v>764018</v>
      </c>
      <c r="L18" s="168">
        <f>L15+L16+L17</f>
        <v>749225</v>
      </c>
      <c r="M18" s="168">
        <f>M15+M16+M17</f>
        <v>1394744</v>
      </c>
      <c r="N18" s="170">
        <f>N15+N16+N17</f>
        <v>1361947</v>
      </c>
      <c r="P18" s="492" t="s">
        <v>62</v>
      </c>
      <c r="Q18" s="540">
        <f t="shared" ref="Q18:U21" si="10">C57</f>
        <v>222190</v>
      </c>
      <c r="R18" s="540">
        <f t="shared" si="10"/>
        <v>301997</v>
      </c>
      <c r="S18" s="540">
        <f t="shared" si="10"/>
        <v>253157</v>
      </c>
      <c r="T18" s="540">
        <f t="shared" si="10"/>
        <v>484988</v>
      </c>
      <c r="U18" s="530">
        <f t="shared" si="10"/>
        <v>482161</v>
      </c>
      <c r="W18" s="126"/>
      <c r="X18" s="127"/>
      <c r="Y18" s="127"/>
      <c r="Z18" s="127"/>
      <c r="AA18" s="127"/>
      <c r="AB18" s="522"/>
      <c r="AD18" s="492" t="s">
        <v>62</v>
      </c>
      <c r="AE18" s="529">
        <f>AE17</f>
        <v>222190</v>
      </c>
      <c r="AF18" s="529">
        <f>AF17</f>
        <v>301997</v>
      </c>
      <c r="AG18" s="529">
        <f>AG17</f>
        <v>253157</v>
      </c>
      <c r="AH18" s="529">
        <f>AH17</f>
        <v>484988</v>
      </c>
      <c r="AI18" s="529">
        <f>AI17</f>
        <v>482161</v>
      </c>
      <c r="AJ18" s="544"/>
      <c r="AK18" s="544"/>
      <c r="AL18" s="544"/>
      <c r="AM18" s="544"/>
      <c r="AN18" s="478"/>
      <c r="AQ18" s="6"/>
      <c r="AR18" s="117"/>
      <c r="AS18" s="117"/>
      <c r="AT18" s="117"/>
      <c r="AU18" s="117"/>
      <c r="AV18" s="117"/>
      <c r="AW18" s="117"/>
      <c r="AX18" s="117"/>
      <c r="AY18" s="6"/>
      <c r="AZ18" s="6"/>
    </row>
    <row r="19" spans="2:52" ht="15.9">
      <c r="B19" s="531" t="s">
        <v>66</v>
      </c>
      <c r="C19" s="532"/>
      <c r="D19" s="532"/>
      <c r="E19" s="168"/>
      <c r="F19" s="168"/>
      <c r="G19" s="170"/>
      <c r="I19" s="34"/>
      <c r="J19" s="58"/>
      <c r="K19" s="58"/>
      <c r="L19" s="58"/>
      <c r="M19" s="58"/>
      <c r="N19" s="40"/>
      <c r="P19" s="520" t="s">
        <v>106</v>
      </c>
      <c r="Q19" s="136">
        <f t="shared" si="10"/>
        <v>2527</v>
      </c>
      <c r="R19" s="136">
        <f t="shared" si="10"/>
        <v>3500</v>
      </c>
      <c r="S19" s="136">
        <f t="shared" si="10"/>
        <v>2962</v>
      </c>
      <c r="T19" s="136">
        <f t="shared" si="10"/>
        <v>23201</v>
      </c>
      <c r="U19" s="140">
        <f t="shared" si="10"/>
        <v>18381</v>
      </c>
      <c r="W19" s="126"/>
      <c r="X19" s="127"/>
      <c r="Y19" s="127"/>
      <c r="Z19" s="127"/>
      <c r="AA19" s="127"/>
      <c r="AB19" s="522"/>
      <c r="AD19" s="520" t="s">
        <v>106</v>
      </c>
      <c r="AE19" s="521">
        <f t="shared" ref="AE19:AI20" si="11">Q54</f>
        <v>2527</v>
      </c>
      <c r="AF19" s="521">
        <f t="shared" si="11"/>
        <v>3500</v>
      </c>
      <c r="AG19" s="521">
        <f t="shared" si="11"/>
        <v>2962</v>
      </c>
      <c r="AH19" s="521">
        <f t="shared" si="11"/>
        <v>23201</v>
      </c>
      <c r="AI19" s="521">
        <f t="shared" si="11"/>
        <v>18381</v>
      </c>
      <c r="AJ19" s="516"/>
      <c r="AK19" s="516"/>
      <c r="AL19" s="516"/>
      <c r="AM19" s="516"/>
      <c r="AN19" s="517"/>
      <c r="AQ19" s="6"/>
      <c r="AR19" s="117"/>
      <c r="AS19" s="37"/>
      <c r="AT19" s="37"/>
      <c r="AU19" s="37"/>
      <c r="AV19" s="37"/>
      <c r="AW19" s="37"/>
      <c r="AX19" s="37"/>
      <c r="AY19" s="6"/>
      <c r="AZ19" s="6"/>
    </row>
    <row r="20" spans="2:52" ht="15.9">
      <c r="B20" s="126" t="s">
        <v>59</v>
      </c>
      <c r="C20" s="490">
        <v>222190</v>
      </c>
      <c r="D20" s="490">
        <v>301997</v>
      </c>
      <c r="E20" s="490">
        <v>253157</v>
      </c>
      <c r="F20" s="490">
        <v>484988</v>
      </c>
      <c r="G20" s="129">
        <v>482161</v>
      </c>
      <c r="I20" s="535" t="s">
        <v>67</v>
      </c>
      <c r="J20" s="532"/>
      <c r="K20" s="532"/>
      <c r="L20" s="168"/>
      <c r="M20" s="168"/>
      <c r="N20" s="170"/>
      <c r="P20" s="126" t="s">
        <v>107</v>
      </c>
      <c r="Q20" s="136">
        <f t="shared" si="10"/>
        <v>26435</v>
      </c>
      <c r="R20" s="136">
        <f t="shared" si="10"/>
        <v>28506</v>
      </c>
      <c r="S20" s="136">
        <f t="shared" si="10"/>
        <v>24823</v>
      </c>
      <c r="T20" s="136">
        <f t="shared" si="10"/>
        <v>25815</v>
      </c>
      <c r="U20" s="140">
        <f t="shared" si="10"/>
        <v>32725</v>
      </c>
      <c r="W20" s="126"/>
      <c r="X20" s="127"/>
      <c r="Y20" s="127"/>
      <c r="Z20" s="127"/>
      <c r="AA20" s="127"/>
      <c r="AB20" s="522"/>
      <c r="AD20" s="479" t="s">
        <v>107</v>
      </c>
      <c r="AE20" s="521">
        <f t="shared" si="11"/>
        <v>26435</v>
      </c>
      <c r="AF20" s="521">
        <f t="shared" si="11"/>
        <v>28506</v>
      </c>
      <c r="AG20" s="521">
        <f t="shared" si="11"/>
        <v>24823</v>
      </c>
      <c r="AH20" s="521">
        <f t="shared" si="11"/>
        <v>25815</v>
      </c>
      <c r="AI20" s="521">
        <f t="shared" si="11"/>
        <v>32725</v>
      </c>
      <c r="AJ20" s="544"/>
      <c r="AK20" s="544"/>
      <c r="AL20" s="544"/>
      <c r="AM20" s="544"/>
      <c r="AN20" s="478"/>
      <c r="AQ20" s="6"/>
      <c r="AR20" s="117"/>
      <c r="AS20" s="37"/>
      <c r="AT20" s="37"/>
      <c r="AU20" s="37"/>
      <c r="AV20" s="37"/>
      <c r="AW20" s="37"/>
      <c r="AX20" s="37"/>
      <c r="AY20" s="6"/>
      <c r="AZ20" s="6"/>
    </row>
    <row r="21" spans="2:52" ht="15.9">
      <c r="B21" s="126"/>
      <c r="C21" s="490"/>
      <c r="D21" s="490"/>
      <c r="E21" s="490"/>
      <c r="F21" s="490"/>
      <c r="G21" s="129"/>
      <c r="I21" s="525" t="s">
        <v>122</v>
      </c>
      <c r="J21" s="292"/>
      <c r="K21" s="292"/>
      <c r="L21" s="292"/>
      <c r="M21" s="523">
        <v>217427</v>
      </c>
      <c r="N21" s="526">
        <v>234113</v>
      </c>
      <c r="P21" s="492" t="s">
        <v>65</v>
      </c>
      <c r="Q21" s="540">
        <f t="shared" si="10"/>
        <v>28962</v>
      </c>
      <c r="R21" s="540">
        <f t="shared" si="10"/>
        <v>32006</v>
      </c>
      <c r="S21" s="540">
        <f t="shared" si="10"/>
        <v>27785</v>
      </c>
      <c r="T21" s="540">
        <f t="shared" si="10"/>
        <v>49016</v>
      </c>
      <c r="U21" s="530">
        <f t="shared" si="10"/>
        <v>51106</v>
      </c>
      <c r="W21" s="126"/>
      <c r="X21" s="127"/>
      <c r="Y21" s="127"/>
      <c r="Z21" s="127"/>
      <c r="AA21" s="127"/>
      <c r="AB21" s="522"/>
      <c r="AD21" s="492" t="s">
        <v>65</v>
      </c>
      <c r="AE21" s="529">
        <f>AE19+AE20</f>
        <v>28962</v>
      </c>
      <c r="AF21" s="529">
        <f>AF19+AF20</f>
        <v>32006</v>
      </c>
      <c r="AG21" s="529">
        <f>AG19+AG20</f>
        <v>27785</v>
      </c>
      <c r="AH21" s="529">
        <f>AH19+AH20</f>
        <v>49016</v>
      </c>
      <c r="AI21" s="529">
        <f>AI19+AI20</f>
        <v>51106</v>
      </c>
      <c r="AJ21" s="544"/>
      <c r="AK21" s="544"/>
      <c r="AL21" s="544"/>
      <c r="AM21" s="544"/>
      <c r="AN21" s="478"/>
      <c r="AQ21" s="6"/>
      <c r="AR21" s="117"/>
      <c r="AS21" s="37"/>
      <c r="AT21" s="37"/>
      <c r="AU21" s="37"/>
      <c r="AV21" s="37"/>
      <c r="AW21" s="37"/>
      <c r="AX21" s="37"/>
      <c r="AY21" s="6"/>
      <c r="AZ21" s="6"/>
    </row>
    <row r="22" spans="2:52" ht="15.9">
      <c r="B22" s="492" t="s">
        <v>62</v>
      </c>
      <c r="C22" s="529">
        <f>C20+C21</f>
        <v>222190</v>
      </c>
      <c r="D22" s="529">
        <f>D20+D21</f>
        <v>301997</v>
      </c>
      <c r="E22" s="529">
        <f>E20+E21</f>
        <v>253157</v>
      </c>
      <c r="F22" s="529">
        <f>F20+F21</f>
        <v>484988</v>
      </c>
      <c r="G22" s="530">
        <f>G20+G21</f>
        <v>482161</v>
      </c>
      <c r="I22" s="126" t="s">
        <v>123</v>
      </c>
      <c r="J22" s="292"/>
      <c r="K22" s="292"/>
      <c r="L22" s="292"/>
      <c r="M22" s="523">
        <v>180000</v>
      </c>
      <c r="N22" s="524">
        <v>60297</v>
      </c>
      <c r="P22" s="571" t="s">
        <v>122</v>
      </c>
      <c r="Q22" s="136">
        <f t="shared" ref="Q22:U25" si="12">J50*(-1)</f>
        <v>0</v>
      </c>
      <c r="R22" s="136">
        <f t="shared" si="12"/>
        <v>0</v>
      </c>
      <c r="S22" s="136">
        <f t="shared" si="12"/>
        <v>0</v>
      </c>
      <c r="T22" s="635">
        <f t="shared" si="12"/>
        <v>-217427</v>
      </c>
      <c r="U22" s="636">
        <f t="shared" si="12"/>
        <v>-234113</v>
      </c>
      <c r="W22" s="126"/>
      <c r="X22" s="127"/>
      <c r="Y22" s="127"/>
      <c r="Z22" s="127"/>
      <c r="AA22" s="127"/>
      <c r="AB22" s="522"/>
      <c r="AD22" s="572" t="s">
        <v>122</v>
      </c>
      <c r="AE22" s="521">
        <f t="shared" ref="AE22:AI25" si="13">Q57</f>
        <v>0</v>
      </c>
      <c r="AF22" s="521">
        <f t="shared" si="13"/>
        <v>0</v>
      </c>
      <c r="AG22" s="521">
        <f t="shared" si="13"/>
        <v>0</v>
      </c>
      <c r="AH22" s="521">
        <f t="shared" si="13"/>
        <v>-217427</v>
      </c>
      <c r="AI22" s="521">
        <f t="shared" si="13"/>
        <v>-234113</v>
      </c>
      <c r="AJ22" s="544"/>
      <c r="AK22" s="544"/>
      <c r="AL22" s="544"/>
      <c r="AM22" s="544"/>
      <c r="AN22" s="478"/>
      <c r="AQ22" s="6"/>
      <c r="AR22" s="117"/>
      <c r="AS22" s="37"/>
      <c r="AT22" s="37"/>
      <c r="AU22" s="37"/>
      <c r="AV22" s="37"/>
      <c r="AW22" s="37"/>
      <c r="AX22" s="37"/>
      <c r="AY22" s="6"/>
      <c r="AZ22" s="6"/>
    </row>
    <row r="23" spans="2:52" ht="15.9">
      <c r="B23" s="520" t="s">
        <v>106</v>
      </c>
      <c r="C23" s="521">
        <v>2527</v>
      </c>
      <c r="D23" s="521">
        <v>3500</v>
      </c>
      <c r="E23" s="521">
        <v>2962</v>
      </c>
      <c r="F23" s="521">
        <v>23201</v>
      </c>
      <c r="G23" s="140">
        <v>18381</v>
      </c>
      <c r="I23" s="130" t="s">
        <v>124</v>
      </c>
      <c r="J23" s="490">
        <v>40626</v>
      </c>
      <c r="K23" s="490">
        <v>45161</v>
      </c>
      <c r="L23" s="490">
        <v>37666</v>
      </c>
      <c r="M23" s="523">
        <v>145122</v>
      </c>
      <c r="N23" s="524">
        <v>92316</v>
      </c>
      <c r="P23" s="564" t="s">
        <v>68</v>
      </c>
      <c r="Q23" s="136">
        <f t="shared" si="12"/>
        <v>-40849</v>
      </c>
      <c r="R23" s="136">
        <f t="shared" si="12"/>
        <v>-40415</v>
      </c>
      <c r="S23" s="136">
        <f t="shared" si="12"/>
        <v>-46216</v>
      </c>
      <c r="T23" s="136">
        <f t="shared" si="12"/>
        <v>-51239</v>
      </c>
      <c r="U23" s="140">
        <f t="shared" si="12"/>
        <v>-87011</v>
      </c>
      <c r="W23" s="126"/>
      <c r="X23" s="127"/>
      <c r="Y23" s="127"/>
      <c r="Z23" s="127"/>
      <c r="AA23" s="127"/>
      <c r="AB23" s="522"/>
      <c r="AD23" s="639" t="s">
        <v>68</v>
      </c>
      <c r="AE23" s="521">
        <f t="shared" si="13"/>
        <v>-40849</v>
      </c>
      <c r="AF23" s="521">
        <f t="shared" si="13"/>
        <v>-40415</v>
      </c>
      <c r="AG23" s="521">
        <f t="shared" si="13"/>
        <v>-46216</v>
      </c>
      <c r="AH23" s="521">
        <f t="shared" si="13"/>
        <v>-51239</v>
      </c>
      <c r="AI23" s="521">
        <f t="shared" si="13"/>
        <v>-87011</v>
      </c>
      <c r="AJ23" s="516"/>
      <c r="AK23" s="516"/>
      <c r="AL23" s="516"/>
      <c r="AM23" s="516"/>
      <c r="AN23" s="517"/>
      <c r="AQ23" s="6"/>
      <c r="AR23" s="117"/>
      <c r="AS23" s="37"/>
      <c r="AT23" s="37"/>
      <c r="AU23" s="37"/>
      <c r="AV23" s="37"/>
      <c r="AW23" s="37"/>
      <c r="AX23" s="37"/>
      <c r="AY23" s="6"/>
      <c r="AZ23" s="6"/>
    </row>
    <row r="24" spans="2:52" ht="15.9">
      <c r="B24" s="126" t="s">
        <v>107</v>
      </c>
      <c r="C24" s="490">
        <v>26435</v>
      </c>
      <c r="D24" s="490">
        <v>28506</v>
      </c>
      <c r="E24" s="490">
        <v>24823</v>
      </c>
      <c r="F24" s="490">
        <v>25815</v>
      </c>
      <c r="G24" s="129">
        <v>32725</v>
      </c>
      <c r="I24" s="130" t="s">
        <v>68</v>
      </c>
      <c r="J24" s="490">
        <v>40849</v>
      </c>
      <c r="K24" s="490">
        <v>40415</v>
      </c>
      <c r="L24" s="490">
        <v>46216</v>
      </c>
      <c r="M24" s="523">
        <v>51239</v>
      </c>
      <c r="N24" s="524">
        <v>87011</v>
      </c>
      <c r="P24" s="564" t="s">
        <v>125</v>
      </c>
      <c r="Q24" s="136">
        <f t="shared" si="12"/>
        <v>-80729</v>
      </c>
      <c r="R24" s="136">
        <f t="shared" si="12"/>
        <v>-104674</v>
      </c>
      <c r="S24" s="136">
        <f t="shared" si="12"/>
        <v>-111812</v>
      </c>
      <c r="T24" s="136">
        <f t="shared" si="12"/>
        <v>-154233</v>
      </c>
      <c r="U24" s="140">
        <f t="shared" si="12"/>
        <v>-167402</v>
      </c>
      <c r="W24" s="126"/>
      <c r="X24" s="127"/>
      <c r="Y24" s="127"/>
      <c r="Z24" s="127"/>
      <c r="AA24" s="127"/>
      <c r="AB24" s="522"/>
      <c r="AD24" s="639" t="s">
        <v>125</v>
      </c>
      <c r="AE24" s="521">
        <f t="shared" si="13"/>
        <v>-80729</v>
      </c>
      <c r="AF24" s="521">
        <f t="shared" si="13"/>
        <v>-104674</v>
      </c>
      <c r="AG24" s="521">
        <f t="shared" si="13"/>
        <v>-111812</v>
      </c>
      <c r="AH24" s="521">
        <f t="shared" si="13"/>
        <v>-154233</v>
      </c>
      <c r="AI24" s="521">
        <f t="shared" si="13"/>
        <v>-167402</v>
      </c>
      <c r="AJ24" s="516"/>
      <c r="AK24" s="516"/>
      <c r="AL24" s="516"/>
      <c r="AM24" s="516"/>
      <c r="AN24" s="517"/>
      <c r="AQ24" s="6"/>
      <c r="AR24" s="117"/>
      <c r="AS24" s="37"/>
      <c r="AT24" s="37"/>
      <c r="AU24" s="37"/>
      <c r="AV24" s="37"/>
      <c r="AW24" s="37"/>
      <c r="AX24" s="37"/>
      <c r="AY24" s="6"/>
      <c r="AZ24" s="6"/>
    </row>
    <row r="25" spans="2:52" ht="15.9">
      <c r="B25" s="126" t="s">
        <v>111</v>
      </c>
      <c r="C25" s="490">
        <v>8372</v>
      </c>
      <c r="D25" s="490">
        <v>4180</v>
      </c>
      <c r="E25" s="490">
        <v>8949</v>
      </c>
      <c r="F25" s="490">
        <v>2305</v>
      </c>
      <c r="G25" s="129">
        <v>0</v>
      </c>
      <c r="I25" s="130" t="s">
        <v>125</v>
      </c>
      <c r="J25" s="490">
        <v>80729</v>
      </c>
      <c r="K25" s="490">
        <v>104674</v>
      </c>
      <c r="L25" s="490">
        <v>111812</v>
      </c>
      <c r="M25" s="523">
        <v>154233</v>
      </c>
      <c r="N25" s="524">
        <v>167402</v>
      </c>
      <c r="P25" s="564" t="s">
        <v>69</v>
      </c>
      <c r="Q25" s="136">
        <f t="shared" si="12"/>
        <v>-61502</v>
      </c>
      <c r="R25" s="136">
        <f t="shared" si="12"/>
        <v>-58139</v>
      </c>
      <c r="S25" s="136">
        <f t="shared" si="12"/>
        <v>-57388</v>
      </c>
      <c r="T25" s="136">
        <f t="shared" si="12"/>
        <v>-160511</v>
      </c>
      <c r="U25" s="140">
        <f t="shared" si="12"/>
        <v>-198883</v>
      </c>
      <c r="W25" s="126"/>
      <c r="X25" s="127"/>
      <c r="Y25" s="127"/>
      <c r="Z25" s="127"/>
      <c r="AA25" s="127"/>
      <c r="AB25" s="522"/>
      <c r="AD25" s="639" t="s">
        <v>69</v>
      </c>
      <c r="AE25" s="521">
        <f t="shared" si="13"/>
        <v>-61502</v>
      </c>
      <c r="AF25" s="521">
        <f t="shared" si="13"/>
        <v>-58139</v>
      </c>
      <c r="AG25" s="521">
        <f t="shared" si="13"/>
        <v>-57388</v>
      </c>
      <c r="AH25" s="521">
        <f t="shared" si="13"/>
        <v>-160511</v>
      </c>
      <c r="AI25" s="521">
        <f t="shared" si="13"/>
        <v>-198883</v>
      </c>
      <c r="AJ25" s="516"/>
      <c r="AK25" s="516"/>
      <c r="AL25" s="516"/>
      <c r="AM25" s="516"/>
      <c r="AN25" s="517"/>
      <c r="AQ25" s="6"/>
      <c r="AR25" s="117"/>
      <c r="AS25" s="37"/>
      <c r="AT25" s="37"/>
      <c r="AU25" s="37"/>
      <c r="AV25" s="37"/>
      <c r="AW25" s="37"/>
      <c r="AX25" s="37"/>
      <c r="AY25" s="6"/>
      <c r="AZ25" s="6"/>
    </row>
    <row r="26" spans="2:52" ht="15.9">
      <c r="B26" s="492" t="s">
        <v>65</v>
      </c>
      <c r="C26" s="529">
        <f>C23+C24+C25</f>
        <v>37334</v>
      </c>
      <c r="D26" s="529">
        <f>D23+D24+D25-1</f>
        <v>36185</v>
      </c>
      <c r="E26" s="529">
        <f>E23+E24+E25-1</f>
        <v>36733</v>
      </c>
      <c r="F26" s="529">
        <f>F23+F24+F25-1</f>
        <v>51320</v>
      </c>
      <c r="G26" s="530">
        <f>G23+G24+G25</f>
        <v>51106</v>
      </c>
      <c r="I26" s="130" t="s">
        <v>126</v>
      </c>
      <c r="J26" s="292"/>
      <c r="K26" s="292"/>
      <c r="L26" s="292"/>
      <c r="M26" s="523">
        <v>11787</v>
      </c>
      <c r="N26" s="524">
        <v>78364</v>
      </c>
      <c r="P26" s="565" t="s">
        <v>48</v>
      </c>
      <c r="Q26" s="168">
        <f>Q18+Q21+Q22+Q23+Q24+Q25</f>
        <v>68072</v>
      </c>
      <c r="R26" s="168">
        <f>R18+R21+R22+R23+R24+R25</f>
        <v>130775</v>
      </c>
      <c r="S26" s="168">
        <f>S18+S21+S22+S23+S24+S25</f>
        <v>65526</v>
      </c>
      <c r="T26" s="168">
        <f>T18+T21+T22+T23+T24+T25</f>
        <v>-49406</v>
      </c>
      <c r="U26" s="170">
        <f>U18+U21+U22+U23+U24+U25</f>
        <v>-154142</v>
      </c>
      <c r="W26" s="126"/>
      <c r="X26" s="127"/>
      <c r="Y26" s="127"/>
      <c r="Z26" s="127"/>
      <c r="AA26" s="127"/>
      <c r="AB26" s="522"/>
      <c r="AD26" s="580" t="s">
        <v>48</v>
      </c>
      <c r="AE26" s="172">
        <f>AE18+AE21+AE22+AE23+AE24+AE25</f>
        <v>68072</v>
      </c>
      <c r="AF26" s="172">
        <f>AF18+AF21+AF22+AF23+AF24+AF25</f>
        <v>130775</v>
      </c>
      <c r="AG26" s="172">
        <f>AG18+AG21+AG22+AG23+AG24+AG25</f>
        <v>65526</v>
      </c>
      <c r="AH26" s="172">
        <f>AH18+AH21+AH22+AH23+AH24+AH25</f>
        <v>-49406</v>
      </c>
      <c r="AI26" s="172">
        <f>AI18+AI21+AI22+AI23+AI24+AI25</f>
        <v>-154142</v>
      </c>
      <c r="AJ26" s="684"/>
      <c r="AK26" s="684"/>
      <c r="AL26" s="684"/>
      <c r="AM26" s="684"/>
      <c r="AN26" s="685"/>
      <c r="AQ26" s="6"/>
      <c r="AR26" s="119"/>
      <c r="AS26" s="6"/>
      <c r="AT26" s="6"/>
      <c r="AU26" s="6"/>
      <c r="AV26" s="6"/>
      <c r="AW26" s="6"/>
      <c r="AX26" s="6"/>
      <c r="AY26" s="6"/>
      <c r="AZ26" s="6"/>
    </row>
    <row r="27" spans="2:52" ht="15.9">
      <c r="B27" s="492" t="s">
        <v>73</v>
      </c>
      <c r="C27" s="529">
        <v>291852</v>
      </c>
      <c r="D27" s="529">
        <v>130071</v>
      </c>
      <c r="E27" s="529">
        <v>242152</v>
      </c>
      <c r="F27" s="529">
        <v>339241</v>
      </c>
      <c r="G27" s="530">
        <v>301276</v>
      </c>
      <c r="I27" s="527" t="s">
        <v>118</v>
      </c>
      <c r="J27" s="490">
        <v>61502</v>
      </c>
      <c r="K27" s="490">
        <v>58139</v>
      </c>
      <c r="L27" s="490">
        <v>57388</v>
      </c>
      <c r="M27" s="523">
        <v>160511</v>
      </c>
      <c r="N27" s="528">
        <v>198883</v>
      </c>
      <c r="P27" s="565" t="s">
        <v>51</v>
      </c>
      <c r="Q27" s="168">
        <f>Q16+Q26</f>
        <v>1269238</v>
      </c>
      <c r="R27" s="168">
        <f>R16+R26</f>
        <v>1358863</v>
      </c>
      <c r="S27" s="168">
        <f>S16+S26</f>
        <v>1305125</v>
      </c>
      <c r="T27" s="168">
        <f>T16+T26</f>
        <v>1640022</v>
      </c>
      <c r="U27" s="170">
        <f>U16+U26</f>
        <v>1575784</v>
      </c>
      <c r="W27" s="126"/>
      <c r="X27" s="127"/>
      <c r="Y27" s="127"/>
      <c r="Z27" s="127"/>
      <c r="AA27" s="127"/>
      <c r="AB27" s="522"/>
      <c r="AD27" s="565" t="s">
        <v>100</v>
      </c>
      <c r="AE27" s="168">
        <f>AE16+AE26</f>
        <v>1269238</v>
      </c>
      <c r="AF27" s="168">
        <f>AF16+AF26</f>
        <v>1358863</v>
      </c>
      <c r="AG27" s="168">
        <f>AG16+AG26</f>
        <v>1305125</v>
      </c>
      <c r="AH27" s="168">
        <f>AH16+AH26</f>
        <v>1640022</v>
      </c>
      <c r="AI27" s="168">
        <f>AI16+AI26</f>
        <v>1575784</v>
      </c>
      <c r="AJ27" s="643"/>
      <c r="AK27" s="643"/>
      <c r="AL27" s="643"/>
      <c r="AM27" s="643"/>
      <c r="AN27" s="644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2:52" ht="15.9">
      <c r="B28" s="531" t="s">
        <v>75</v>
      </c>
      <c r="C28" s="168">
        <f>C22+C26+C27</f>
        <v>551376</v>
      </c>
      <c r="D28" s="168">
        <f>D22+D26+D27-1</f>
        <v>468252</v>
      </c>
      <c r="E28" s="168">
        <f>E22+E26+E27</f>
        <v>532042</v>
      </c>
      <c r="F28" s="168">
        <f>F22+F26+F27</f>
        <v>875549</v>
      </c>
      <c r="G28" s="170">
        <f>G22+G26+G27-1</f>
        <v>834542</v>
      </c>
      <c r="I28" s="535" t="s">
        <v>72</v>
      </c>
      <c r="J28" s="168">
        <f>SUM(J21:J27)</f>
        <v>223706</v>
      </c>
      <c r="K28" s="168">
        <f>SUM(K21:K27)+1</f>
        <v>248390</v>
      </c>
      <c r="L28" s="168">
        <f>SUM(L21:L27)-1</f>
        <v>253081</v>
      </c>
      <c r="M28" s="168">
        <f>SUM(M21:M27)</f>
        <v>920319</v>
      </c>
      <c r="N28" s="168">
        <f>SUM(N21:N27)-1</f>
        <v>918385</v>
      </c>
      <c r="O28" s="1"/>
      <c r="P28" s="126"/>
      <c r="Q28" s="128">
        <f>C50</f>
        <v>0</v>
      </c>
      <c r="R28" s="128">
        <f>D50</f>
        <v>0</v>
      </c>
      <c r="S28" s="128">
        <f>E50</f>
        <v>0</v>
      </c>
      <c r="T28" s="128">
        <f>F50</f>
        <v>0</v>
      </c>
      <c r="U28" s="129">
        <f>G50</f>
        <v>0</v>
      </c>
      <c r="W28" s="126"/>
      <c r="X28" s="127"/>
      <c r="Y28" s="127"/>
      <c r="Z28" s="127"/>
      <c r="AA28" s="127"/>
      <c r="AB28" s="522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2:52" ht="15.9">
      <c r="B29" s="126"/>
      <c r="C29" s="490"/>
      <c r="D29" s="490"/>
      <c r="E29" s="292"/>
      <c r="F29" s="292"/>
      <c r="G29" s="522"/>
      <c r="I29" s="130"/>
      <c r="J29" s="490"/>
      <c r="K29" s="490"/>
      <c r="L29" s="490"/>
      <c r="M29" s="490"/>
      <c r="N29" s="129"/>
      <c r="P29" s="122"/>
      <c r="Q29" s="128">
        <f>Q28</f>
        <v>0</v>
      </c>
      <c r="R29" s="128">
        <f>R28</f>
        <v>0</v>
      </c>
      <c r="S29" s="128">
        <f>S28</f>
        <v>0</v>
      </c>
      <c r="T29" s="128">
        <f>T28</f>
        <v>0</v>
      </c>
      <c r="U29" s="129">
        <f>U28</f>
        <v>0</v>
      </c>
      <c r="W29" s="126"/>
      <c r="X29" s="127"/>
      <c r="Y29" s="127"/>
      <c r="Z29" s="127"/>
      <c r="AA29" s="127"/>
      <c r="AB29" s="522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2:52" ht="15.9">
      <c r="B30" s="531" t="s">
        <v>76</v>
      </c>
      <c r="C30" s="168">
        <f>C17+C28</f>
        <v>2102891</v>
      </c>
      <c r="D30" s="168">
        <f>D17+D28</f>
        <v>2030924</v>
      </c>
      <c r="E30" s="168">
        <f>E17+E28</f>
        <v>2092993</v>
      </c>
      <c r="F30" s="168">
        <f>F17+F28</f>
        <v>3465223</v>
      </c>
      <c r="G30" s="170">
        <f>G17+G28+1</f>
        <v>3464935</v>
      </c>
      <c r="I30" s="535" t="s">
        <v>74</v>
      </c>
      <c r="J30" s="168">
        <f>J18+J28+1</f>
        <v>1100600</v>
      </c>
      <c r="K30" s="168">
        <f>K18+K28</f>
        <v>1012408</v>
      </c>
      <c r="L30" s="168">
        <f>L18+L28</f>
        <v>1002306</v>
      </c>
      <c r="M30" s="168">
        <f>M18+M28</f>
        <v>2315063</v>
      </c>
      <c r="N30" s="170">
        <f>N18+N28+1</f>
        <v>2280333</v>
      </c>
      <c r="P30" s="126" t="s">
        <v>73</v>
      </c>
      <c r="Q30" s="128">
        <f t="shared" ref="Q30:U31" si="14">C52</f>
        <v>291852</v>
      </c>
      <c r="R30" s="128">
        <f t="shared" si="14"/>
        <v>130071</v>
      </c>
      <c r="S30" s="128">
        <f t="shared" si="14"/>
        <v>242152</v>
      </c>
      <c r="T30" s="128">
        <f t="shared" si="14"/>
        <v>339241</v>
      </c>
      <c r="U30" s="129">
        <f t="shared" si="14"/>
        <v>301276</v>
      </c>
      <c r="W30" s="126"/>
      <c r="X30" s="127"/>
      <c r="Y30" s="127"/>
      <c r="Z30" s="127"/>
      <c r="AA30" s="127"/>
      <c r="AB30" s="522"/>
      <c r="AD30" s="101" t="s">
        <v>342</v>
      </c>
      <c r="AE30" s="102">
        <v>2016</v>
      </c>
      <c r="AF30" s="102">
        <v>2017</v>
      </c>
      <c r="AG30" s="102">
        <v>2018</v>
      </c>
      <c r="AH30" s="102">
        <v>2019</v>
      </c>
      <c r="AI30" s="102">
        <v>2020</v>
      </c>
      <c r="AJ30" s="645">
        <v>2021</v>
      </c>
      <c r="AK30" s="645">
        <v>2022</v>
      </c>
      <c r="AL30" s="645">
        <v>2023</v>
      </c>
      <c r="AM30" s="645">
        <v>2024</v>
      </c>
      <c r="AN30" s="646">
        <v>2025</v>
      </c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2:52">
      <c r="I31" s="130"/>
      <c r="J31" s="490"/>
      <c r="K31" s="490"/>
      <c r="L31" s="490"/>
      <c r="M31" s="490"/>
      <c r="N31" s="129"/>
      <c r="P31" s="126" t="s">
        <v>111</v>
      </c>
      <c r="Q31" s="128">
        <f t="shared" si="14"/>
        <v>8372</v>
      </c>
      <c r="R31" s="128">
        <f t="shared" si="14"/>
        <v>4180</v>
      </c>
      <c r="S31" s="128">
        <f t="shared" si="14"/>
        <v>8949</v>
      </c>
      <c r="T31" s="128">
        <f t="shared" si="14"/>
        <v>2305</v>
      </c>
      <c r="U31" s="129">
        <f t="shared" si="14"/>
        <v>0</v>
      </c>
      <c r="W31" s="126"/>
      <c r="X31" s="127"/>
      <c r="Y31" s="127"/>
      <c r="Z31" s="127"/>
      <c r="AA31" s="127"/>
      <c r="AB31" s="522"/>
      <c r="AD31" s="130" t="s">
        <v>45</v>
      </c>
      <c r="AE31" s="128">
        <f t="shared" ref="AE31:AI33" si="15">X39</f>
        <v>48774</v>
      </c>
      <c r="AF31" s="128">
        <f t="shared" si="15"/>
        <v>48774</v>
      </c>
      <c r="AG31" s="128">
        <f t="shared" si="15"/>
        <v>48774</v>
      </c>
      <c r="AH31" s="128">
        <f t="shared" si="15"/>
        <v>48774</v>
      </c>
      <c r="AI31" s="128">
        <f t="shared" si="15"/>
        <v>48770</v>
      </c>
      <c r="AJ31" s="128"/>
      <c r="AK31" s="128"/>
      <c r="AL31" s="128"/>
      <c r="AM31" s="128"/>
      <c r="AN31" s="129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2:52">
      <c r="I32" s="126"/>
      <c r="J32" s="292"/>
      <c r="K32" s="292"/>
      <c r="L32" s="292"/>
      <c r="M32" s="292"/>
      <c r="N32" s="522"/>
      <c r="P32" s="98" t="s">
        <v>112</v>
      </c>
      <c r="Q32" s="233">
        <f>SUM(Q28:Q31)</f>
        <v>300224</v>
      </c>
      <c r="R32" s="233">
        <f>SUM(R28:R31)</f>
        <v>134251</v>
      </c>
      <c r="S32" s="233">
        <f>SUM(S28:S31)</f>
        <v>251101</v>
      </c>
      <c r="T32" s="233">
        <f>SUM(T28:T31)</f>
        <v>341546</v>
      </c>
      <c r="U32" s="224">
        <f>SUM(U28:U31)</f>
        <v>301276</v>
      </c>
      <c r="W32" s="126"/>
      <c r="X32" s="127"/>
      <c r="Y32" s="127"/>
      <c r="Z32" s="127"/>
      <c r="AA32" s="127"/>
      <c r="AB32" s="522"/>
      <c r="AD32" s="130" t="s">
        <v>114</v>
      </c>
      <c r="AE32" s="128">
        <f t="shared" si="15"/>
        <v>321049</v>
      </c>
      <c r="AF32" s="128">
        <f t="shared" si="15"/>
        <v>321049</v>
      </c>
      <c r="AG32" s="128">
        <f t="shared" si="15"/>
        <v>321049</v>
      </c>
      <c r="AH32" s="128">
        <f t="shared" si="15"/>
        <v>321049</v>
      </c>
      <c r="AI32" s="128">
        <f t="shared" si="15"/>
        <v>321050</v>
      </c>
      <c r="AJ32" s="128"/>
      <c r="AK32" s="128"/>
      <c r="AL32" s="128"/>
      <c r="AM32" s="128"/>
      <c r="AN32" s="129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2:52" ht="15.9">
      <c r="C33" s="2"/>
      <c r="D33" s="2"/>
      <c r="E33" s="2"/>
      <c r="F33" s="2"/>
      <c r="I33" s="535" t="s">
        <v>77</v>
      </c>
      <c r="J33" s="168">
        <f>J11+J30-1</f>
        <v>2102891</v>
      </c>
      <c r="K33" s="168">
        <f>K11+K30</f>
        <v>2030924</v>
      </c>
      <c r="L33" s="168">
        <f>L11+L30</f>
        <v>2092993</v>
      </c>
      <c r="M33" s="168">
        <f>M11+M30-2</f>
        <v>3465222</v>
      </c>
      <c r="N33" s="170">
        <f>N11+N30+1</f>
        <v>3464935</v>
      </c>
      <c r="P33" s="531" t="s">
        <v>78</v>
      </c>
      <c r="Q33" s="170">
        <f>Q29+Q32</f>
        <v>300224</v>
      </c>
      <c r="R33" s="170">
        <f>R29+R32</f>
        <v>134251</v>
      </c>
      <c r="S33" s="170">
        <f>S29+S32</f>
        <v>251101</v>
      </c>
      <c r="T33" s="170">
        <f>T29+T32</f>
        <v>341546</v>
      </c>
      <c r="U33" s="170">
        <f>U29+U32</f>
        <v>301276</v>
      </c>
      <c r="W33" s="126"/>
      <c r="X33" s="127"/>
      <c r="Y33" s="127"/>
      <c r="Z33" s="127"/>
      <c r="AA33" s="127"/>
      <c r="AB33" s="522"/>
      <c r="AD33" s="130" t="s">
        <v>115</v>
      </c>
      <c r="AE33" s="128">
        <f t="shared" si="15"/>
        <v>64617</v>
      </c>
      <c r="AF33" s="128">
        <f t="shared" si="15"/>
        <v>64617</v>
      </c>
      <c r="AG33" s="128">
        <f t="shared" si="15"/>
        <v>64617</v>
      </c>
      <c r="AH33" s="128">
        <f t="shared" si="15"/>
        <v>64617</v>
      </c>
      <c r="AI33" s="128">
        <f t="shared" si="15"/>
        <v>64617</v>
      </c>
      <c r="AJ33" s="128"/>
      <c r="AK33" s="128"/>
      <c r="AL33" s="128"/>
      <c r="AM33" s="128"/>
      <c r="AN33" s="129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2:52" ht="15.9">
      <c r="P34" s="531" t="s">
        <v>79</v>
      </c>
      <c r="Q34" s="168">
        <f>Q27+Q33</f>
        <v>1569462</v>
      </c>
      <c r="R34" s="168">
        <f>R27+R33</f>
        <v>1493114</v>
      </c>
      <c r="S34" s="168">
        <f>S27+S33</f>
        <v>1556226</v>
      </c>
      <c r="T34" s="168">
        <f>T27+T33</f>
        <v>1981568</v>
      </c>
      <c r="U34" s="170">
        <f>U27+U33</f>
        <v>1877060</v>
      </c>
      <c r="W34" s="637" t="s">
        <v>130</v>
      </c>
      <c r="X34" s="172">
        <f>X10+X15</f>
        <v>1569462</v>
      </c>
      <c r="Y34" s="172">
        <f>Y10+Y15+3</f>
        <v>1493114</v>
      </c>
      <c r="Z34" s="172">
        <f>Z10+Z15</f>
        <v>1556226</v>
      </c>
      <c r="AA34" s="172">
        <f>AA10+AA15</f>
        <v>1981568</v>
      </c>
      <c r="AB34" s="581">
        <f>AB10+AB15+2</f>
        <v>1877060</v>
      </c>
      <c r="AD34" s="536" t="s">
        <v>116</v>
      </c>
      <c r="AE34" s="233">
        <f>SUM(AE31:AE33)</f>
        <v>434440</v>
      </c>
      <c r="AF34" s="233">
        <f>SUM(AF31:AF33)</f>
        <v>434440</v>
      </c>
      <c r="AG34" s="233">
        <f>SUM(AG31:AG33)</f>
        <v>434440</v>
      </c>
      <c r="AH34" s="233">
        <f>SUM(AH31:AH33)</f>
        <v>434440</v>
      </c>
      <c r="AI34" s="233">
        <f>SUM(AI31:AI33)</f>
        <v>434437</v>
      </c>
      <c r="AJ34" s="539"/>
      <c r="AK34" s="539"/>
      <c r="AL34" s="539"/>
      <c r="AM34" s="539"/>
      <c r="AN34" s="517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2:52" ht="15.9">
      <c r="AD35" s="130" t="s">
        <v>117</v>
      </c>
      <c r="AE35" s="128">
        <f t="shared" ref="AE35:AI36" si="16">X43</f>
        <v>6370</v>
      </c>
      <c r="AF35" s="128">
        <f t="shared" si="16"/>
        <v>3205</v>
      </c>
      <c r="AG35" s="128">
        <f t="shared" si="16"/>
        <v>8265</v>
      </c>
      <c r="AH35" s="128">
        <f t="shared" si="16"/>
        <v>-10148</v>
      </c>
      <c r="AI35" s="128">
        <f t="shared" si="16"/>
        <v>0</v>
      </c>
      <c r="AJ35" s="539"/>
      <c r="AK35" s="539"/>
      <c r="AL35" s="539"/>
      <c r="AM35" s="539"/>
      <c r="AN35" s="517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2:52">
      <c r="AD36" s="130" t="s">
        <v>49</v>
      </c>
      <c r="AE36" s="128">
        <f t="shared" si="16"/>
        <v>561482</v>
      </c>
      <c r="AF36" s="128">
        <f t="shared" si="16"/>
        <v>580872</v>
      </c>
      <c r="AG36" s="128">
        <f t="shared" si="16"/>
        <v>647982</v>
      </c>
      <c r="AH36" s="128">
        <f t="shared" si="16"/>
        <v>725869</v>
      </c>
      <c r="AI36" s="128">
        <f t="shared" si="16"/>
        <v>750164</v>
      </c>
      <c r="AJ36" s="127"/>
      <c r="AK36" s="127"/>
      <c r="AL36" s="127"/>
      <c r="AM36" s="127"/>
      <c r="AN36" s="522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2:52" ht="15.9">
      <c r="B37" s="669" t="s">
        <v>80</v>
      </c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1"/>
      <c r="P37" s="465" t="s">
        <v>340</v>
      </c>
      <c r="Q37" s="670" t="s">
        <v>81</v>
      </c>
      <c r="R37" s="670"/>
      <c r="S37" s="670"/>
      <c r="T37" s="670"/>
      <c r="U37" s="670"/>
      <c r="V37" s="670"/>
      <c r="W37" s="670"/>
      <c r="X37" s="670"/>
      <c r="Y37" s="670"/>
      <c r="Z37" s="670"/>
      <c r="AA37" s="466"/>
      <c r="AB37" s="575"/>
      <c r="AD37" s="535" t="s">
        <v>131</v>
      </c>
      <c r="AE37" s="168">
        <f>AE34+AE35+AE36</f>
        <v>1002292</v>
      </c>
      <c r="AF37" s="168">
        <f>AF34+AF35+AF36</f>
        <v>1018517</v>
      </c>
      <c r="AG37" s="168">
        <f>AG34+AG35+AG36</f>
        <v>1090687</v>
      </c>
      <c r="AH37" s="168">
        <f>AH34+AH35+AH36</f>
        <v>1150161</v>
      </c>
      <c r="AI37" s="168">
        <f>AI34+AI35+AI36</f>
        <v>1184601</v>
      </c>
      <c r="AJ37" s="127"/>
      <c r="AK37" s="127"/>
      <c r="AL37" s="127"/>
      <c r="AM37" s="127"/>
      <c r="AN37" s="522"/>
    </row>
    <row r="38" spans="2:52" ht="15.9">
      <c r="B38" s="171" t="s">
        <v>41</v>
      </c>
      <c r="C38" s="142">
        <v>2016</v>
      </c>
      <c r="D38" s="142">
        <v>2017</v>
      </c>
      <c r="E38" s="174">
        <v>2018</v>
      </c>
      <c r="F38" s="174">
        <v>2019</v>
      </c>
      <c r="G38" s="174">
        <v>2020</v>
      </c>
      <c r="H38" s="513"/>
      <c r="I38" s="174" t="s">
        <v>42</v>
      </c>
      <c r="J38" s="142">
        <v>2016</v>
      </c>
      <c r="K38" s="142">
        <v>2017</v>
      </c>
      <c r="L38" s="174">
        <v>2018</v>
      </c>
      <c r="M38" s="174">
        <v>2019</v>
      </c>
      <c r="N38" s="175">
        <v>2020</v>
      </c>
      <c r="P38" s="101" t="s">
        <v>341</v>
      </c>
      <c r="Q38" s="488">
        <v>2016</v>
      </c>
      <c r="R38" s="488">
        <v>2017</v>
      </c>
      <c r="S38" s="102">
        <v>2018</v>
      </c>
      <c r="T38" s="102">
        <v>2019</v>
      </c>
      <c r="U38" s="102">
        <v>2020</v>
      </c>
      <c r="V38" s="511"/>
      <c r="W38" s="102" t="s">
        <v>42</v>
      </c>
      <c r="X38" s="488">
        <v>2016</v>
      </c>
      <c r="Y38" s="488">
        <v>2017</v>
      </c>
      <c r="Z38" s="102">
        <v>2018</v>
      </c>
      <c r="AA38" s="102">
        <v>2019</v>
      </c>
      <c r="AB38" s="103">
        <v>2020</v>
      </c>
      <c r="AD38" s="139" t="s">
        <v>121</v>
      </c>
      <c r="AE38" s="128">
        <f t="shared" ref="AE38:AI41" si="17">X46</f>
        <v>526544</v>
      </c>
      <c r="AF38" s="128">
        <f t="shared" si="17"/>
        <v>429433</v>
      </c>
      <c r="AG38" s="128">
        <f t="shared" si="17"/>
        <v>427873</v>
      </c>
      <c r="AH38" s="128">
        <f t="shared" si="17"/>
        <v>494498</v>
      </c>
      <c r="AI38" s="128">
        <f t="shared" si="17"/>
        <v>461480</v>
      </c>
      <c r="AJ38" s="127"/>
      <c r="AK38" s="127"/>
      <c r="AL38" s="537" t="s">
        <v>344</v>
      </c>
      <c r="AM38" s="127"/>
      <c r="AN38" s="522"/>
    </row>
    <row r="39" spans="2:52">
      <c r="B39" s="525" t="s">
        <v>104</v>
      </c>
      <c r="C39" s="123">
        <f t="shared" ref="C39:G42" si="18">C5</f>
        <v>1463023</v>
      </c>
      <c r="D39" s="123">
        <f t="shared" si="18"/>
        <v>1462354</v>
      </c>
      <c r="E39" s="123">
        <f t="shared" si="18"/>
        <v>1462889</v>
      </c>
      <c r="F39" s="123">
        <f t="shared" si="18"/>
        <v>1520250</v>
      </c>
      <c r="G39" s="124">
        <f t="shared" si="18"/>
        <v>1521108</v>
      </c>
      <c r="I39" s="171" t="s">
        <v>44</v>
      </c>
      <c r="J39" s="513"/>
      <c r="K39" s="513"/>
      <c r="L39" s="513"/>
      <c r="M39" s="513"/>
      <c r="N39" s="514"/>
      <c r="P39" s="638" t="s">
        <v>104</v>
      </c>
      <c r="Q39" s="582">
        <f t="shared" ref="Q39:U42" si="19">Q4</f>
        <v>1463023</v>
      </c>
      <c r="R39" s="582">
        <f t="shared" si="19"/>
        <v>1462354</v>
      </c>
      <c r="S39" s="582">
        <f t="shared" si="19"/>
        <v>1462889</v>
      </c>
      <c r="T39" s="582">
        <f t="shared" si="19"/>
        <v>1520250</v>
      </c>
      <c r="U39" s="583">
        <f t="shared" si="19"/>
        <v>1521108</v>
      </c>
      <c r="W39" s="130" t="s">
        <v>45</v>
      </c>
      <c r="X39" s="490">
        <f t="shared" ref="X39:AB41" si="20">X4</f>
        <v>48774</v>
      </c>
      <c r="Y39" s="490">
        <f t="shared" si="20"/>
        <v>48774</v>
      </c>
      <c r="Z39" s="490">
        <f t="shared" si="20"/>
        <v>48774</v>
      </c>
      <c r="AA39" s="490">
        <f t="shared" si="20"/>
        <v>48774</v>
      </c>
      <c r="AB39" s="129">
        <f t="shared" si="20"/>
        <v>48770</v>
      </c>
      <c r="AD39" s="126" t="s">
        <v>123</v>
      </c>
      <c r="AE39" s="128">
        <f t="shared" si="17"/>
        <v>0</v>
      </c>
      <c r="AF39" s="128">
        <f t="shared" si="17"/>
        <v>0</v>
      </c>
      <c r="AG39" s="128">
        <f t="shared" si="17"/>
        <v>0</v>
      </c>
      <c r="AH39" s="128">
        <f t="shared" si="17"/>
        <v>180000</v>
      </c>
      <c r="AI39" s="128">
        <f t="shared" si="17"/>
        <v>60297</v>
      </c>
      <c r="AJ39" s="127"/>
      <c r="AK39" s="127"/>
      <c r="AL39" s="127"/>
      <c r="AM39" s="127"/>
      <c r="AN39" s="522"/>
    </row>
    <row r="40" spans="2:52">
      <c r="B40" s="126" t="s">
        <v>105</v>
      </c>
      <c r="C40" s="128">
        <f t="shared" si="18"/>
        <v>0</v>
      </c>
      <c r="D40" s="128">
        <f t="shared" si="18"/>
        <v>8423</v>
      </c>
      <c r="E40" s="128">
        <f t="shared" si="18"/>
        <v>6532</v>
      </c>
      <c r="F40" s="128">
        <f t="shared" si="18"/>
        <v>0</v>
      </c>
      <c r="G40" s="129">
        <f t="shared" si="18"/>
        <v>0</v>
      </c>
      <c r="I40" s="125" t="s">
        <v>45</v>
      </c>
      <c r="J40" s="123">
        <f t="shared" ref="J40:N42" si="21">J5</f>
        <v>48774</v>
      </c>
      <c r="K40" s="123">
        <f t="shared" si="21"/>
        <v>48774</v>
      </c>
      <c r="L40" s="123">
        <f t="shared" si="21"/>
        <v>48774</v>
      </c>
      <c r="M40" s="123">
        <f t="shared" si="21"/>
        <v>48774</v>
      </c>
      <c r="N40" s="124">
        <f t="shared" si="21"/>
        <v>48770</v>
      </c>
      <c r="P40" s="479" t="s">
        <v>105</v>
      </c>
      <c r="Q40" s="474">
        <f t="shared" si="19"/>
        <v>0</v>
      </c>
      <c r="R40" s="474">
        <f t="shared" si="19"/>
        <v>8423</v>
      </c>
      <c r="S40" s="474">
        <f t="shared" si="19"/>
        <v>6532</v>
      </c>
      <c r="T40" s="474">
        <f t="shared" si="19"/>
        <v>0</v>
      </c>
      <c r="U40" s="478">
        <f t="shared" si="19"/>
        <v>0</v>
      </c>
      <c r="W40" s="130" t="s">
        <v>114</v>
      </c>
      <c r="X40" s="490">
        <f t="shared" si="20"/>
        <v>321049</v>
      </c>
      <c r="Y40" s="490">
        <f t="shared" si="20"/>
        <v>321049</v>
      </c>
      <c r="Z40" s="490">
        <f t="shared" si="20"/>
        <v>321049</v>
      </c>
      <c r="AA40" s="490">
        <f t="shared" si="20"/>
        <v>321049</v>
      </c>
      <c r="AB40" s="129">
        <f t="shared" si="20"/>
        <v>321050</v>
      </c>
      <c r="AD40" s="130" t="s">
        <v>124</v>
      </c>
      <c r="AE40" s="128">
        <f t="shared" si="17"/>
        <v>40626</v>
      </c>
      <c r="AF40" s="128">
        <f t="shared" si="17"/>
        <v>45161</v>
      </c>
      <c r="AG40" s="128">
        <f t="shared" si="17"/>
        <v>37666</v>
      </c>
      <c r="AH40" s="128">
        <f t="shared" si="17"/>
        <v>145122</v>
      </c>
      <c r="AI40" s="128">
        <f t="shared" si="17"/>
        <v>92316</v>
      </c>
      <c r="AJ40" s="127"/>
      <c r="AK40" s="127"/>
      <c r="AL40" s="127"/>
      <c r="AM40" s="127"/>
      <c r="AN40" s="522"/>
    </row>
    <row r="41" spans="2:52" ht="15.9">
      <c r="B41" s="126" t="s">
        <v>108</v>
      </c>
      <c r="C41" s="128">
        <f t="shared" si="18"/>
        <v>0</v>
      </c>
      <c r="D41" s="128">
        <f t="shared" si="18"/>
        <v>0</v>
      </c>
      <c r="E41" s="128">
        <f t="shared" si="18"/>
        <v>0</v>
      </c>
      <c r="F41" s="128">
        <f t="shared" si="18"/>
        <v>65402</v>
      </c>
      <c r="G41" s="129">
        <f t="shared" si="18"/>
        <v>72280</v>
      </c>
      <c r="I41" s="130" t="s">
        <v>114</v>
      </c>
      <c r="J41" s="128">
        <f t="shared" si="21"/>
        <v>321049</v>
      </c>
      <c r="K41" s="128">
        <f t="shared" si="21"/>
        <v>321049</v>
      </c>
      <c r="L41" s="128">
        <f t="shared" si="21"/>
        <v>321049</v>
      </c>
      <c r="M41" s="128">
        <f t="shared" si="21"/>
        <v>321049</v>
      </c>
      <c r="N41" s="129">
        <f t="shared" si="21"/>
        <v>321050</v>
      </c>
      <c r="P41" s="479" t="s">
        <v>108</v>
      </c>
      <c r="Q41" s="474">
        <f t="shared" si="19"/>
        <v>0</v>
      </c>
      <c r="R41" s="474">
        <f t="shared" si="19"/>
        <v>0</v>
      </c>
      <c r="S41" s="474">
        <f t="shared" si="19"/>
        <v>0</v>
      </c>
      <c r="T41" s="474">
        <f t="shared" si="19"/>
        <v>65402</v>
      </c>
      <c r="U41" s="478">
        <f t="shared" si="19"/>
        <v>72280</v>
      </c>
      <c r="W41" s="130" t="s">
        <v>115</v>
      </c>
      <c r="X41" s="490">
        <f t="shared" si="20"/>
        <v>64617</v>
      </c>
      <c r="Y41" s="490">
        <f t="shared" si="20"/>
        <v>64617</v>
      </c>
      <c r="Z41" s="490">
        <f t="shared" si="20"/>
        <v>64617</v>
      </c>
      <c r="AA41" s="490">
        <f t="shared" si="20"/>
        <v>64617</v>
      </c>
      <c r="AB41" s="129">
        <f t="shared" si="20"/>
        <v>64617</v>
      </c>
      <c r="AD41" s="130" t="s">
        <v>126</v>
      </c>
      <c r="AE41" s="128">
        <f t="shared" si="17"/>
        <v>0</v>
      </c>
      <c r="AF41" s="128">
        <f t="shared" si="17"/>
        <v>0</v>
      </c>
      <c r="AG41" s="128">
        <f t="shared" si="17"/>
        <v>0</v>
      </c>
      <c r="AH41" s="128">
        <f t="shared" si="17"/>
        <v>11787</v>
      </c>
      <c r="AI41" s="128">
        <f t="shared" si="17"/>
        <v>78364</v>
      </c>
      <c r="AJ41" s="539"/>
      <c r="AK41" s="539"/>
      <c r="AL41" s="539"/>
      <c r="AM41" s="539"/>
      <c r="AN41" s="517"/>
    </row>
    <row r="42" spans="2:52" ht="15.9">
      <c r="B42" s="126" t="s">
        <v>109</v>
      </c>
      <c r="C42" s="128">
        <f t="shared" si="18"/>
        <v>0</v>
      </c>
      <c r="D42" s="128">
        <f t="shared" si="18"/>
        <v>0</v>
      </c>
      <c r="E42" s="128">
        <f t="shared" si="18"/>
        <v>0</v>
      </c>
      <c r="F42" s="128">
        <f t="shared" si="18"/>
        <v>2185</v>
      </c>
      <c r="G42" s="129">
        <f t="shared" si="18"/>
        <v>15810</v>
      </c>
      <c r="I42" s="130" t="s">
        <v>115</v>
      </c>
      <c r="J42" s="128">
        <f t="shared" si="21"/>
        <v>64617</v>
      </c>
      <c r="K42" s="128">
        <f t="shared" si="21"/>
        <v>64617</v>
      </c>
      <c r="L42" s="128">
        <f t="shared" si="21"/>
        <v>64617</v>
      </c>
      <c r="M42" s="128">
        <f t="shared" si="21"/>
        <v>64617</v>
      </c>
      <c r="N42" s="129">
        <f t="shared" si="21"/>
        <v>64617</v>
      </c>
      <c r="P42" s="479" t="s">
        <v>109</v>
      </c>
      <c r="Q42" s="474">
        <f t="shared" si="19"/>
        <v>0</v>
      </c>
      <c r="R42" s="474">
        <f t="shared" si="19"/>
        <v>0</v>
      </c>
      <c r="S42" s="474">
        <f t="shared" si="19"/>
        <v>0</v>
      </c>
      <c r="T42" s="474">
        <f t="shared" si="19"/>
        <v>2185</v>
      </c>
      <c r="U42" s="478">
        <f t="shared" si="19"/>
        <v>15810</v>
      </c>
      <c r="W42" s="536" t="s">
        <v>116</v>
      </c>
      <c r="X42" s="534">
        <f>SUM(X39:X41)</f>
        <v>434440</v>
      </c>
      <c r="Y42" s="534">
        <f>SUM(Y39:Y41)</f>
        <v>434440</v>
      </c>
      <c r="Z42" s="534">
        <f>SUM(Z39:Z41)</f>
        <v>434440</v>
      </c>
      <c r="AA42" s="534">
        <f>SUM(AA39:AA41)</f>
        <v>434440</v>
      </c>
      <c r="AB42" s="224">
        <f>SUM(AB39:AB41)</f>
        <v>434437</v>
      </c>
      <c r="AD42" s="571"/>
      <c r="AE42" s="128"/>
      <c r="AF42" s="128"/>
      <c r="AG42" s="128"/>
      <c r="AH42" s="128"/>
      <c r="AI42" s="128"/>
      <c r="AJ42" s="128"/>
      <c r="AK42" s="128"/>
      <c r="AL42" s="128"/>
      <c r="AM42" s="128"/>
      <c r="AN42" s="129"/>
    </row>
    <row r="43" spans="2:52" ht="15.9">
      <c r="B43" s="492" t="s">
        <v>47</v>
      </c>
      <c r="C43" s="540">
        <f>C39+C40+C41+C42</f>
        <v>1463023</v>
      </c>
      <c r="D43" s="540">
        <f>D39+D40+D41+D42</f>
        <v>1470777</v>
      </c>
      <c r="E43" s="540">
        <f>E39+E40+E41+E42</f>
        <v>1469421</v>
      </c>
      <c r="F43" s="540">
        <f>F39+F40+F41+F42-1</f>
        <v>1587836</v>
      </c>
      <c r="G43" s="530">
        <f>G39+G40+G41+G42-1</f>
        <v>1609197</v>
      </c>
      <c r="I43" s="536" t="s">
        <v>116</v>
      </c>
      <c r="J43" s="540">
        <f>J40+J41+J42</f>
        <v>434440</v>
      </c>
      <c r="K43" s="540">
        <f>K40+K41+K42</f>
        <v>434440</v>
      </c>
      <c r="L43" s="540">
        <f>L40+L41+L42</f>
        <v>434440</v>
      </c>
      <c r="M43" s="540">
        <f>M40+M41+M42</f>
        <v>434440</v>
      </c>
      <c r="N43" s="530">
        <f>N40+N41+N42</f>
        <v>434437</v>
      </c>
      <c r="P43" s="492" t="s">
        <v>47</v>
      </c>
      <c r="Q43" s="540">
        <f>SUM(Q39:Q42)</f>
        <v>1463023</v>
      </c>
      <c r="R43" s="540">
        <f>SUM(R39:R42)</f>
        <v>1470777</v>
      </c>
      <c r="S43" s="540">
        <f>SUM(S39:S42)</f>
        <v>1469421</v>
      </c>
      <c r="T43" s="540">
        <f>SUM(T39:T42)</f>
        <v>1587837</v>
      </c>
      <c r="U43" s="530">
        <f>SUM(U39:U42)</f>
        <v>1609198</v>
      </c>
      <c r="W43" s="130" t="s">
        <v>117</v>
      </c>
      <c r="X43" s="490">
        <f t="shared" ref="X43:AB44" si="22">X8</f>
        <v>6370</v>
      </c>
      <c r="Y43" s="490">
        <f t="shared" si="22"/>
        <v>3205</v>
      </c>
      <c r="Z43" s="490">
        <f t="shared" si="22"/>
        <v>8265</v>
      </c>
      <c r="AA43" s="490">
        <f t="shared" si="22"/>
        <v>-10148</v>
      </c>
      <c r="AB43" s="129">
        <f t="shared" si="22"/>
        <v>0</v>
      </c>
      <c r="AD43" s="641"/>
      <c r="AE43" s="128"/>
      <c r="AF43" s="128"/>
      <c r="AG43" s="128"/>
      <c r="AH43" s="128"/>
      <c r="AI43" s="128"/>
      <c r="AJ43" s="128"/>
      <c r="AK43" s="128"/>
      <c r="AL43" s="128"/>
      <c r="AM43" s="128"/>
      <c r="AN43" s="129"/>
    </row>
    <row r="44" spans="2:52">
      <c r="B44" s="126" t="s">
        <v>110</v>
      </c>
      <c r="C44" s="128">
        <f t="shared" ref="C44:G45" si="23">C10</f>
        <v>0</v>
      </c>
      <c r="D44" s="128">
        <f t="shared" si="23"/>
        <v>0</v>
      </c>
      <c r="E44" s="128">
        <f t="shared" si="23"/>
        <v>0</v>
      </c>
      <c r="F44" s="128">
        <f t="shared" si="23"/>
        <v>822604</v>
      </c>
      <c r="G44" s="129">
        <f t="shared" si="23"/>
        <v>821683</v>
      </c>
      <c r="I44" s="130" t="s">
        <v>117</v>
      </c>
      <c r="J44" s="128">
        <f t="shared" ref="J44:N45" si="24">J9</f>
        <v>6370</v>
      </c>
      <c r="K44" s="128">
        <f t="shared" si="24"/>
        <v>3205</v>
      </c>
      <c r="L44" s="128">
        <f t="shared" si="24"/>
        <v>8265</v>
      </c>
      <c r="M44" s="128">
        <f t="shared" si="24"/>
        <v>-10148</v>
      </c>
      <c r="N44" s="129">
        <f t="shared" si="24"/>
        <v>0</v>
      </c>
      <c r="P44" s="479" t="s">
        <v>128</v>
      </c>
      <c r="Q44" s="474">
        <f t="shared" ref="Q44:U45" si="25">Q9</f>
        <v>0</v>
      </c>
      <c r="R44" s="474">
        <f t="shared" si="25"/>
        <v>0</v>
      </c>
      <c r="S44" s="474">
        <f t="shared" si="25"/>
        <v>0</v>
      </c>
      <c r="T44" s="474">
        <f t="shared" si="25"/>
        <v>822604</v>
      </c>
      <c r="U44" s="478">
        <f t="shared" si="25"/>
        <v>821683</v>
      </c>
      <c r="W44" s="130" t="s">
        <v>49</v>
      </c>
      <c r="X44" s="490">
        <f t="shared" si="22"/>
        <v>561482</v>
      </c>
      <c r="Y44" s="490">
        <f t="shared" si="22"/>
        <v>580872</v>
      </c>
      <c r="Z44" s="490">
        <f t="shared" si="22"/>
        <v>647982</v>
      </c>
      <c r="AA44" s="490">
        <f t="shared" si="22"/>
        <v>725869</v>
      </c>
      <c r="AB44" s="129">
        <f t="shared" si="22"/>
        <v>750164</v>
      </c>
      <c r="AD44" s="571" t="s">
        <v>73</v>
      </c>
      <c r="AE44" s="128">
        <f t="shared" ref="AE44:AI45" si="26">X52</f>
        <v>-291852</v>
      </c>
      <c r="AF44" s="128">
        <f t="shared" si="26"/>
        <v>-130071</v>
      </c>
      <c r="AG44" s="128">
        <f t="shared" si="26"/>
        <v>-242152</v>
      </c>
      <c r="AH44" s="128">
        <f t="shared" si="26"/>
        <v>-339241</v>
      </c>
      <c r="AI44" s="128">
        <f t="shared" si="26"/>
        <v>-301276</v>
      </c>
      <c r="AJ44" s="128"/>
      <c r="AK44" s="128"/>
      <c r="AL44" s="128"/>
      <c r="AM44" s="128"/>
      <c r="AN44" s="129"/>
    </row>
    <row r="45" spans="2:52" ht="15.9">
      <c r="B45" s="126" t="s">
        <v>55</v>
      </c>
      <c r="C45" s="128">
        <f t="shared" si="23"/>
        <v>88492</v>
      </c>
      <c r="D45" s="128">
        <f t="shared" si="23"/>
        <v>91896</v>
      </c>
      <c r="E45" s="128">
        <f t="shared" si="23"/>
        <v>91530</v>
      </c>
      <c r="F45" s="128">
        <f t="shared" si="23"/>
        <v>179233</v>
      </c>
      <c r="G45" s="129">
        <f t="shared" si="23"/>
        <v>199512</v>
      </c>
      <c r="I45" s="130" t="s">
        <v>49</v>
      </c>
      <c r="J45" s="128">
        <f t="shared" si="24"/>
        <v>561482</v>
      </c>
      <c r="K45" s="128">
        <f t="shared" si="24"/>
        <v>580872</v>
      </c>
      <c r="L45" s="128">
        <f t="shared" si="24"/>
        <v>647982</v>
      </c>
      <c r="M45" s="128">
        <f t="shared" si="24"/>
        <v>725869</v>
      </c>
      <c r="N45" s="129">
        <f t="shared" si="24"/>
        <v>750164</v>
      </c>
      <c r="P45" s="479" t="s">
        <v>55</v>
      </c>
      <c r="Q45" s="474">
        <f t="shared" si="25"/>
        <v>88492</v>
      </c>
      <c r="R45" s="474">
        <f t="shared" si="25"/>
        <v>91896</v>
      </c>
      <c r="S45" s="474">
        <f t="shared" si="25"/>
        <v>91530</v>
      </c>
      <c r="T45" s="474">
        <f t="shared" si="25"/>
        <v>179233</v>
      </c>
      <c r="U45" s="478">
        <f t="shared" si="25"/>
        <v>199512</v>
      </c>
      <c r="W45" s="535" t="s">
        <v>131</v>
      </c>
      <c r="X45" s="168">
        <f>X42+X43+X44</f>
        <v>1002292</v>
      </c>
      <c r="Y45" s="168">
        <f>Y42+Y43+Y44</f>
        <v>1018517</v>
      </c>
      <c r="Z45" s="168">
        <f>Z42+Z43+Z44</f>
        <v>1090687</v>
      </c>
      <c r="AA45" s="168">
        <f>AA42+AA43+AA44</f>
        <v>1150161</v>
      </c>
      <c r="AB45" s="170">
        <f>AB42+AB43+AB44</f>
        <v>1184601</v>
      </c>
      <c r="AD45" s="571" t="s">
        <v>111</v>
      </c>
      <c r="AE45" s="128">
        <f t="shared" si="26"/>
        <v>-8372</v>
      </c>
      <c r="AF45" s="128">
        <f t="shared" si="26"/>
        <v>-4180</v>
      </c>
      <c r="AG45" s="128">
        <f t="shared" si="26"/>
        <v>-8949</v>
      </c>
      <c r="AH45" s="128">
        <f t="shared" si="26"/>
        <v>-2305</v>
      </c>
      <c r="AI45" s="128">
        <f t="shared" si="26"/>
        <v>0</v>
      </c>
      <c r="AJ45" s="128"/>
      <c r="AK45" s="128"/>
      <c r="AL45" s="128"/>
      <c r="AM45" s="128"/>
      <c r="AN45" s="129"/>
    </row>
    <row r="46" spans="2:52" ht="15.9">
      <c r="B46" s="492" t="s">
        <v>50</v>
      </c>
      <c r="C46" s="156">
        <f>C44+C45</f>
        <v>88492</v>
      </c>
      <c r="D46" s="156">
        <f>D44+D45</f>
        <v>91896</v>
      </c>
      <c r="E46" s="156">
        <f>E44+E45</f>
        <v>91530</v>
      </c>
      <c r="F46" s="156">
        <f>F44+F45</f>
        <v>1001837</v>
      </c>
      <c r="G46" s="162">
        <f>G44+G45</f>
        <v>1021195</v>
      </c>
      <c r="I46" s="535" t="s">
        <v>56</v>
      </c>
      <c r="J46" s="168">
        <f>J43+J44+J45</f>
        <v>1002292</v>
      </c>
      <c r="K46" s="168">
        <f>K43+K44+K45-1</f>
        <v>1018516</v>
      </c>
      <c r="L46" s="168">
        <f>L43+L44+L45</f>
        <v>1090687</v>
      </c>
      <c r="M46" s="168">
        <f>M43+M44+M45</f>
        <v>1150161</v>
      </c>
      <c r="N46" s="170">
        <f>N43+N44+N45</f>
        <v>1184601</v>
      </c>
      <c r="P46" s="492" t="s">
        <v>50</v>
      </c>
      <c r="Q46" s="540">
        <f>Q44+Q45</f>
        <v>88492</v>
      </c>
      <c r="R46" s="540">
        <f>R44+R45</f>
        <v>91896</v>
      </c>
      <c r="S46" s="540">
        <f>S44+S45</f>
        <v>91530</v>
      </c>
      <c r="T46" s="540">
        <f>T44+T45</f>
        <v>1001837</v>
      </c>
      <c r="U46" s="530">
        <f>U44+U45</f>
        <v>1021195</v>
      </c>
      <c r="W46" s="139" t="s">
        <v>121</v>
      </c>
      <c r="X46" s="490">
        <f t="shared" ref="X46:AB49" si="27">X11</f>
        <v>526544</v>
      </c>
      <c r="Y46" s="490">
        <f t="shared" si="27"/>
        <v>429433</v>
      </c>
      <c r="Z46" s="490">
        <f t="shared" si="27"/>
        <v>427873</v>
      </c>
      <c r="AA46" s="490">
        <f t="shared" si="27"/>
        <v>494498</v>
      </c>
      <c r="AB46" s="129">
        <f t="shared" si="27"/>
        <v>461480</v>
      </c>
      <c r="AD46" s="573" t="s">
        <v>112</v>
      </c>
      <c r="AE46" s="233">
        <f>AE44+AE45</f>
        <v>-300224</v>
      </c>
      <c r="AF46" s="233">
        <f>AF44+AF45</f>
        <v>-134251</v>
      </c>
      <c r="AG46" s="233">
        <f>AG44+AG45</f>
        <v>-251101</v>
      </c>
      <c r="AH46" s="233">
        <f>AH44+AH45</f>
        <v>-341546</v>
      </c>
      <c r="AI46" s="233">
        <f>AI44+AI45</f>
        <v>-301276</v>
      </c>
      <c r="AJ46" s="539"/>
      <c r="AK46" s="539"/>
      <c r="AL46" s="539"/>
      <c r="AM46" s="539"/>
      <c r="AN46" s="517"/>
    </row>
    <row r="47" spans="2:52" ht="15.9">
      <c r="B47" s="126" t="s">
        <v>52</v>
      </c>
      <c r="C47" s="128">
        <f>C13</f>
        <v>0</v>
      </c>
      <c r="D47" s="128">
        <f>D13</f>
        <v>0</v>
      </c>
      <c r="E47" s="128">
        <f>E13</f>
        <v>0</v>
      </c>
      <c r="F47" s="128">
        <f>F13</f>
        <v>0</v>
      </c>
      <c r="G47" s="129">
        <f>G13</f>
        <v>0</v>
      </c>
      <c r="I47" s="130" t="s">
        <v>127</v>
      </c>
      <c r="J47" s="128">
        <f>J14</f>
        <v>350349</v>
      </c>
      <c r="K47" s="128">
        <f>K14</f>
        <v>334585</v>
      </c>
      <c r="L47" s="128">
        <f>L14</f>
        <v>321352</v>
      </c>
      <c r="M47" s="128">
        <f>M14</f>
        <v>315398</v>
      </c>
      <c r="N47" s="129">
        <f>N14</f>
        <v>315336</v>
      </c>
      <c r="P47" s="479" t="s">
        <v>52</v>
      </c>
      <c r="Q47" s="474">
        <f t="shared" ref="Q47:U50" si="28">Q12</f>
        <v>0</v>
      </c>
      <c r="R47" s="474">
        <f t="shared" si="28"/>
        <v>0</v>
      </c>
      <c r="S47" s="474">
        <f t="shared" si="28"/>
        <v>0</v>
      </c>
      <c r="T47" s="474">
        <f t="shared" si="28"/>
        <v>0</v>
      </c>
      <c r="U47" s="478">
        <f t="shared" si="28"/>
        <v>0</v>
      </c>
      <c r="W47" s="126" t="s">
        <v>123</v>
      </c>
      <c r="X47" s="490">
        <f t="shared" si="27"/>
        <v>0</v>
      </c>
      <c r="Y47" s="490">
        <f t="shared" si="27"/>
        <v>0</v>
      </c>
      <c r="Z47" s="490">
        <f t="shared" si="27"/>
        <v>0</v>
      </c>
      <c r="AA47" s="490">
        <f t="shared" si="27"/>
        <v>180000</v>
      </c>
      <c r="AB47" s="129">
        <f t="shared" si="27"/>
        <v>60297</v>
      </c>
      <c r="AD47" s="574" t="s">
        <v>54</v>
      </c>
      <c r="AE47" s="168">
        <f>AE38+AE39+AE40+AE41+AE43+AE46</f>
        <v>266946</v>
      </c>
      <c r="AF47" s="168">
        <f>AF38+AF39+AF40+AF41+AF43+AF46</f>
        <v>340343</v>
      </c>
      <c r="AG47" s="168">
        <f>AG38+AG39+AG40+AG41+AG43+AG46</f>
        <v>214438</v>
      </c>
      <c r="AH47" s="168">
        <f>AH38+AH39+AH40+AH41+AH43+AH46</f>
        <v>489861</v>
      </c>
      <c r="AI47" s="168">
        <f>AI38+AI39+AI40+AI41+AI43+AI46</f>
        <v>391181</v>
      </c>
      <c r="AJ47" s="518"/>
      <c r="AK47" s="518"/>
      <c r="AL47" s="518"/>
      <c r="AM47" s="518"/>
      <c r="AN47" s="519"/>
    </row>
    <row r="48" spans="2:52" ht="15.9">
      <c r="B48" s="126" t="s">
        <v>53</v>
      </c>
      <c r="C48" s="128">
        <f>C15</f>
        <v>0</v>
      </c>
      <c r="D48" s="128">
        <f>D15</f>
        <v>0</v>
      </c>
      <c r="E48" s="128">
        <f>E15</f>
        <v>0</v>
      </c>
      <c r="F48" s="128">
        <f>F15</f>
        <v>0</v>
      </c>
      <c r="G48" s="129">
        <f>G15</f>
        <v>0</v>
      </c>
      <c r="I48" s="130" t="s">
        <v>120</v>
      </c>
      <c r="J48" s="128">
        <f>J16</f>
        <v>0</v>
      </c>
      <c r="K48" s="128">
        <f>K16</f>
        <v>0</v>
      </c>
      <c r="L48" s="128">
        <f>L16</f>
        <v>0</v>
      </c>
      <c r="M48" s="128">
        <f>M16</f>
        <v>584848</v>
      </c>
      <c r="N48" s="129">
        <f>N16</f>
        <v>585131</v>
      </c>
      <c r="P48" s="479" t="s">
        <v>53</v>
      </c>
      <c r="Q48" s="474">
        <f t="shared" si="28"/>
        <v>0</v>
      </c>
      <c r="R48" s="474">
        <f t="shared" si="28"/>
        <v>0</v>
      </c>
      <c r="S48" s="474">
        <f t="shared" si="28"/>
        <v>0</v>
      </c>
      <c r="T48" s="474">
        <f t="shared" si="28"/>
        <v>0</v>
      </c>
      <c r="U48" s="478">
        <f t="shared" si="28"/>
        <v>0</v>
      </c>
      <c r="W48" s="130" t="s">
        <v>124</v>
      </c>
      <c r="X48" s="490">
        <f t="shared" si="27"/>
        <v>40626</v>
      </c>
      <c r="Y48" s="490">
        <f t="shared" si="27"/>
        <v>45161</v>
      </c>
      <c r="Z48" s="490">
        <f t="shared" si="27"/>
        <v>37666</v>
      </c>
      <c r="AA48" s="490">
        <f t="shared" si="27"/>
        <v>145122</v>
      </c>
      <c r="AB48" s="129">
        <f t="shared" si="27"/>
        <v>92316</v>
      </c>
      <c r="AD48" s="126"/>
      <c r="AE48" s="127"/>
      <c r="AF48" s="127"/>
      <c r="AG48" s="127"/>
      <c r="AH48" s="127"/>
      <c r="AI48" s="127"/>
      <c r="AJ48" s="539"/>
      <c r="AK48" s="539"/>
      <c r="AL48" s="539"/>
      <c r="AM48" s="539"/>
      <c r="AN48" s="517"/>
    </row>
    <row r="49" spans="1:42" ht="15.9">
      <c r="B49" s="531" t="s">
        <v>84</v>
      </c>
      <c r="C49" s="168">
        <f>C43+C46+C47+C48</f>
        <v>1551515</v>
      </c>
      <c r="D49" s="168">
        <f>D43+D46+D47+D48-1</f>
        <v>1562672</v>
      </c>
      <c r="E49" s="168">
        <f>E43+E46+E47+E48</f>
        <v>1560951</v>
      </c>
      <c r="F49" s="168">
        <f>F43+F46+F47+F48</f>
        <v>2589673</v>
      </c>
      <c r="G49" s="170">
        <f>G43+G46+G47+G48</f>
        <v>2630392</v>
      </c>
      <c r="I49" s="535" t="s">
        <v>82</v>
      </c>
      <c r="J49" s="168">
        <f>J47+J48</f>
        <v>350349</v>
      </c>
      <c r="K49" s="168">
        <f>K47+K48</f>
        <v>334585</v>
      </c>
      <c r="L49" s="168">
        <f>L47+L48</f>
        <v>321352</v>
      </c>
      <c r="M49" s="168">
        <f>M47+M48</f>
        <v>900246</v>
      </c>
      <c r="N49" s="170">
        <f>N47+N48</f>
        <v>900467</v>
      </c>
      <c r="P49" s="639" t="s">
        <v>127</v>
      </c>
      <c r="Q49" s="474">
        <f t="shared" si="28"/>
        <v>-350349</v>
      </c>
      <c r="R49" s="474">
        <f t="shared" si="28"/>
        <v>-334585</v>
      </c>
      <c r="S49" s="474">
        <f t="shared" si="28"/>
        <v>-321352</v>
      </c>
      <c r="T49" s="474">
        <f t="shared" si="28"/>
        <v>-315398</v>
      </c>
      <c r="U49" s="478">
        <f t="shared" si="28"/>
        <v>-315336</v>
      </c>
      <c r="W49" s="130" t="s">
        <v>126</v>
      </c>
      <c r="X49" s="490">
        <f t="shared" si="27"/>
        <v>0</v>
      </c>
      <c r="Y49" s="490">
        <f t="shared" si="27"/>
        <v>0</v>
      </c>
      <c r="Z49" s="490">
        <f t="shared" si="27"/>
        <v>0</v>
      </c>
      <c r="AA49" s="490">
        <f t="shared" si="27"/>
        <v>11787</v>
      </c>
      <c r="AB49" s="129">
        <f t="shared" si="27"/>
        <v>78364</v>
      </c>
      <c r="AD49" s="531" t="s">
        <v>132</v>
      </c>
      <c r="AE49" s="168">
        <f>AE37+AE47</f>
        <v>1269238</v>
      </c>
      <c r="AF49" s="168">
        <f>AF37+AF47</f>
        <v>1358860</v>
      </c>
      <c r="AG49" s="168">
        <f>AG37+AG47</f>
        <v>1305125</v>
      </c>
      <c r="AH49" s="168">
        <f>AH37+AH47</f>
        <v>1640022</v>
      </c>
      <c r="AI49" s="168">
        <f>AI37+AI47</f>
        <v>1575782</v>
      </c>
      <c r="AJ49" s="647"/>
      <c r="AK49" s="647"/>
      <c r="AL49" s="647"/>
      <c r="AM49" s="647"/>
      <c r="AN49" s="648"/>
    </row>
    <row r="50" spans="1:42" ht="15.9">
      <c r="B50" s="126"/>
      <c r="C50" s="128"/>
      <c r="D50" s="128"/>
      <c r="E50" s="128"/>
      <c r="F50" s="128"/>
      <c r="G50" s="129"/>
      <c r="I50" s="525" t="s">
        <v>122</v>
      </c>
      <c r="J50" s="128">
        <f>J21</f>
        <v>0</v>
      </c>
      <c r="K50" s="128">
        <f>K21</f>
        <v>0</v>
      </c>
      <c r="L50" s="128">
        <f>L21</f>
        <v>0</v>
      </c>
      <c r="M50" s="128">
        <f>M21</f>
        <v>217427</v>
      </c>
      <c r="N50" s="129">
        <f>N21</f>
        <v>234113</v>
      </c>
      <c r="P50" s="640" t="s">
        <v>120</v>
      </c>
      <c r="Q50" s="477">
        <f t="shared" si="28"/>
        <v>0</v>
      </c>
      <c r="R50" s="477">
        <f t="shared" si="28"/>
        <v>0</v>
      </c>
      <c r="S50" s="477">
        <f t="shared" si="28"/>
        <v>0</v>
      </c>
      <c r="T50" s="477">
        <f t="shared" si="28"/>
        <v>-584848</v>
      </c>
      <c r="U50" s="486">
        <f t="shared" si="28"/>
        <v>-585131</v>
      </c>
      <c r="W50" s="571"/>
      <c r="X50" s="521">
        <f>Q28</f>
        <v>0</v>
      </c>
      <c r="Y50" s="521">
        <f>R28</f>
        <v>0</v>
      </c>
      <c r="Z50" s="521">
        <f>S28</f>
        <v>0</v>
      </c>
      <c r="AA50" s="521">
        <f>T28</f>
        <v>0</v>
      </c>
      <c r="AB50" s="140">
        <f>U28</f>
        <v>0</v>
      </c>
      <c r="AJ50" s="2"/>
      <c r="AK50" s="2"/>
      <c r="AL50" s="2"/>
      <c r="AM50" s="2"/>
      <c r="AN50" s="20"/>
      <c r="AO50" s="32"/>
      <c r="AP50" s="32"/>
    </row>
    <row r="51" spans="1:42" ht="15.9">
      <c r="B51" s="122"/>
      <c r="C51" s="539"/>
      <c r="D51" s="539"/>
      <c r="E51" s="539"/>
      <c r="F51" s="539"/>
      <c r="G51" s="517"/>
      <c r="I51" s="130" t="s">
        <v>68</v>
      </c>
      <c r="J51" s="128">
        <f t="shared" ref="J51:N52" si="29">J24</f>
        <v>40849</v>
      </c>
      <c r="K51" s="128">
        <f t="shared" si="29"/>
        <v>40415</v>
      </c>
      <c r="L51" s="128">
        <f t="shared" si="29"/>
        <v>46216</v>
      </c>
      <c r="M51" s="128">
        <f t="shared" si="29"/>
        <v>51239</v>
      </c>
      <c r="N51" s="129">
        <f t="shared" si="29"/>
        <v>87011</v>
      </c>
      <c r="P51" s="531" t="s">
        <v>58</v>
      </c>
      <c r="Q51" s="168">
        <f>Q43+Q46+Q47+Q48+Q49+Q50</f>
        <v>1201166</v>
      </c>
      <c r="R51" s="168">
        <f>R43+R46+R47+R48+R49+R50</f>
        <v>1228088</v>
      </c>
      <c r="S51" s="168">
        <f>S43+S46+S47+S48+S49+S50</f>
        <v>1239599</v>
      </c>
      <c r="T51" s="168">
        <f>T43+T46+T47+T48+T49+T50</f>
        <v>1689428</v>
      </c>
      <c r="U51" s="170">
        <f>U43+U46+U47+U48+U49+U50</f>
        <v>1729926</v>
      </c>
      <c r="W51" s="641"/>
      <c r="X51" s="490">
        <f>X50</f>
        <v>0</v>
      </c>
      <c r="Y51" s="490">
        <f>Y50</f>
        <v>0</v>
      </c>
      <c r="Z51" s="490">
        <f>Z50</f>
        <v>0</v>
      </c>
      <c r="AA51" s="490">
        <f>AA50</f>
        <v>0</v>
      </c>
      <c r="AB51" s="129">
        <f>AB50</f>
        <v>0</v>
      </c>
      <c r="AJ51" s="4"/>
      <c r="AK51" s="4"/>
      <c r="AL51" s="4"/>
      <c r="AM51" s="4"/>
      <c r="AN51" s="21"/>
      <c r="AO51" s="32"/>
      <c r="AP51" s="32"/>
    </row>
    <row r="52" spans="1:42" ht="15.9">
      <c r="B52" s="126" t="s">
        <v>73</v>
      </c>
      <c r="C52" s="136">
        <f>C27</f>
        <v>291852</v>
      </c>
      <c r="D52" s="136">
        <f>D27</f>
        <v>130071</v>
      </c>
      <c r="E52" s="136">
        <f>E27</f>
        <v>242152</v>
      </c>
      <c r="F52" s="136">
        <f>F27</f>
        <v>339241</v>
      </c>
      <c r="G52" s="140">
        <f>G27</f>
        <v>301276</v>
      </c>
      <c r="I52" s="130" t="s">
        <v>125</v>
      </c>
      <c r="J52" s="128">
        <f t="shared" si="29"/>
        <v>80729</v>
      </c>
      <c r="K52" s="128">
        <f t="shared" si="29"/>
        <v>104674</v>
      </c>
      <c r="L52" s="128">
        <f t="shared" si="29"/>
        <v>111812</v>
      </c>
      <c r="M52" s="128">
        <f t="shared" si="29"/>
        <v>154233</v>
      </c>
      <c r="N52" s="129">
        <f t="shared" si="29"/>
        <v>167402</v>
      </c>
      <c r="P52" s="479" t="s">
        <v>59</v>
      </c>
      <c r="Q52" s="474">
        <f>Q17</f>
        <v>222190</v>
      </c>
      <c r="R52" s="474">
        <f>R17</f>
        <v>301997</v>
      </c>
      <c r="S52" s="474">
        <f>S17</f>
        <v>253157</v>
      </c>
      <c r="T52" s="474">
        <f>T17</f>
        <v>484988</v>
      </c>
      <c r="U52" s="478">
        <f>U17</f>
        <v>482161</v>
      </c>
      <c r="W52" s="571" t="s">
        <v>73</v>
      </c>
      <c r="X52" s="490">
        <f t="shared" ref="X52:AB53" si="30">Q30*(-1)</f>
        <v>-291852</v>
      </c>
      <c r="Y52" s="490">
        <f t="shared" si="30"/>
        <v>-130071</v>
      </c>
      <c r="Z52" s="490">
        <f t="shared" si="30"/>
        <v>-242152</v>
      </c>
      <c r="AA52" s="490">
        <f t="shared" si="30"/>
        <v>-339241</v>
      </c>
      <c r="AB52" s="129">
        <f t="shared" si="30"/>
        <v>-301276</v>
      </c>
      <c r="AN52" s="32"/>
      <c r="AO52" s="32"/>
      <c r="AP52" s="32"/>
    </row>
    <row r="53" spans="1:42" ht="15.9">
      <c r="B53" s="126" t="s">
        <v>111</v>
      </c>
      <c r="C53" s="128">
        <f>C25</f>
        <v>8372</v>
      </c>
      <c r="D53" s="128">
        <f>D25</f>
        <v>4180</v>
      </c>
      <c r="E53" s="128">
        <f>E25</f>
        <v>8949</v>
      </c>
      <c r="F53" s="128">
        <f>F25</f>
        <v>2305</v>
      </c>
      <c r="G53" s="129">
        <f>G25</f>
        <v>0</v>
      </c>
      <c r="I53" s="130" t="s">
        <v>69</v>
      </c>
      <c r="J53" s="128">
        <f>J27</f>
        <v>61502</v>
      </c>
      <c r="K53" s="128">
        <f>K27</f>
        <v>58139</v>
      </c>
      <c r="L53" s="128">
        <f>L27</f>
        <v>57388</v>
      </c>
      <c r="M53" s="128">
        <f>M27</f>
        <v>160511</v>
      </c>
      <c r="N53" s="129">
        <f>N27</f>
        <v>198883</v>
      </c>
      <c r="P53" s="492" t="s">
        <v>62</v>
      </c>
      <c r="Q53" s="540">
        <f>Q52</f>
        <v>222190</v>
      </c>
      <c r="R53" s="540">
        <f>R52</f>
        <v>301997</v>
      </c>
      <c r="S53" s="540">
        <f>S52</f>
        <v>253157</v>
      </c>
      <c r="T53" s="540">
        <f>T52</f>
        <v>484988</v>
      </c>
      <c r="U53" s="530">
        <f>U52</f>
        <v>482161</v>
      </c>
      <c r="W53" s="571" t="s">
        <v>111</v>
      </c>
      <c r="X53" s="490">
        <f t="shared" si="30"/>
        <v>-8372</v>
      </c>
      <c r="Y53" s="490">
        <f t="shared" si="30"/>
        <v>-4180</v>
      </c>
      <c r="Z53" s="490">
        <f t="shared" si="30"/>
        <v>-8949</v>
      </c>
      <c r="AA53" s="490">
        <f t="shared" si="30"/>
        <v>-2305</v>
      </c>
      <c r="AB53" s="129">
        <f t="shared" si="30"/>
        <v>0</v>
      </c>
      <c r="AN53" s="32"/>
      <c r="AO53" s="32"/>
      <c r="AP53" s="32"/>
    </row>
    <row r="54" spans="1:42" ht="15.9">
      <c r="B54" s="98" t="s">
        <v>112</v>
      </c>
      <c r="C54" s="233">
        <f>C52+C53</f>
        <v>300224</v>
      </c>
      <c r="D54" s="233">
        <f>D52+D53</f>
        <v>134251</v>
      </c>
      <c r="E54" s="233">
        <f>E52+E53</f>
        <v>251101</v>
      </c>
      <c r="F54" s="233">
        <f>F52+F53</f>
        <v>341546</v>
      </c>
      <c r="G54" s="224">
        <f>G52+G53</f>
        <v>301276</v>
      </c>
      <c r="I54" s="535" t="s">
        <v>87</v>
      </c>
      <c r="J54" s="168">
        <f>SUM(J50:J53)</f>
        <v>183080</v>
      </c>
      <c r="K54" s="168">
        <f>SUM(K50:K53)</f>
        <v>203228</v>
      </c>
      <c r="L54" s="168">
        <f>SUM(L50:L53)</f>
        <v>215416</v>
      </c>
      <c r="M54" s="168">
        <f>SUM(M50:M53)</f>
        <v>583410</v>
      </c>
      <c r="N54" s="170">
        <f>SUM(N50:N53)</f>
        <v>687409</v>
      </c>
      <c r="P54" s="520" t="s">
        <v>106</v>
      </c>
      <c r="Q54" s="136">
        <f t="shared" ref="Q54:U55" si="31">Q19</f>
        <v>2527</v>
      </c>
      <c r="R54" s="136">
        <f t="shared" si="31"/>
        <v>3500</v>
      </c>
      <c r="S54" s="136">
        <f t="shared" si="31"/>
        <v>2962</v>
      </c>
      <c r="T54" s="136">
        <f t="shared" si="31"/>
        <v>23201</v>
      </c>
      <c r="U54" s="140">
        <f t="shared" si="31"/>
        <v>18381</v>
      </c>
      <c r="W54" s="573" t="s">
        <v>112</v>
      </c>
      <c r="X54" s="534">
        <f>X52+X53</f>
        <v>-300224</v>
      </c>
      <c r="Y54" s="534">
        <f>Y52+Y53</f>
        <v>-134251</v>
      </c>
      <c r="Z54" s="534">
        <f>Z52+Z53</f>
        <v>-251101</v>
      </c>
      <c r="AA54" s="534">
        <f>AA52+AA53</f>
        <v>-341546</v>
      </c>
      <c r="AB54" s="224">
        <f>AB52+AB53</f>
        <v>-301276</v>
      </c>
      <c r="AN54" s="32"/>
      <c r="AO54" s="32"/>
      <c r="AP54" s="32"/>
    </row>
    <row r="55" spans="1:42" ht="15.9">
      <c r="B55" s="531" t="s">
        <v>78</v>
      </c>
      <c r="C55" s="168">
        <f>C51+C54</f>
        <v>300224</v>
      </c>
      <c r="D55" s="168">
        <f>D51+D54</f>
        <v>134251</v>
      </c>
      <c r="E55" s="168">
        <f>E51+E54</f>
        <v>251101</v>
      </c>
      <c r="F55" s="168">
        <f>F51+F54</f>
        <v>341546</v>
      </c>
      <c r="G55" s="170">
        <f>G51+G54</f>
        <v>301276</v>
      </c>
      <c r="I55" s="139" t="s">
        <v>121</v>
      </c>
      <c r="J55" s="128">
        <f>J17</f>
        <v>526544</v>
      </c>
      <c r="K55" s="128">
        <f>K17</f>
        <v>429433</v>
      </c>
      <c r="L55" s="128">
        <f>L17</f>
        <v>427873</v>
      </c>
      <c r="M55" s="128">
        <f>M17</f>
        <v>494498</v>
      </c>
      <c r="N55" s="129">
        <f>N17</f>
        <v>461480</v>
      </c>
      <c r="P55" s="479" t="s">
        <v>107</v>
      </c>
      <c r="Q55" s="136">
        <f t="shared" si="31"/>
        <v>26435</v>
      </c>
      <c r="R55" s="136">
        <f t="shared" si="31"/>
        <v>28506</v>
      </c>
      <c r="S55" s="136">
        <f t="shared" si="31"/>
        <v>24823</v>
      </c>
      <c r="T55" s="136">
        <f t="shared" si="31"/>
        <v>25815</v>
      </c>
      <c r="U55" s="140">
        <f t="shared" si="31"/>
        <v>32725</v>
      </c>
      <c r="W55" s="574" t="s">
        <v>54</v>
      </c>
      <c r="X55" s="168">
        <f>X46+X47+X48+X49+X51+X54</f>
        <v>266946</v>
      </c>
      <c r="Y55" s="168">
        <f>Y46+Y47+Y48+Y49+Y51+Y54</f>
        <v>340343</v>
      </c>
      <c r="Z55" s="168">
        <f>Z46+Z47+Z48+Z49+Z51+Z54</f>
        <v>214438</v>
      </c>
      <c r="AA55" s="168">
        <f>AA46+AA47+AA48+AA49+AA51+AA54</f>
        <v>489861</v>
      </c>
      <c r="AB55" s="170">
        <f>AB46+AB47+AB48+AB49+AB51+AB54</f>
        <v>391181</v>
      </c>
    </row>
    <row r="56" spans="1:42" ht="18.45">
      <c r="B56" s="126" t="s">
        <v>59</v>
      </c>
      <c r="C56" s="128">
        <f>C20</f>
        <v>222190</v>
      </c>
      <c r="D56" s="128">
        <f>D20</f>
        <v>301997</v>
      </c>
      <c r="E56" s="128">
        <f>E20</f>
        <v>253157</v>
      </c>
      <c r="F56" s="128">
        <f>F20</f>
        <v>484988</v>
      </c>
      <c r="G56" s="129">
        <f>G20</f>
        <v>482161</v>
      </c>
      <c r="I56" s="126" t="s">
        <v>123</v>
      </c>
      <c r="J56" s="128">
        <f t="shared" ref="J56:N57" si="32">J22</f>
        <v>0</v>
      </c>
      <c r="K56" s="128">
        <f t="shared" si="32"/>
        <v>0</v>
      </c>
      <c r="L56" s="128">
        <f t="shared" si="32"/>
        <v>0</v>
      </c>
      <c r="M56" s="128">
        <f t="shared" si="32"/>
        <v>180000</v>
      </c>
      <c r="N56" s="129">
        <f t="shared" si="32"/>
        <v>60297</v>
      </c>
      <c r="P56" s="492" t="s">
        <v>65</v>
      </c>
      <c r="Q56" s="540">
        <f>Q54+Q55</f>
        <v>28962</v>
      </c>
      <c r="R56" s="540">
        <f>R54+R55</f>
        <v>32006</v>
      </c>
      <c r="S56" s="540">
        <f>S54+S55</f>
        <v>27785</v>
      </c>
      <c r="T56" s="540">
        <f>T54+T55</f>
        <v>49016</v>
      </c>
      <c r="U56" s="530">
        <f>U54+U55</f>
        <v>51106</v>
      </c>
      <c r="W56" s="126"/>
      <c r="X56" s="292"/>
      <c r="Y56" s="292"/>
      <c r="Z56" s="292"/>
      <c r="AA56" s="292"/>
      <c r="AB56" s="522"/>
      <c r="AD56" s="68"/>
      <c r="AE56" s="67"/>
      <c r="AF56" s="67"/>
      <c r="AG56" s="67"/>
      <c r="AH56" s="67"/>
      <c r="AI56" s="67"/>
      <c r="AJ56" s="67"/>
      <c r="AK56" s="67"/>
      <c r="AL56" s="67"/>
      <c r="AM56" s="67"/>
      <c r="AN56" s="67"/>
    </row>
    <row r="57" spans="1:42" ht="15.9">
      <c r="B57" s="492" t="s">
        <v>62</v>
      </c>
      <c r="C57" s="540">
        <f>C56</f>
        <v>222190</v>
      </c>
      <c r="D57" s="540">
        <f>D56</f>
        <v>301997</v>
      </c>
      <c r="E57" s="540">
        <f>E56</f>
        <v>253157</v>
      </c>
      <c r="F57" s="540">
        <f>F56</f>
        <v>484988</v>
      </c>
      <c r="G57" s="530">
        <f>G56</f>
        <v>482161</v>
      </c>
      <c r="I57" s="130" t="s">
        <v>124</v>
      </c>
      <c r="J57" s="128">
        <f t="shared" si="32"/>
        <v>40626</v>
      </c>
      <c r="K57" s="128">
        <f t="shared" si="32"/>
        <v>45161</v>
      </c>
      <c r="L57" s="128">
        <f t="shared" si="32"/>
        <v>37666</v>
      </c>
      <c r="M57" s="128">
        <f t="shared" si="32"/>
        <v>145122</v>
      </c>
      <c r="N57" s="129">
        <f t="shared" si="32"/>
        <v>92316</v>
      </c>
      <c r="P57" s="572" t="s">
        <v>122</v>
      </c>
      <c r="Q57" s="136">
        <f t="shared" ref="Q57:U60" si="33">Q22</f>
        <v>0</v>
      </c>
      <c r="R57" s="136">
        <f t="shared" si="33"/>
        <v>0</v>
      </c>
      <c r="S57" s="136">
        <f t="shared" si="33"/>
        <v>0</v>
      </c>
      <c r="T57" s="136">
        <f t="shared" si="33"/>
        <v>-217427</v>
      </c>
      <c r="U57" s="140">
        <f t="shared" si="33"/>
        <v>-234113</v>
      </c>
      <c r="W57" s="126"/>
      <c r="X57" s="292"/>
      <c r="Y57" s="292"/>
      <c r="Z57" s="292"/>
      <c r="AA57" s="292"/>
      <c r="AB57" s="522"/>
    </row>
    <row r="58" spans="1:42" ht="15.9">
      <c r="A58" s="30"/>
      <c r="B58" s="520" t="s">
        <v>106</v>
      </c>
      <c r="C58" s="128">
        <f t="shared" ref="C58:G59" si="34">C23</f>
        <v>2527</v>
      </c>
      <c r="D58" s="128">
        <f t="shared" si="34"/>
        <v>3500</v>
      </c>
      <c r="E58" s="128">
        <f t="shared" si="34"/>
        <v>2962</v>
      </c>
      <c r="F58" s="128">
        <f t="shared" si="34"/>
        <v>23201</v>
      </c>
      <c r="G58" s="129">
        <f t="shared" si="34"/>
        <v>18381</v>
      </c>
      <c r="I58" s="130" t="s">
        <v>126</v>
      </c>
      <c r="J58" s="128">
        <f>J26</f>
        <v>0</v>
      </c>
      <c r="K58" s="128">
        <f>K26</f>
        <v>0</v>
      </c>
      <c r="L58" s="128">
        <f>L26</f>
        <v>0</v>
      </c>
      <c r="M58" s="128">
        <f>M26</f>
        <v>11787</v>
      </c>
      <c r="N58" s="129">
        <f>N26</f>
        <v>78364</v>
      </c>
      <c r="P58" s="639" t="s">
        <v>68</v>
      </c>
      <c r="Q58" s="136">
        <f t="shared" si="33"/>
        <v>-40849</v>
      </c>
      <c r="R58" s="136">
        <f t="shared" si="33"/>
        <v>-40415</v>
      </c>
      <c r="S58" s="136">
        <f t="shared" si="33"/>
        <v>-46216</v>
      </c>
      <c r="T58" s="136">
        <f t="shared" si="33"/>
        <v>-51239</v>
      </c>
      <c r="U58" s="140">
        <f t="shared" si="33"/>
        <v>-87011</v>
      </c>
      <c r="W58" s="126"/>
      <c r="X58" s="292"/>
      <c r="Y58" s="292"/>
      <c r="Z58" s="292"/>
      <c r="AA58" s="292"/>
      <c r="AB58" s="522"/>
    </row>
    <row r="59" spans="1:42" ht="15.9">
      <c r="B59" s="126" t="s">
        <v>107</v>
      </c>
      <c r="C59" s="128">
        <f t="shared" si="34"/>
        <v>26435</v>
      </c>
      <c r="D59" s="128">
        <f t="shared" si="34"/>
        <v>28506</v>
      </c>
      <c r="E59" s="128">
        <f t="shared" si="34"/>
        <v>24823</v>
      </c>
      <c r="F59" s="128">
        <f t="shared" si="34"/>
        <v>25815</v>
      </c>
      <c r="G59" s="129">
        <f t="shared" si="34"/>
        <v>32725</v>
      </c>
      <c r="I59" s="531" t="s">
        <v>61</v>
      </c>
      <c r="J59" s="168">
        <f>SUM(J55:J58)</f>
        <v>567170</v>
      </c>
      <c r="K59" s="168">
        <f>SUM(K55:K58)</f>
        <v>474594</v>
      </c>
      <c r="L59" s="168">
        <f>SUM(L55:L58)</f>
        <v>465539</v>
      </c>
      <c r="M59" s="168">
        <f>SUM(M55:M58)</f>
        <v>831407</v>
      </c>
      <c r="N59" s="170">
        <f>SUM(N55:N58)</f>
        <v>692457</v>
      </c>
      <c r="P59" s="639" t="s">
        <v>125</v>
      </c>
      <c r="Q59" s="136">
        <f t="shared" si="33"/>
        <v>-80729</v>
      </c>
      <c r="R59" s="136">
        <f t="shared" si="33"/>
        <v>-104674</v>
      </c>
      <c r="S59" s="136">
        <f t="shared" si="33"/>
        <v>-111812</v>
      </c>
      <c r="T59" s="136">
        <f t="shared" si="33"/>
        <v>-154233</v>
      </c>
      <c r="U59" s="140">
        <f t="shared" si="33"/>
        <v>-167402</v>
      </c>
      <c r="W59" s="126"/>
      <c r="X59" s="292"/>
      <c r="Y59" s="292"/>
      <c r="Z59" s="292"/>
      <c r="AA59" s="292"/>
      <c r="AB59" s="522"/>
    </row>
    <row r="60" spans="1:42" ht="15.9">
      <c r="B60" s="492" t="s">
        <v>65</v>
      </c>
      <c r="C60" s="540">
        <f>C58+C59</f>
        <v>28962</v>
      </c>
      <c r="D60" s="540">
        <f>D58+D59</f>
        <v>32006</v>
      </c>
      <c r="E60" s="540">
        <f>E58+E59</f>
        <v>27785</v>
      </c>
      <c r="F60" s="540">
        <f>F58+F59</f>
        <v>49016</v>
      </c>
      <c r="G60" s="530">
        <f>G58+G59</f>
        <v>51106</v>
      </c>
      <c r="I60" s="126"/>
      <c r="J60" s="128"/>
      <c r="K60" s="128"/>
      <c r="L60" s="128"/>
      <c r="M60" s="128"/>
      <c r="N60" s="129"/>
      <c r="P60" s="639" t="s">
        <v>69</v>
      </c>
      <c r="Q60" s="136">
        <f t="shared" si="33"/>
        <v>-61502</v>
      </c>
      <c r="R60" s="136">
        <f t="shared" si="33"/>
        <v>-58139</v>
      </c>
      <c r="S60" s="136">
        <f t="shared" si="33"/>
        <v>-57388</v>
      </c>
      <c r="T60" s="136">
        <f t="shared" si="33"/>
        <v>-160511</v>
      </c>
      <c r="U60" s="140">
        <f t="shared" si="33"/>
        <v>-198883</v>
      </c>
      <c r="W60" s="126"/>
      <c r="X60" s="292"/>
      <c r="Y60" s="292"/>
      <c r="Z60" s="292"/>
      <c r="AA60" s="292"/>
      <c r="AB60" s="522"/>
    </row>
    <row r="61" spans="1:42" ht="15.9">
      <c r="B61" s="531" t="s">
        <v>96</v>
      </c>
      <c r="C61" s="168">
        <f>C57+C60</f>
        <v>251152</v>
      </c>
      <c r="D61" s="168">
        <f>D57+D60</f>
        <v>334003</v>
      </c>
      <c r="E61" s="168">
        <f>E57+E60</f>
        <v>280942</v>
      </c>
      <c r="F61" s="168">
        <f>F57+F60</f>
        <v>534004</v>
      </c>
      <c r="G61" s="170">
        <f>G57+G60</f>
        <v>533267</v>
      </c>
      <c r="I61" s="126"/>
      <c r="J61" s="127"/>
      <c r="K61" s="127"/>
      <c r="L61" s="127"/>
      <c r="M61" s="127"/>
      <c r="N61" s="522"/>
      <c r="P61" s="580" t="s">
        <v>48</v>
      </c>
      <c r="Q61" s="172">
        <f>Q53+Q56+Q57+Q58+Q59+Q60</f>
        <v>68072</v>
      </c>
      <c r="R61" s="172">
        <f>R53+R56+R57+R58+R59+R60</f>
        <v>130775</v>
      </c>
      <c r="S61" s="172">
        <f>S53+S56+S57+S58+S59+S60</f>
        <v>65526</v>
      </c>
      <c r="T61" s="172">
        <f>T53+T56+T57+T58+T59+T60</f>
        <v>-49406</v>
      </c>
      <c r="U61" s="581">
        <f>U53+U56+U57+U58+U59+U60</f>
        <v>-154142</v>
      </c>
      <c r="W61" s="126"/>
      <c r="X61" s="292"/>
      <c r="Y61" s="292"/>
      <c r="Z61" s="292"/>
      <c r="AA61" s="292"/>
      <c r="AB61" s="522"/>
      <c r="AD61" s="649"/>
      <c r="AE61" s="679" t="s">
        <v>83</v>
      </c>
      <c r="AF61" s="679"/>
      <c r="AG61" s="679"/>
      <c r="AH61" s="679"/>
      <c r="AI61" s="679"/>
      <c r="AJ61" s="679"/>
      <c r="AK61" s="679"/>
      <c r="AL61" s="679"/>
      <c r="AM61" s="679"/>
      <c r="AN61" s="680"/>
    </row>
    <row r="62" spans="1:42" ht="15.9">
      <c r="B62" s="126"/>
      <c r="C62" s="127"/>
      <c r="D62" s="127"/>
      <c r="E62" s="127"/>
      <c r="F62" s="127"/>
      <c r="G62" s="522"/>
      <c r="I62" s="126"/>
      <c r="J62" s="127"/>
      <c r="K62" s="127"/>
      <c r="L62" s="127"/>
      <c r="M62" s="127"/>
      <c r="N62" s="522"/>
      <c r="P62" s="565" t="s">
        <v>100</v>
      </c>
      <c r="Q62" s="168">
        <f>Q51+Q61</f>
        <v>1269238</v>
      </c>
      <c r="R62" s="168">
        <f>R51+R61</f>
        <v>1358863</v>
      </c>
      <c r="S62" s="168">
        <f>S51+S61</f>
        <v>1305125</v>
      </c>
      <c r="T62" s="168">
        <f>T51+T61</f>
        <v>1640022</v>
      </c>
      <c r="U62" s="170">
        <f>U51+U61</f>
        <v>1575784</v>
      </c>
      <c r="W62" s="531" t="s">
        <v>132</v>
      </c>
      <c r="X62" s="168">
        <f>X45+X55</f>
        <v>1269238</v>
      </c>
      <c r="Y62" s="168">
        <f>Y45+Y55</f>
        <v>1358860</v>
      </c>
      <c r="Z62" s="168">
        <f>Z45+Z55</f>
        <v>1305125</v>
      </c>
      <c r="AA62" s="168">
        <f>AA45+AA55</f>
        <v>1640022</v>
      </c>
      <c r="AB62" s="170">
        <f>AB45+AB55</f>
        <v>1575782</v>
      </c>
      <c r="AD62" s="584"/>
      <c r="AE62" s="585">
        <v>2016</v>
      </c>
      <c r="AF62" s="592">
        <v>2017</v>
      </c>
      <c r="AG62" s="592">
        <v>2018</v>
      </c>
      <c r="AH62" s="592">
        <v>2019</v>
      </c>
      <c r="AI62" s="593">
        <v>2020</v>
      </c>
      <c r="AJ62" s="594">
        <v>2021</v>
      </c>
      <c r="AK62" s="594">
        <v>2022</v>
      </c>
      <c r="AL62" s="594">
        <v>2023</v>
      </c>
      <c r="AM62" s="594">
        <v>2024</v>
      </c>
      <c r="AN62" s="595">
        <v>2025</v>
      </c>
    </row>
    <row r="63" spans="1:42" ht="15.9">
      <c r="B63" s="531" t="s">
        <v>98</v>
      </c>
      <c r="C63" s="168">
        <f>C49+C55+C61</f>
        <v>2102891</v>
      </c>
      <c r="D63" s="168">
        <f>D49+D55+D61</f>
        <v>2030926</v>
      </c>
      <c r="E63" s="168">
        <f>E49+E55+E61</f>
        <v>2092994</v>
      </c>
      <c r="F63" s="168">
        <f>F49+F55+F61</f>
        <v>3465223</v>
      </c>
      <c r="G63" s="170">
        <f>G49+G55+G61</f>
        <v>3464935</v>
      </c>
      <c r="I63" s="535" t="s">
        <v>99</v>
      </c>
      <c r="J63" s="168">
        <f>J46+J49+J54+J59</f>
        <v>2102891</v>
      </c>
      <c r="K63" s="168">
        <f>K46+K49+K54+K59+1</f>
        <v>2030924</v>
      </c>
      <c r="L63" s="168">
        <f>L46+L49+L54+L59-1</f>
        <v>2092993</v>
      </c>
      <c r="M63" s="168">
        <f>M46+M49+M54+M59-2</f>
        <v>3465222</v>
      </c>
      <c r="N63" s="170">
        <f>N46+N49+N54+N59+1</f>
        <v>3464935</v>
      </c>
      <c r="W63" s="55"/>
      <c r="X63" s="55"/>
      <c r="AD63" s="126" t="s">
        <v>85</v>
      </c>
      <c r="AE63" s="588">
        <f>'Income statement'!K4</f>
        <v>1295536</v>
      </c>
      <c r="AF63" s="587"/>
      <c r="AG63" s="587"/>
      <c r="AH63" s="587"/>
      <c r="AI63" s="587"/>
      <c r="AJ63" s="586"/>
      <c r="AK63" s="587"/>
      <c r="AL63" s="587"/>
      <c r="AM63" s="587"/>
      <c r="AN63" s="597"/>
    </row>
    <row r="64" spans="1:42">
      <c r="W64" s="57"/>
      <c r="X64" s="55"/>
      <c r="AD64" s="126" t="s">
        <v>86</v>
      </c>
      <c r="AE64" s="588">
        <f>-'Income statement'!D7/'Balance sheet'!AE18</f>
        <v>2.3191817813582971</v>
      </c>
      <c r="AF64" s="650">
        <f>-'Income statement'!E7/'Balance sheet'!AF18</f>
        <v>1.8133524505210317</v>
      </c>
      <c r="AG64" s="650">
        <f>-'Income statement'!F7/'Balance sheet'!AG18</f>
        <v>2.2643260901337907</v>
      </c>
      <c r="AH64" s="650">
        <f>-'Income statement'!G7/'Balance sheet'!AH18</f>
        <v>1.9086369147277871</v>
      </c>
      <c r="AI64" s="650">
        <f>-'Income statement'!H7/'Balance sheet'!AI18</f>
        <v>2.3408985795201187</v>
      </c>
      <c r="AJ64" s="588"/>
      <c r="AK64" s="650"/>
      <c r="AL64" s="650"/>
      <c r="AM64" s="650"/>
      <c r="AN64" s="590"/>
    </row>
    <row r="65" spans="2:41">
      <c r="W65" s="57"/>
      <c r="X65" s="71"/>
      <c r="Y65" s="2"/>
      <c r="Z65" s="2"/>
      <c r="AA65" s="2"/>
      <c r="AB65" s="2"/>
      <c r="AD65" s="126" t="s">
        <v>88</v>
      </c>
      <c r="AE65" s="246">
        <f>AE11/'Income statement'!K26</f>
        <v>0.66025502324158569</v>
      </c>
      <c r="AF65" s="244">
        <f>AF11/'Income statement'!L26</f>
        <v>0.65024588713957188</v>
      </c>
      <c r="AG65" s="244">
        <f>AG11/'Income statement'!M26</f>
        <v>0.54248679788766208</v>
      </c>
      <c r="AH65" s="244">
        <f>AH11/'Income statement'!N26</f>
        <v>4.8176821351286367</v>
      </c>
      <c r="AI65" s="244">
        <f>AI11/'Income statement'!O26</f>
        <v>2.8677358479968995</v>
      </c>
      <c r="AJ65" s="246"/>
      <c r="AK65" s="244"/>
      <c r="AL65" s="244"/>
      <c r="AM65" s="244"/>
      <c r="AN65" s="95"/>
    </row>
    <row r="66" spans="2:41">
      <c r="W66" s="72"/>
      <c r="X66" s="57"/>
      <c r="AD66" s="126" t="s">
        <v>89</v>
      </c>
      <c r="AE66" s="246">
        <f>AE14/AE11</f>
        <v>-3.9591036477873707</v>
      </c>
      <c r="AF66" s="244">
        <f>AF14/AF11</f>
        <v>-3.6409092887612085</v>
      </c>
      <c r="AG66" s="244">
        <f>AG14/AG11</f>
        <v>-3.5108926035179722</v>
      </c>
      <c r="AH66" s="244">
        <f>AH14/AH11</f>
        <v>-0.31481967625472007</v>
      </c>
      <c r="AI66" s="244">
        <f>AI14/AI11</f>
        <v>-0.30879117112794324</v>
      </c>
      <c r="AJ66" s="246"/>
      <c r="AK66" s="244"/>
      <c r="AL66" s="244"/>
      <c r="AM66" s="244"/>
      <c r="AN66" s="95"/>
    </row>
    <row r="67" spans="2:41">
      <c r="AD67" s="126" t="s">
        <v>90</v>
      </c>
      <c r="AE67" s="588"/>
      <c r="AF67" s="650"/>
      <c r="AG67" s="650"/>
      <c r="AH67" s="650"/>
      <c r="AI67" s="650"/>
      <c r="AJ67" s="588"/>
      <c r="AK67" s="650"/>
      <c r="AL67" s="650"/>
      <c r="AM67" s="650"/>
      <c r="AN67" s="590"/>
    </row>
    <row r="68" spans="2:41">
      <c r="AD68" s="126" t="s">
        <v>91</v>
      </c>
      <c r="AE68" s="246"/>
      <c r="AF68" s="244"/>
      <c r="AG68" s="244"/>
      <c r="AH68" s="244"/>
      <c r="AI68" s="244"/>
      <c r="AJ68" s="246"/>
      <c r="AK68" s="244"/>
      <c r="AL68" s="244"/>
      <c r="AM68" s="244"/>
      <c r="AN68" s="95"/>
    </row>
    <row r="69" spans="2:41">
      <c r="AD69" s="126" t="s">
        <v>92</v>
      </c>
      <c r="AE69" s="130"/>
      <c r="AF69" s="490"/>
      <c r="AG69" s="490"/>
      <c r="AH69" s="490"/>
      <c r="AI69" s="490"/>
      <c r="AJ69" s="130"/>
      <c r="AK69" s="490"/>
      <c r="AL69" s="490"/>
      <c r="AM69" s="490"/>
      <c r="AN69" s="490"/>
      <c r="AO69" s="1"/>
    </row>
    <row r="70" spans="2:41">
      <c r="AD70" s="126" t="s">
        <v>93</v>
      </c>
      <c r="AE70" s="246"/>
      <c r="AF70" s="244"/>
      <c r="AG70" s="244"/>
      <c r="AH70" s="244"/>
      <c r="AI70" s="244"/>
      <c r="AJ70" s="591"/>
      <c r="AK70" s="500"/>
      <c r="AL70" s="500"/>
      <c r="AM70" s="500"/>
      <c r="AN70" s="500"/>
      <c r="AO70" s="1"/>
    </row>
    <row r="71" spans="2:41" ht="15.9">
      <c r="B71" s="66"/>
      <c r="AC71" s="16"/>
      <c r="AD71" s="479" t="s">
        <v>94</v>
      </c>
      <c r="AE71" s="246"/>
      <c r="AF71" s="490">
        <f>(D12-C12)+(-'Income statement'!K14)</f>
        <v>32357</v>
      </c>
      <c r="AG71" s="490">
        <f>(E12-D12)+(-'Income statement'!L14)</f>
        <v>34473</v>
      </c>
      <c r="AH71" s="490">
        <f>(F12-E12)+(-'Income statement'!M14)</f>
        <v>947404</v>
      </c>
      <c r="AI71" s="490">
        <f>(G12-F12)+(-'Income statement'!N14)</f>
        <v>284331</v>
      </c>
      <c r="AJ71" s="130"/>
      <c r="AK71" s="490"/>
      <c r="AL71" s="490"/>
      <c r="AM71" s="490"/>
      <c r="AN71" s="490"/>
      <c r="AO71" s="470"/>
    </row>
    <row r="72" spans="2:41">
      <c r="AD72" s="126" t="s">
        <v>95</v>
      </c>
      <c r="AE72" s="246"/>
      <c r="AF72" s="244" t="e">
        <f>#REF!/'[1]Income statement'!K4</f>
        <v>#REF!</v>
      </c>
      <c r="AG72" s="244">
        <f>AG71/'[1]Income statement'!L4</f>
        <v>6.981452056159446E-3</v>
      </c>
      <c r="AH72" s="244">
        <f>AH71/'[1]Income statement'!M4</f>
        <v>0.18646726523311458</v>
      </c>
      <c r="AI72" s="244">
        <f>AI71/'[1]Income statement'!N4</f>
        <v>5.0894540039057252E-2</v>
      </c>
      <c r="AJ72" s="246"/>
      <c r="AK72" s="244"/>
      <c r="AL72" s="244"/>
      <c r="AM72" s="244"/>
      <c r="AN72" s="95"/>
    </row>
    <row r="73" spans="2:41">
      <c r="AD73" s="126" t="s">
        <v>97</v>
      </c>
      <c r="AE73" s="130"/>
      <c r="AF73" s="490"/>
      <c r="AG73" s="490"/>
      <c r="AH73" s="490"/>
      <c r="AI73" s="490"/>
      <c r="AJ73" s="130"/>
      <c r="AK73" s="490"/>
      <c r="AL73" s="490"/>
      <c r="AM73" s="490"/>
      <c r="AN73" s="129"/>
    </row>
    <row r="74" spans="2:41">
      <c r="AD74" s="126" t="s">
        <v>48</v>
      </c>
      <c r="AE74" s="130">
        <f>AE26</f>
        <v>68072</v>
      </c>
      <c r="AF74" s="130">
        <f>AF26</f>
        <v>130775</v>
      </c>
      <c r="AG74" s="130">
        <f>AG26</f>
        <v>65526</v>
      </c>
      <c r="AH74" s="130">
        <f>AH26</f>
        <v>-49406</v>
      </c>
      <c r="AI74" s="130">
        <f>AI26</f>
        <v>-154142</v>
      </c>
      <c r="AJ74" s="130"/>
      <c r="AK74" s="490"/>
      <c r="AL74" s="490"/>
      <c r="AM74" s="490"/>
      <c r="AN74" s="129"/>
    </row>
    <row r="75" spans="2:41">
      <c r="AD75" s="126" t="s">
        <v>101</v>
      </c>
      <c r="AE75" s="130"/>
      <c r="AF75" s="651">
        <f>(AF74-AE74)/AE74</f>
        <v>0.92112762956869199</v>
      </c>
      <c r="AG75" s="651">
        <f>(AG74-AF74)/AF74</f>
        <v>-0.49894092907665838</v>
      </c>
      <c r="AH75" s="651">
        <f>(AH74-AG74)/AG74</f>
        <v>-1.7539907822848946</v>
      </c>
      <c r="AI75" s="651">
        <f>(AI74-AH74)/AH74</f>
        <v>2.1199044650447316</v>
      </c>
      <c r="AJ75" s="130"/>
      <c r="AK75" s="490"/>
      <c r="AL75" s="490"/>
      <c r="AM75" s="490"/>
      <c r="AN75" s="129"/>
    </row>
    <row r="76" spans="2:41">
      <c r="AD76" s="126" t="s">
        <v>102</v>
      </c>
      <c r="AE76" s="246"/>
      <c r="AF76" s="244"/>
      <c r="AG76" s="244"/>
      <c r="AH76" s="244"/>
      <c r="AI76" s="244"/>
      <c r="AJ76" s="246"/>
      <c r="AK76" s="244"/>
      <c r="AL76" s="244"/>
      <c r="AM76" s="244"/>
      <c r="AN76" s="95"/>
    </row>
    <row r="77" spans="2:41">
      <c r="AD77" s="502" t="s">
        <v>103</v>
      </c>
      <c r="AE77" s="252"/>
      <c r="AF77" s="247"/>
      <c r="AG77" s="247"/>
      <c r="AH77" s="247"/>
      <c r="AI77" s="247"/>
      <c r="AJ77" s="252"/>
      <c r="AK77" s="247"/>
      <c r="AL77" s="247"/>
      <c r="AM77" s="247"/>
      <c r="AN77" s="253"/>
    </row>
  </sheetData>
  <mergeCells count="9">
    <mergeCell ref="B37:N37"/>
    <mergeCell ref="AE61:AN61"/>
    <mergeCell ref="Q37:Z37"/>
    <mergeCell ref="B2:N2"/>
    <mergeCell ref="M1:N1"/>
    <mergeCell ref="T1:U1"/>
    <mergeCell ref="Q2:Z2"/>
    <mergeCell ref="AE2:AM2"/>
    <mergeCell ref="AJ26:AN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6"/>
  <sheetViews>
    <sheetView topLeftCell="AQ6" zoomScale="67" zoomScaleNormal="61" workbookViewId="0">
      <selection activeCell="AR17" sqref="AR17:BB24"/>
    </sheetView>
  </sheetViews>
  <sheetFormatPr defaultColWidth="10.84375" defaultRowHeight="14.6"/>
  <cols>
    <col min="2" max="2" width="39.15234375" customWidth="1"/>
    <col min="3" max="3" width="14.4609375" customWidth="1"/>
    <col min="4" max="4" width="14.3046875" customWidth="1"/>
    <col min="5" max="5" width="14.4609375" customWidth="1"/>
    <col min="6" max="6" width="15.69140625" customWidth="1"/>
    <col min="7" max="7" width="15.3046875" customWidth="1"/>
    <col min="9" max="9" width="61" customWidth="1"/>
    <col min="10" max="10" width="16.69140625" customWidth="1"/>
    <col min="11" max="11" width="17.3046875" customWidth="1"/>
    <col min="12" max="12" width="16.4609375" customWidth="1"/>
    <col min="13" max="13" width="17.69140625" customWidth="1"/>
    <col min="14" max="14" width="19.3046875" customWidth="1"/>
    <col min="16" max="16" width="35.84375" customWidth="1"/>
    <col min="17" max="19" width="18.15234375" bestFit="1" customWidth="1"/>
    <col min="20" max="21" width="18.4609375" bestFit="1" customWidth="1"/>
    <col min="23" max="23" width="66.3046875" customWidth="1"/>
    <col min="24" max="26" width="18.15234375" bestFit="1" customWidth="1"/>
    <col min="27" max="28" width="18.4609375" bestFit="1" customWidth="1"/>
    <col min="29" max="29" width="32.4609375" customWidth="1"/>
    <col min="30" max="30" width="42.84375" customWidth="1"/>
    <col min="31" max="31" width="24.15234375" customWidth="1"/>
    <col min="32" max="32" width="25.69140625" customWidth="1"/>
    <col min="33" max="33" width="22.15234375" customWidth="1"/>
    <col min="34" max="34" width="25.84375" customWidth="1"/>
    <col min="35" max="35" width="23.69140625" customWidth="1"/>
    <col min="36" max="40" width="18.4609375" bestFit="1" customWidth="1"/>
    <col min="44" max="44" width="13.3046875" bestFit="1" customWidth="1"/>
    <col min="45" max="49" width="14.84375" bestFit="1" customWidth="1"/>
    <col min="50" max="54" width="12.84375" bestFit="1" customWidth="1"/>
  </cols>
  <sheetData>
    <row r="1" spans="2:55">
      <c r="M1" s="669" t="s">
        <v>129</v>
      </c>
      <c r="N1" s="671"/>
      <c r="T1" s="681" t="s">
        <v>129</v>
      </c>
      <c r="U1" s="682"/>
    </row>
    <row r="2" spans="2:55">
      <c r="B2" s="465" t="s">
        <v>340</v>
      </c>
      <c r="C2" s="670" t="s">
        <v>113</v>
      </c>
      <c r="D2" s="670"/>
      <c r="E2" s="670"/>
      <c r="F2" s="670"/>
      <c r="G2" s="670"/>
      <c r="H2" s="670"/>
      <c r="I2" s="670"/>
      <c r="J2" s="670"/>
      <c r="K2" s="466"/>
      <c r="L2" s="466"/>
      <c r="M2" s="466"/>
      <c r="N2" s="575"/>
      <c r="P2" s="576" t="s">
        <v>340</v>
      </c>
      <c r="Q2" s="683" t="s">
        <v>39</v>
      </c>
      <c r="R2" s="683"/>
      <c r="S2" s="683"/>
      <c r="T2" s="683"/>
      <c r="U2" s="683"/>
      <c r="V2" s="683"/>
      <c r="W2" s="683"/>
      <c r="X2" s="683"/>
      <c r="Y2" s="577"/>
      <c r="Z2" s="577"/>
      <c r="AA2" s="577"/>
      <c r="AB2" s="578"/>
      <c r="AD2" s="465" t="s">
        <v>340</v>
      </c>
      <c r="AE2" s="670" t="s">
        <v>40</v>
      </c>
      <c r="AF2" s="670"/>
      <c r="AG2" s="670"/>
      <c r="AH2" s="670"/>
      <c r="AI2" s="670"/>
      <c r="AJ2" s="670"/>
      <c r="AK2" s="670"/>
      <c r="AL2" s="670"/>
      <c r="AM2" s="466"/>
      <c r="AN2" s="575"/>
      <c r="AQ2" s="6"/>
      <c r="AR2" s="6"/>
      <c r="AS2" s="6"/>
      <c r="AT2" s="6"/>
      <c r="AU2" s="6"/>
      <c r="AV2" s="6"/>
      <c r="AW2" s="6"/>
      <c r="AX2" s="6"/>
    </row>
    <row r="3" spans="2:55" ht="15.9">
      <c r="B3" s="171" t="s">
        <v>341</v>
      </c>
      <c r="C3" s="174">
        <v>2016</v>
      </c>
      <c r="D3" s="174">
        <v>2017</v>
      </c>
      <c r="E3" s="174">
        <v>2018</v>
      </c>
      <c r="F3" s="174">
        <v>2019</v>
      </c>
      <c r="G3" s="174">
        <v>2020</v>
      </c>
      <c r="H3" s="513"/>
      <c r="I3" s="174" t="s">
        <v>42</v>
      </c>
      <c r="J3" s="174">
        <v>2016</v>
      </c>
      <c r="K3" s="142">
        <v>2017</v>
      </c>
      <c r="L3" s="174">
        <v>2018</v>
      </c>
      <c r="M3" s="174">
        <v>2019</v>
      </c>
      <c r="N3" s="175">
        <v>2020</v>
      </c>
      <c r="P3" s="171" t="s">
        <v>341</v>
      </c>
      <c r="Q3" s="174">
        <v>2016</v>
      </c>
      <c r="R3" s="174">
        <v>2017</v>
      </c>
      <c r="S3" s="174">
        <v>2018</v>
      </c>
      <c r="T3" s="174">
        <v>2019</v>
      </c>
      <c r="U3" s="174">
        <v>2020</v>
      </c>
      <c r="V3" s="513"/>
      <c r="W3" s="174" t="s">
        <v>42</v>
      </c>
      <c r="X3" s="174">
        <v>2016</v>
      </c>
      <c r="Y3" s="174">
        <v>2017</v>
      </c>
      <c r="Z3" s="174">
        <v>2018</v>
      </c>
      <c r="AA3" s="174">
        <v>2019</v>
      </c>
      <c r="AB3" s="175">
        <v>2020</v>
      </c>
      <c r="AD3" s="171" t="s">
        <v>341</v>
      </c>
      <c r="AE3" s="174">
        <v>2016</v>
      </c>
      <c r="AF3" s="174">
        <v>2017</v>
      </c>
      <c r="AG3" s="174">
        <v>2018</v>
      </c>
      <c r="AH3" s="174">
        <v>2019</v>
      </c>
      <c r="AI3" s="174">
        <v>2020</v>
      </c>
      <c r="AJ3" s="579">
        <v>2021</v>
      </c>
      <c r="AK3" s="472">
        <v>2022</v>
      </c>
      <c r="AL3" s="472">
        <v>2023</v>
      </c>
      <c r="AM3" s="472">
        <v>2024</v>
      </c>
      <c r="AN3" s="473">
        <v>2025</v>
      </c>
      <c r="AQ3" s="6"/>
      <c r="AR3" s="117"/>
      <c r="AS3" s="117"/>
      <c r="AT3" s="117"/>
      <c r="AU3" s="117"/>
      <c r="AV3" s="117"/>
      <c r="AW3" s="117"/>
      <c r="AX3" s="6"/>
    </row>
    <row r="4" spans="2:55" ht="15.9">
      <c r="B4" s="487" t="s">
        <v>43</v>
      </c>
      <c r="C4" s="511"/>
      <c r="D4" s="511"/>
      <c r="E4" s="512"/>
      <c r="F4" s="512"/>
      <c r="G4" s="512"/>
      <c r="H4" s="513"/>
      <c r="I4" s="102" t="s">
        <v>44</v>
      </c>
      <c r="J4" s="511"/>
      <c r="K4" s="511"/>
      <c r="L4" s="511"/>
      <c r="M4" s="511"/>
      <c r="N4" s="538"/>
      <c r="P4" s="525" t="s">
        <v>104</v>
      </c>
      <c r="Q4" s="128">
        <f t="shared" ref="Q4:U7" si="0">C40</f>
        <v>1463023</v>
      </c>
      <c r="R4" s="128">
        <f t="shared" si="0"/>
        <v>1462354</v>
      </c>
      <c r="S4" s="128">
        <f t="shared" si="0"/>
        <v>1462889</v>
      </c>
      <c r="T4" s="128">
        <f t="shared" si="0"/>
        <v>1520250</v>
      </c>
      <c r="U4" s="129">
        <f t="shared" si="0"/>
        <v>1521108</v>
      </c>
      <c r="W4" s="130" t="s">
        <v>45</v>
      </c>
      <c r="X4" s="128">
        <f t="shared" ref="X4:AB6" si="1">J41</f>
        <v>48774</v>
      </c>
      <c r="Y4" s="128">
        <f t="shared" si="1"/>
        <v>48774</v>
      </c>
      <c r="Z4" s="128">
        <f t="shared" si="1"/>
        <v>48774</v>
      </c>
      <c r="AA4" s="128">
        <f t="shared" si="1"/>
        <v>48774</v>
      </c>
      <c r="AB4" s="129">
        <f t="shared" si="1"/>
        <v>48770</v>
      </c>
      <c r="AD4" s="525" t="s">
        <v>104</v>
      </c>
      <c r="AE4" s="123">
        <f t="shared" ref="AE4:AI7" si="2">Q40</f>
        <v>1463023</v>
      </c>
      <c r="AF4" s="123">
        <f t="shared" si="2"/>
        <v>1462354</v>
      </c>
      <c r="AG4" s="123">
        <f t="shared" si="2"/>
        <v>1462889</v>
      </c>
      <c r="AH4" s="123">
        <f t="shared" si="2"/>
        <v>1520250</v>
      </c>
      <c r="AI4" s="124">
        <f t="shared" si="2"/>
        <v>1521108</v>
      </c>
      <c r="AJ4" s="128">
        <f>(AH4+AI4)/2</f>
        <v>1520679</v>
      </c>
      <c r="AK4" s="123">
        <f t="shared" ref="AK4:AN4" si="3">(AI4+AJ4)/2</f>
        <v>1520893.5</v>
      </c>
      <c r="AL4" s="123">
        <f t="shared" si="3"/>
        <v>1520786.25</v>
      </c>
      <c r="AM4" s="123">
        <f t="shared" si="3"/>
        <v>1520839.875</v>
      </c>
      <c r="AN4" s="124">
        <f t="shared" si="3"/>
        <v>1520813.0625</v>
      </c>
      <c r="AQ4" s="6"/>
      <c r="AR4" s="117"/>
      <c r="AS4" s="37"/>
      <c r="AT4" s="37"/>
      <c r="AU4" s="37"/>
      <c r="AV4" s="37"/>
      <c r="AW4" s="37"/>
      <c r="AX4" s="6"/>
    </row>
    <row r="5" spans="2:55" ht="15.9">
      <c r="B5" s="126" t="s">
        <v>104</v>
      </c>
      <c r="C5" s="490">
        <v>1463023</v>
      </c>
      <c r="D5" s="490">
        <v>1462354</v>
      </c>
      <c r="E5" s="490">
        <v>1462889</v>
      </c>
      <c r="F5" s="490">
        <f>1510165+10085</f>
        <v>1520250</v>
      </c>
      <c r="G5" s="515">
        <f>1515485+5623</f>
        <v>1521108</v>
      </c>
      <c r="I5" s="125" t="s">
        <v>45</v>
      </c>
      <c r="J5" s="490">
        <v>48774</v>
      </c>
      <c r="K5" s="490">
        <v>48774</v>
      </c>
      <c r="L5" s="490">
        <v>48774</v>
      </c>
      <c r="M5" s="490">
        <v>48774</v>
      </c>
      <c r="N5" s="129">
        <v>48770</v>
      </c>
      <c r="P5" s="126" t="s">
        <v>105</v>
      </c>
      <c r="Q5" s="128">
        <f t="shared" si="0"/>
        <v>0</v>
      </c>
      <c r="R5" s="128">
        <f t="shared" si="0"/>
        <v>8423</v>
      </c>
      <c r="S5" s="128">
        <f t="shared" si="0"/>
        <v>6532</v>
      </c>
      <c r="T5" s="128">
        <f t="shared" si="0"/>
        <v>0</v>
      </c>
      <c r="U5" s="129">
        <f t="shared" si="0"/>
        <v>0</v>
      </c>
      <c r="W5" s="130" t="s">
        <v>114</v>
      </c>
      <c r="X5" s="128">
        <f t="shared" si="1"/>
        <v>321049</v>
      </c>
      <c r="Y5" s="128">
        <f t="shared" si="1"/>
        <v>321049</v>
      </c>
      <c r="Z5" s="128">
        <f t="shared" si="1"/>
        <v>321049</v>
      </c>
      <c r="AA5" s="128">
        <f t="shared" si="1"/>
        <v>321049</v>
      </c>
      <c r="AB5" s="129">
        <f t="shared" si="1"/>
        <v>321050</v>
      </c>
      <c r="AD5" s="126" t="s">
        <v>105</v>
      </c>
      <c r="AE5" s="128">
        <f t="shared" si="2"/>
        <v>0</v>
      </c>
      <c r="AF5" s="128">
        <f t="shared" si="2"/>
        <v>8423</v>
      </c>
      <c r="AG5" s="128">
        <f t="shared" si="2"/>
        <v>6532</v>
      </c>
      <c r="AH5" s="128">
        <f t="shared" si="2"/>
        <v>0</v>
      </c>
      <c r="AI5" s="129">
        <f t="shared" si="2"/>
        <v>0</v>
      </c>
      <c r="AJ5" s="136">
        <f>$AI$5</f>
        <v>0</v>
      </c>
      <c r="AK5" s="136">
        <f t="shared" ref="AK5:AN5" si="4">$AI$5</f>
        <v>0</v>
      </c>
      <c r="AL5" s="136">
        <f t="shared" si="4"/>
        <v>0</v>
      </c>
      <c r="AM5" s="136">
        <f t="shared" si="4"/>
        <v>0</v>
      </c>
      <c r="AN5" s="140">
        <f t="shared" si="4"/>
        <v>0</v>
      </c>
      <c r="AQ5" s="6"/>
      <c r="AR5" s="117"/>
      <c r="AS5" s="37"/>
      <c r="AT5" s="37"/>
      <c r="AU5" s="37"/>
      <c r="AV5" s="37"/>
      <c r="AW5" s="37"/>
      <c r="AX5" s="6"/>
    </row>
    <row r="6" spans="2:55" ht="15.9">
      <c r="B6" s="126" t="s">
        <v>105</v>
      </c>
      <c r="C6" s="490">
        <v>0</v>
      </c>
      <c r="D6" s="490">
        <v>8423</v>
      </c>
      <c r="E6" s="490">
        <v>6532</v>
      </c>
      <c r="F6" s="490"/>
      <c r="G6" s="515"/>
      <c r="I6" s="130" t="s">
        <v>114</v>
      </c>
      <c r="J6" s="490">
        <v>321049</v>
      </c>
      <c r="K6" s="490">
        <v>321049</v>
      </c>
      <c r="L6" s="490">
        <v>321049</v>
      </c>
      <c r="M6" s="490">
        <v>321049</v>
      </c>
      <c r="N6" s="129">
        <v>321050</v>
      </c>
      <c r="P6" s="126" t="s">
        <v>108</v>
      </c>
      <c r="Q6" s="128">
        <f t="shared" si="0"/>
        <v>0</v>
      </c>
      <c r="R6" s="128">
        <f t="shared" si="0"/>
        <v>0</v>
      </c>
      <c r="S6" s="128">
        <f t="shared" si="0"/>
        <v>0</v>
      </c>
      <c r="T6" s="128">
        <f t="shared" si="0"/>
        <v>65402</v>
      </c>
      <c r="U6" s="129">
        <f t="shared" si="0"/>
        <v>72280</v>
      </c>
      <c r="W6" s="130" t="s">
        <v>115</v>
      </c>
      <c r="X6" s="128">
        <f t="shared" si="1"/>
        <v>64617</v>
      </c>
      <c r="Y6" s="128">
        <f t="shared" si="1"/>
        <v>64617</v>
      </c>
      <c r="Z6" s="128">
        <f t="shared" si="1"/>
        <v>64617</v>
      </c>
      <c r="AA6" s="128">
        <f t="shared" si="1"/>
        <v>64617</v>
      </c>
      <c r="AB6" s="129">
        <f t="shared" si="1"/>
        <v>64617</v>
      </c>
      <c r="AD6" s="126" t="s">
        <v>108</v>
      </c>
      <c r="AE6" s="128">
        <f t="shared" si="2"/>
        <v>0</v>
      </c>
      <c r="AF6" s="128">
        <f t="shared" si="2"/>
        <v>0</v>
      </c>
      <c r="AG6" s="128">
        <f t="shared" si="2"/>
        <v>0</v>
      </c>
      <c r="AH6" s="128">
        <f t="shared" si="2"/>
        <v>65402</v>
      </c>
      <c r="AI6" s="129">
        <f t="shared" si="2"/>
        <v>72280</v>
      </c>
      <c r="AJ6" s="136">
        <f>AI6*1.01</f>
        <v>73002.8</v>
      </c>
      <c r="AK6" s="136">
        <f t="shared" ref="AK6:AN6" si="5">AJ6*1.01</f>
        <v>73732.828000000009</v>
      </c>
      <c r="AL6" s="136">
        <f t="shared" si="5"/>
        <v>74470.15628000001</v>
      </c>
      <c r="AM6" s="136">
        <f t="shared" si="5"/>
        <v>75214.857842800004</v>
      </c>
      <c r="AN6" s="140">
        <f t="shared" si="5"/>
        <v>75967.006421227998</v>
      </c>
      <c r="AQ6" s="6"/>
      <c r="AR6" s="117"/>
      <c r="AS6" s="37"/>
      <c r="AT6" s="37"/>
      <c r="AU6" s="37"/>
      <c r="AV6" s="37"/>
      <c r="AW6" s="37"/>
      <c r="AX6" s="6"/>
    </row>
    <row r="7" spans="2:55" ht="15.9">
      <c r="B7" s="126" t="s">
        <v>108</v>
      </c>
      <c r="C7" s="490"/>
      <c r="D7" s="490"/>
      <c r="E7" s="490"/>
      <c r="F7" s="490">
        <v>65402</v>
      </c>
      <c r="G7" s="515">
        <v>72280</v>
      </c>
      <c r="I7" s="130" t="s">
        <v>115</v>
      </c>
      <c r="J7" s="490">
        <v>64617</v>
      </c>
      <c r="K7" s="490">
        <v>64617</v>
      </c>
      <c r="L7" s="490">
        <v>64617</v>
      </c>
      <c r="M7" s="490">
        <v>64617</v>
      </c>
      <c r="N7" s="490">
        <v>64617</v>
      </c>
      <c r="O7" s="1"/>
      <c r="P7" s="126" t="s">
        <v>109</v>
      </c>
      <c r="Q7" s="128">
        <f t="shared" si="0"/>
        <v>0</v>
      </c>
      <c r="R7" s="128">
        <f t="shared" si="0"/>
        <v>0</v>
      </c>
      <c r="S7" s="128">
        <f t="shared" si="0"/>
        <v>0</v>
      </c>
      <c r="T7" s="128">
        <f t="shared" si="0"/>
        <v>2185</v>
      </c>
      <c r="U7" s="129">
        <f t="shared" si="0"/>
        <v>15810</v>
      </c>
      <c r="W7" s="536" t="s">
        <v>116</v>
      </c>
      <c r="X7" s="233">
        <f>SUM(X4:X6)</f>
        <v>434440</v>
      </c>
      <c r="Y7" s="233">
        <f t="shared" ref="Y7:AB7" si="6">SUM(Y4:Y6)</f>
        <v>434440</v>
      </c>
      <c r="Z7" s="233">
        <f t="shared" si="6"/>
        <v>434440</v>
      </c>
      <c r="AA7" s="233">
        <f t="shared" si="6"/>
        <v>434440</v>
      </c>
      <c r="AB7" s="224">
        <f t="shared" si="6"/>
        <v>434437</v>
      </c>
      <c r="AD7" s="126" t="s">
        <v>109</v>
      </c>
      <c r="AE7" s="128">
        <f t="shared" si="2"/>
        <v>0</v>
      </c>
      <c r="AF7" s="128">
        <f t="shared" si="2"/>
        <v>0</v>
      </c>
      <c r="AG7" s="128">
        <f t="shared" si="2"/>
        <v>0</v>
      </c>
      <c r="AH7" s="128">
        <f t="shared" si="2"/>
        <v>2185</v>
      </c>
      <c r="AI7" s="129">
        <f t="shared" si="2"/>
        <v>15810</v>
      </c>
      <c r="AJ7" s="136">
        <f>AI7</f>
        <v>15810</v>
      </c>
      <c r="AK7" s="136">
        <f t="shared" ref="AK7:AN7" si="7">AJ7</f>
        <v>15810</v>
      </c>
      <c r="AL7" s="136">
        <f t="shared" si="7"/>
        <v>15810</v>
      </c>
      <c r="AM7" s="136">
        <f t="shared" si="7"/>
        <v>15810</v>
      </c>
      <c r="AN7" s="140">
        <f t="shared" si="7"/>
        <v>15810</v>
      </c>
      <c r="AQ7" s="6"/>
      <c r="AR7" s="117"/>
      <c r="AS7" s="37"/>
      <c r="AT7" s="37"/>
      <c r="AU7" s="37"/>
      <c r="AV7" s="37"/>
      <c r="AW7" s="37"/>
      <c r="AX7" s="6"/>
    </row>
    <row r="8" spans="2:55" ht="15.9">
      <c r="B8" s="126" t="s">
        <v>109</v>
      </c>
      <c r="C8" s="490"/>
      <c r="D8" s="490"/>
      <c r="E8" s="490"/>
      <c r="F8" s="490">
        <v>2185</v>
      </c>
      <c r="G8" s="515">
        <v>15810</v>
      </c>
      <c r="I8" s="533" t="s">
        <v>116</v>
      </c>
      <c r="J8" s="534">
        <f>J5+J6+J7</f>
        <v>434440</v>
      </c>
      <c r="K8" s="534">
        <f t="shared" ref="K8:N8" si="8">K5+K6+K7</f>
        <v>434440</v>
      </c>
      <c r="L8" s="534">
        <f t="shared" si="8"/>
        <v>434440</v>
      </c>
      <c r="M8" s="534">
        <f t="shared" si="8"/>
        <v>434440</v>
      </c>
      <c r="N8" s="224">
        <f t="shared" si="8"/>
        <v>434437</v>
      </c>
      <c r="P8" s="492" t="s">
        <v>47</v>
      </c>
      <c r="Q8" s="540">
        <f>SUM(Q4:Q7)</f>
        <v>1463023</v>
      </c>
      <c r="R8" s="540">
        <f t="shared" ref="R8:U8" si="9">SUM(R4:R7)</f>
        <v>1470777</v>
      </c>
      <c r="S8" s="540">
        <f t="shared" si="9"/>
        <v>1469421</v>
      </c>
      <c r="T8" s="540">
        <f t="shared" si="9"/>
        <v>1587837</v>
      </c>
      <c r="U8" s="530">
        <f t="shared" si="9"/>
        <v>1609198</v>
      </c>
      <c r="W8" s="130" t="s">
        <v>117</v>
      </c>
      <c r="X8" s="128">
        <f t="shared" ref="X8:AB9" si="10">J45</f>
        <v>6370</v>
      </c>
      <c r="Y8" s="128">
        <f t="shared" si="10"/>
        <v>3205</v>
      </c>
      <c r="Z8" s="128">
        <f t="shared" si="10"/>
        <v>8265</v>
      </c>
      <c r="AA8" s="128">
        <f t="shared" si="10"/>
        <v>-10148</v>
      </c>
      <c r="AB8" s="129">
        <f t="shared" si="10"/>
        <v>0</v>
      </c>
      <c r="AD8" s="492" t="s">
        <v>47</v>
      </c>
      <c r="AE8" s="540">
        <f>SUM(AE4:AE7)</f>
        <v>1463023</v>
      </c>
      <c r="AF8" s="540">
        <f t="shared" ref="AF8:AN8" si="11">SUM(AF4:AF7)</f>
        <v>1470777</v>
      </c>
      <c r="AG8" s="540">
        <f t="shared" si="11"/>
        <v>1469421</v>
      </c>
      <c r="AH8" s="540">
        <f t="shared" si="11"/>
        <v>1587837</v>
      </c>
      <c r="AI8" s="530">
        <f t="shared" si="11"/>
        <v>1609198</v>
      </c>
      <c r="AJ8" s="540">
        <f>SUM(AJ4:AJ7)</f>
        <v>1609491.8</v>
      </c>
      <c r="AK8" s="540">
        <f t="shared" si="11"/>
        <v>1610436.328</v>
      </c>
      <c r="AL8" s="540">
        <f t="shared" si="11"/>
        <v>1611066.40628</v>
      </c>
      <c r="AM8" s="540">
        <f t="shared" si="11"/>
        <v>1611864.7328428</v>
      </c>
      <c r="AN8" s="530">
        <f t="shared" si="11"/>
        <v>1612590.0689212279</v>
      </c>
      <c r="AQ8" s="6"/>
      <c r="AR8" s="117"/>
      <c r="AS8" s="37"/>
      <c r="AT8" s="37"/>
      <c r="AU8" s="37"/>
      <c r="AV8" s="37"/>
      <c r="AW8" s="37"/>
      <c r="AX8" s="6"/>
    </row>
    <row r="9" spans="2:55" ht="15.9">
      <c r="B9" s="492" t="s">
        <v>47</v>
      </c>
      <c r="C9" s="529">
        <f>C5+C6+C7+C8</f>
        <v>1463023</v>
      </c>
      <c r="D9" s="529">
        <f t="shared" ref="D9:E9" si="12">D5+D6+D7+D8</f>
        <v>1470777</v>
      </c>
      <c r="E9" s="529">
        <f t="shared" si="12"/>
        <v>1469421</v>
      </c>
      <c r="F9" s="529">
        <f>F5+F6+F7+F8-1</f>
        <v>1587836</v>
      </c>
      <c r="G9" s="530">
        <f>G5+G6+G7+G8-1</f>
        <v>1609197</v>
      </c>
      <c r="I9" s="130" t="s">
        <v>117</v>
      </c>
      <c r="J9" s="490">
        <v>6370</v>
      </c>
      <c r="K9" s="490">
        <v>3205</v>
      </c>
      <c r="L9" s="490">
        <v>8265</v>
      </c>
      <c r="M9" s="490">
        <v>-10148</v>
      </c>
      <c r="N9" s="129"/>
      <c r="P9" s="126" t="s">
        <v>128</v>
      </c>
      <c r="Q9" s="128">
        <f t="shared" ref="Q9:U10" si="13">C45</f>
        <v>790972.41139823489</v>
      </c>
      <c r="R9" s="128">
        <f t="shared" si="13"/>
        <v>790610.72156613693</v>
      </c>
      <c r="S9" s="128">
        <f t="shared" si="13"/>
        <v>790899.96530331543</v>
      </c>
      <c r="T9" s="128">
        <f t="shared" si="13"/>
        <v>822604</v>
      </c>
      <c r="U9" s="129">
        <f t="shared" si="13"/>
        <v>821683</v>
      </c>
      <c r="W9" s="130" t="s">
        <v>49</v>
      </c>
      <c r="X9" s="128">
        <f t="shared" si="10"/>
        <v>523566.17060419847</v>
      </c>
      <c r="Y9" s="128">
        <f t="shared" si="10"/>
        <v>544087.28582935384</v>
      </c>
      <c r="Z9" s="128">
        <f t="shared" si="10"/>
        <v>610521.34986495227</v>
      </c>
      <c r="AA9" s="128">
        <f t="shared" si="10"/>
        <v>725869</v>
      </c>
      <c r="AB9" s="129">
        <f t="shared" si="10"/>
        <v>750164</v>
      </c>
      <c r="AD9" s="126" t="s">
        <v>128</v>
      </c>
      <c r="AE9" s="128">
        <f t="shared" ref="AE9:AI10" si="14">Q45</f>
        <v>790972.41139823489</v>
      </c>
      <c r="AF9" s="128">
        <f t="shared" si="14"/>
        <v>790610.72156613693</v>
      </c>
      <c r="AG9" s="128">
        <f t="shared" si="14"/>
        <v>790899.96530331543</v>
      </c>
      <c r="AH9" s="128">
        <f t="shared" si="14"/>
        <v>822604</v>
      </c>
      <c r="AI9" s="129">
        <f t="shared" si="14"/>
        <v>821683</v>
      </c>
      <c r="AJ9" s="136">
        <f>((AH9+AI9)/2)*1.05</f>
        <v>863250.67500000005</v>
      </c>
      <c r="AK9" s="136">
        <f>((AI9+AJ9)/2)*1.05</f>
        <v>884590.17937500007</v>
      </c>
      <c r="AL9" s="136">
        <f t="shared" ref="AL9:AN9" si="15">((AJ9+AK9)/2)*1.05</f>
        <v>917616.44854687515</v>
      </c>
      <c r="AM9" s="136">
        <f t="shared" si="15"/>
        <v>946158.47965898446</v>
      </c>
      <c r="AN9" s="140">
        <f t="shared" si="15"/>
        <v>978481.83730807633</v>
      </c>
      <c r="AQ9" s="6"/>
      <c r="AR9" s="117"/>
      <c r="AS9" s="37"/>
      <c r="AT9" s="37"/>
      <c r="AU9" s="37"/>
      <c r="AV9" s="37"/>
      <c r="AW9" s="37"/>
      <c r="AX9" s="6"/>
    </row>
    <row r="10" spans="2:55" ht="15.9">
      <c r="B10" s="126" t="s">
        <v>110</v>
      </c>
      <c r="C10" s="490">
        <f>C5*$F28</f>
        <v>790972.41139823489</v>
      </c>
      <c r="D10" s="490">
        <f>D5*$F28</f>
        <v>790610.72156613693</v>
      </c>
      <c r="E10" s="490">
        <f>E5*$F28</f>
        <v>790899.96530331543</v>
      </c>
      <c r="F10" s="490">
        <v>822604</v>
      </c>
      <c r="G10" s="129">
        <v>821683</v>
      </c>
      <c r="I10" s="130" t="s">
        <v>188</v>
      </c>
      <c r="J10" s="542">
        <f>'Balance sheet'!J10+C27</f>
        <v>523566.17060419847</v>
      </c>
      <c r="K10" s="542">
        <f>'Balance sheet'!K10+D27</f>
        <v>544087.28582935384</v>
      </c>
      <c r="L10" s="542">
        <f>'Balance sheet'!L10+E27</f>
        <v>610521.34986495227</v>
      </c>
      <c r="M10" s="490">
        <v>725869</v>
      </c>
      <c r="N10" s="129">
        <v>750164</v>
      </c>
      <c r="P10" s="126" t="s">
        <v>55</v>
      </c>
      <c r="Q10" s="128">
        <f t="shared" si="13"/>
        <v>88492</v>
      </c>
      <c r="R10" s="128">
        <f t="shared" si="13"/>
        <v>91896</v>
      </c>
      <c r="S10" s="128">
        <f t="shared" si="13"/>
        <v>91530</v>
      </c>
      <c r="T10" s="128">
        <f t="shared" si="13"/>
        <v>179233</v>
      </c>
      <c r="U10" s="129">
        <f t="shared" si="13"/>
        <v>199512</v>
      </c>
      <c r="W10" s="535" t="s">
        <v>57</v>
      </c>
      <c r="X10" s="168">
        <f>X7+X8+X9</f>
        <v>964376.17060419847</v>
      </c>
      <c r="Y10" s="168">
        <f t="shared" ref="Y10:AB10" si="16">Y7+Y8+Y9</f>
        <v>981732.28582935384</v>
      </c>
      <c r="Z10" s="168">
        <f t="shared" si="16"/>
        <v>1053226.3498649523</v>
      </c>
      <c r="AA10" s="168">
        <f t="shared" si="16"/>
        <v>1150161</v>
      </c>
      <c r="AB10" s="170">
        <f t="shared" si="16"/>
        <v>1184601</v>
      </c>
      <c r="AD10" s="126" t="s">
        <v>55</v>
      </c>
      <c r="AE10" s="128">
        <f t="shared" si="14"/>
        <v>88492</v>
      </c>
      <c r="AF10" s="128">
        <f t="shared" si="14"/>
        <v>91896</v>
      </c>
      <c r="AG10" s="128">
        <f t="shared" si="14"/>
        <v>91530</v>
      </c>
      <c r="AH10" s="128">
        <f t="shared" si="14"/>
        <v>179233</v>
      </c>
      <c r="AI10" s="129">
        <f t="shared" si="14"/>
        <v>199512</v>
      </c>
      <c r="AJ10" s="128">
        <f>AI10*(1.05)</f>
        <v>209487.6</v>
      </c>
      <c r="AK10" s="128">
        <f>AJ10*(1.01)*1.05</f>
        <v>222161.5998</v>
      </c>
      <c r="AL10" s="128">
        <f t="shared" ref="AL10:AN10" si="17">AK10*(1.01)*1.05</f>
        <v>235602.37658790001</v>
      </c>
      <c r="AM10" s="128">
        <f t="shared" si="17"/>
        <v>249856.320371468</v>
      </c>
      <c r="AN10" s="129">
        <f t="shared" si="17"/>
        <v>264972.62775394181</v>
      </c>
      <c r="AQ10" s="6"/>
      <c r="AR10" s="117"/>
      <c r="AS10" s="37"/>
      <c r="AT10" s="37"/>
      <c r="AU10" s="37"/>
      <c r="AV10" s="37"/>
      <c r="AW10" s="37"/>
      <c r="AX10" s="6"/>
    </row>
    <row r="11" spans="2:55" ht="15.9">
      <c r="B11" s="126" t="s">
        <v>55</v>
      </c>
      <c r="C11" s="490">
        <v>88492</v>
      </c>
      <c r="D11" s="490">
        <v>91896</v>
      </c>
      <c r="E11" s="490">
        <v>91530</v>
      </c>
      <c r="F11" s="490">
        <v>179233</v>
      </c>
      <c r="G11" s="129">
        <v>199512</v>
      </c>
      <c r="I11" s="550" t="s">
        <v>189</v>
      </c>
      <c r="J11" s="480">
        <f>J8+J9+J10</f>
        <v>964376.17060419847</v>
      </c>
      <c r="K11" s="480">
        <f>K8+K9+K10</f>
        <v>981732.28582935384</v>
      </c>
      <c r="L11" s="481">
        <f>L8+L9+L10</f>
        <v>1053226.3498649523</v>
      </c>
      <c r="M11" s="168">
        <f>M8+M9+M10</f>
        <v>1150161</v>
      </c>
      <c r="N11" s="170">
        <f>N8+N9+N10</f>
        <v>1184601</v>
      </c>
      <c r="P11" s="492" t="s">
        <v>50</v>
      </c>
      <c r="Q11" s="540">
        <f>Q9+Q10</f>
        <v>879464.41139823489</v>
      </c>
      <c r="R11" s="540">
        <f t="shared" ref="R11:U11" si="18">R9+R10</f>
        <v>882506.72156613693</v>
      </c>
      <c r="S11" s="540">
        <f t="shared" si="18"/>
        <v>882429.96530331543</v>
      </c>
      <c r="T11" s="540">
        <f t="shared" si="18"/>
        <v>1001837</v>
      </c>
      <c r="U11" s="530">
        <f t="shared" si="18"/>
        <v>1021195</v>
      </c>
      <c r="W11" s="566" t="s">
        <v>198</v>
      </c>
      <c r="X11" s="128">
        <f>J56</f>
        <v>562810.21903934795</v>
      </c>
      <c r="Y11" s="128">
        <f>K56</f>
        <v>562101.69083363563</v>
      </c>
      <c r="Z11" s="128">
        <f>L56</f>
        <v>563210.00628940144</v>
      </c>
      <c r="AA11" s="128">
        <f>M56</f>
        <v>584848</v>
      </c>
      <c r="AB11" s="129">
        <f>N56</f>
        <v>585131</v>
      </c>
      <c r="AD11" s="492" t="s">
        <v>50</v>
      </c>
      <c r="AE11" s="540">
        <f>AE9+AE10</f>
        <v>879464.41139823489</v>
      </c>
      <c r="AF11" s="540">
        <f t="shared" ref="AF11:AN11" si="19">AF9+AF10</f>
        <v>882506.72156613693</v>
      </c>
      <c r="AG11" s="540">
        <f t="shared" si="19"/>
        <v>882429.96530331543</v>
      </c>
      <c r="AH11" s="540">
        <f t="shared" si="19"/>
        <v>1001837</v>
      </c>
      <c r="AI11" s="530">
        <f t="shared" si="19"/>
        <v>1021195</v>
      </c>
      <c r="AJ11" s="540">
        <f t="shared" si="19"/>
        <v>1072738.2750000001</v>
      </c>
      <c r="AK11" s="540">
        <f>AK9+AK10</f>
        <v>1106751.779175</v>
      </c>
      <c r="AL11" s="540">
        <f t="shared" si="19"/>
        <v>1153218.8251347751</v>
      </c>
      <c r="AM11" s="540">
        <f t="shared" si="19"/>
        <v>1196014.8000304524</v>
      </c>
      <c r="AN11" s="530">
        <f t="shared" si="19"/>
        <v>1243454.465062018</v>
      </c>
      <c r="AQ11" s="6"/>
      <c r="AR11" s="117"/>
      <c r="AS11" s="37"/>
      <c r="AT11" s="37"/>
      <c r="AU11" s="37"/>
      <c r="AV11" s="37"/>
      <c r="AW11" s="37"/>
      <c r="AX11" s="6"/>
    </row>
    <row r="12" spans="2:55" ht="15.9">
      <c r="B12" s="492" t="s">
        <v>50</v>
      </c>
      <c r="C12" s="540">
        <f>C10+C11</f>
        <v>879464.41139823489</v>
      </c>
      <c r="D12" s="530">
        <f>D10+D11</f>
        <v>882506.72156613693</v>
      </c>
      <c r="E12" s="530">
        <f>E10+E11</f>
        <v>882429.96530331543</v>
      </c>
      <c r="F12" s="530">
        <f>F10+F11+1</f>
        <v>1001838</v>
      </c>
      <c r="G12" s="530">
        <f>G10+G11</f>
        <v>1021195</v>
      </c>
      <c r="M12" s="2"/>
      <c r="N12" s="3"/>
      <c r="P12" s="564" t="s">
        <v>127</v>
      </c>
      <c r="Q12" s="128">
        <f>J48*(-1)</f>
        <v>-350349</v>
      </c>
      <c r="R12" s="128">
        <f>K48*(-1)</f>
        <v>-334585</v>
      </c>
      <c r="S12" s="128">
        <f>L48*(-1)</f>
        <v>-321352</v>
      </c>
      <c r="T12" s="128">
        <f>M48*(-1)</f>
        <v>-315398</v>
      </c>
      <c r="U12" s="129">
        <f>N48*(-1)</f>
        <v>-315336</v>
      </c>
      <c r="W12" s="567" t="s">
        <v>199</v>
      </c>
      <c r="X12" s="559">
        <f>J55</f>
        <v>228162.19235888694</v>
      </c>
      <c r="Y12" s="559">
        <f>K55</f>
        <v>228509.0307325013</v>
      </c>
      <c r="Z12" s="559">
        <f>L55</f>
        <v>227689.95901391399</v>
      </c>
      <c r="AA12" s="559">
        <f>M55</f>
        <v>217427</v>
      </c>
      <c r="AB12" s="543">
        <f>N55</f>
        <v>234113</v>
      </c>
      <c r="AD12" s="564" t="s">
        <v>127</v>
      </c>
      <c r="AE12" s="128">
        <f>Q48</f>
        <v>-350349</v>
      </c>
      <c r="AF12" s="128">
        <f>R48</f>
        <v>-334585</v>
      </c>
      <c r="AG12" s="128">
        <f>S48</f>
        <v>-321352</v>
      </c>
      <c r="AH12" s="128">
        <f>T48</f>
        <v>-315398</v>
      </c>
      <c r="AI12" s="129">
        <f>U48</f>
        <v>-315336</v>
      </c>
      <c r="AJ12" s="128">
        <f>AJ11*AJ64</f>
        <v>-353209.08608718001</v>
      </c>
      <c r="AK12" s="128">
        <f>AK11*AK64</f>
        <v>-351530.25484963978</v>
      </c>
      <c r="AL12" s="128">
        <f t="shared" ref="AL12:AN12" si="20">AL11*AL64</f>
        <v>-367367.04178104387</v>
      </c>
      <c r="AM12" s="128">
        <f t="shared" si="20"/>
        <v>-384893.7836585886</v>
      </c>
      <c r="AN12" s="129">
        <f t="shared" si="20"/>
        <v>-397074.35352132033</v>
      </c>
      <c r="AQ12" s="6"/>
      <c r="AR12" s="117"/>
      <c r="AS12" s="37"/>
      <c r="AT12" s="37"/>
      <c r="AU12" s="37"/>
      <c r="AV12" s="37"/>
      <c r="AW12" s="37"/>
      <c r="AX12" s="6"/>
    </row>
    <row r="13" spans="2:55" ht="15.9">
      <c r="B13" s="531" t="s">
        <v>63</v>
      </c>
      <c r="C13" s="168">
        <f>C9+C12</f>
        <v>2342487.4113982348</v>
      </c>
      <c r="D13" s="168">
        <f t="shared" ref="D13:G13" si="21">D9+D12</f>
        <v>2353283.7215661369</v>
      </c>
      <c r="E13" s="168">
        <f t="shared" si="21"/>
        <v>2351850.9653033153</v>
      </c>
      <c r="F13" s="168">
        <f t="shared" si="21"/>
        <v>2589674</v>
      </c>
      <c r="G13" s="168">
        <f t="shared" si="21"/>
        <v>2630392</v>
      </c>
      <c r="I13" s="535" t="s">
        <v>60</v>
      </c>
      <c r="J13" s="532"/>
      <c r="K13" s="532"/>
      <c r="L13" s="168"/>
      <c r="M13" s="168"/>
      <c r="N13" s="170"/>
      <c r="P13" s="531" t="s">
        <v>46</v>
      </c>
      <c r="Q13" s="168">
        <f>Q8+Q11+Q12</f>
        <v>1992138.4113982348</v>
      </c>
      <c r="R13" s="168">
        <f t="shared" ref="R13:U13" si="22">R8+R11+R12</f>
        <v>2018698.7215661369</v>
      </c>
      <c r="S13" s="168">
        <f t="shared" si="22"/>
        <v>2030498.9653033153</v>
      </c>
      <c r="T13" s="168">
        <f t="shared" si="22"/>
        <v>2274276</v>
      </c>
      <c r="U13" s="168">
        <f t="shared" si="22"/>
        <v>2315057</v>
      </c>
      <c r="W13" s="551" t="s">
        <v>121</v>
      </c>
      <c r="X13" s="128">
        <f>J54</f>
        <v>526544</v>
      </c>
      <c r="Y13" s="128">
        <f>K54</f>
        <v>429433</v>
      </c>
      <c r="Z13" s="128">
        <f>L54</f>
        <v>427873</v>
      </c>
      <c r="AA13" s="128">
        <f>M54</f>
        <v>494498</v>
      </c>
      <c r="AB13" s="129">
        <f>N54</f>
        <v>461480</v>
      </c>
      <c r="AD13" s="531" t="s">
        <v>58</v>
      </c>
      <c r="AE13" s="168">
        <f t="shared" ref="AE13:AI13" si="23">AE8+AE11+AE12</f>
        <v>1992138.4113982348</v>
      </c>
      <c r="AF13" s="168">
        <f t="shared" si="23"/>
        <v>2018698.7215661369</v>
      </c>
      <c r="AG13" s="168">
        <f t="shared" si="23"/>
        <v>2030498.9653033153</v>
      </c>
      <c r="AH13" s="168">
        <f t="shared" si="23"/>
        <v>2274276</v>
      </c>
      <c r="AI13" s="170">
        <f t="shared" si="23"/>
        <v>2315057</v>
      </c>
      <c r="AJ13" s="168">
        <f>AJ8+AJ11+AJ12</f>
        <v>2329020.9889128204</v>
      </c>
      <c r="AK13" s="168">
        <f t="shared" ref="AK13:AN13" si="24">AK8+AK11+AK12</f>
        <v>2365657.8523253603</v>
      </c>
      <c r="AL13" s="168">
        <f t="shared" si="24"/>
        <v>2396918.1896337317</v>
      </c>
      <c r="AM13" s="168">
        <f t="shared" si="24"/>
        <v>2422985.7492146636</v>
      </c>
      <c r="AN13" s="170">
        <f t="shared" si="24"/>
        <v>2458970.1804619255</v>
      </c>
      <c r="AQ13" s="6"/>
      <c r="AR13" s="240"/>
      <c r="AS13" s="240"/>
      <c r="AT13" s="173"/>
      <c r="AU13" s="6"/>
      <c r="AV13" s="6"/>
      <c r="AW13" s="6"/>
      <c r="AX13" s="6"/>
    </row>
    <row r="14" spans="2:55">
      <c r="B14" s="1"/>
      <c r="C14" s="2"/>
      <c r="D14" s="2"/>
      <c r="G14" s="7"/>
      <c r="I14" s="130" t="s">
        <v>127</v>
      </c>
      <c r="J14" s="490">
        <v>350349</v>
      </c>
      <c r="K14" s="490">
        <v>334585</v>
      </c>
      <c r="L14" s="490">
        <v>321352</v>
      </c>
      <c r="M14" s="490">
        <v>315398</v>
      </c>
      <c r="N14" s="129">
        <v>315336</v>
      </c>
      <c r="P14" s="126" t="s">
        <v>59</v>
      </c>
      <c r="Q14" s="128">
        <f>C16</f>
        <v>222190</v>
      </c>
      <c r="R14" s="128">
        <f>D16</f>
        <v>301997</v>
      </c>
      <c r="S14" s="128">
        <f>E16</f>
        <v>253157</v>
      </c>
      <c r="T14" s="128">
        <f>F16</f>
        <v>484988</v>
      </c>
      <c r="U14" s="129">
        <f>G16</f>
        <v>482161</v>
      </c>
      <c r="W14" s="126" t="s">
        <v>123</v>
      </c>
      <c r="X14" s="128">
        <f t="shared" ref="X14:AB16" si="25">J57</f>
        <v>0</v>
      </c>
      <c r="Y14" s="128">
        <f t="shared" si="25"/>
        <v>0</v>
      </c>
      <c r="Z14" s="128">
        <f t="shared" si="25"/>
        <v>0</v>
      </c>
      <c r="AA14" s="128">
        <f t="shared" si="25"/>
        <v>180000</v>
      </c>
      <c r="AB14" s="129">
        <f t="shared" si="25"/>
        <v>60297</v>
      </c>
      <c r="AD14" s="126" t="s">
        <v>59</v>
      </c>
      <c r="AE14" s="128">
        <f>Q50</f>
        <v>222190</v>
      </c>
      <c r="AF14" s="128">
        <f>R50</f>
        <v>301997</v>
      </c>
      <c r="AG14" s="128">
        <f>S50</f>
        <v>253157</v>
      </c>
      <c r="AH14" s="128">
        <f>T50</f>
        <v>484988</v>
      </c>
      <c r="AI14" s="129">
        <f>U50</f>
        <v>482161</v>
      </c>
      <c r="AJ14" s="128">
        <f>-' Adj. income statement'!P5/'Adj. balance sheet'!AJ62</f>
        <v>566704.59460291895</v>
      </c>
      <c r="AK14" s="128">
        <f>-' Adj. income statement'!Q5/'Adj. balance sheet'!AK62</f>
        <v>586414.57280421944</v>
      </c>
      <c r="AL14" s="128">
        <f>-' Adj. income statement'!R5/'Adj. balance sheet'!AL62</f>
        <v>577315.65042478335</v>
      </c>
      <c r="AM14" s="128">
        <f>-' Adj. income statement'!S5/'Adj. balance sheet'!AM62</f>
        <v>599992.61823939544</v>
      </c>
      <c r="AN14" s="129">
        <f>-' Adj. income statement'!T5/'Adj. balance sheet'!AN62</f>
        <v>605523.06399215828</v>
      </c>
      <c r="AQ14" s="6"/>
      <c r="AR14" s="6"/>
      <c r="AS14" s="6"/>
      <c r="AT14" s="6"/>
      <c r="AU14" s="6"/>
      <c r="AV14" s="6"/>
      <c r="AW14" s="6"/>
      <c r="AX14" s="6"/>
    </row>
    <row r="15" spans="2:55" ht="15.9">
      <c r="B15" s="531" t="s">
        <v>66</v>
      </c>
      <c r="C15" s="532"/>
      <c r="D15" s="532"/>
      <c r="E15" s="168"/>
      <c r="F15" s="168"/>
      <c r="G15" s="170"/>
      <c r="I15" s="536" t="s">
        <v>119</v>
      </c>
      <c r="J15" s="534">
        <f>J14</f>
        <v>350349</v>
      </c>
      <c r="K15" s="534">
        <f>K14</f>
        <v>334585</v>
      </c>
      <c r="L15" s="534">
        <f>L14</f>
        <v>321352</v>
      </c>
      <c r="M15" s="534">
        <f>M14</f>
        <v>315398</v>
      </c>
      <c r="N15" s="224">
        <f>N14</f>
        <v>315336</v>
      </c>
      <c r="P15" s="492" t="s">
        <v>62</v>
      </c>
      <c r="Q15" s="540">
        <f t="shared" ref="Q15:U18" si="26">C54</f>
        <v>222190</v>
      </c>
      <c r="R15" s="540">
        <f t="shared" si="26"/>
        <v>301997</v>
      </c>
      <c r="S15" s="540">
        <f t="shared" si="26"/>
        <v>253157</v>
      </c>
      <c r="T15" s="540">
        <f t="shared" si="26"/>
        <v>484988</v>
      </c>
      <c r="U15" s="530">
        <f t="shared" si="26"/>
        <v>482161</v>
      </c>
      <c r="W15" s="130" t="s">
        <v>124</v>
      </c>
      <c r="X15" s="128">
        <f t="shared" si="25"/>
        <v>40626</v>
      </c>
      <c r="Y15" s="128">
        <f t="shared" si="25"/>
        <v>45161</v>
      </c>
      <c r="Z15" s="128">
        <f t="shared" si="25"/>
        <v>37666</v>
      </c>
      <c r="AA15" s="128">
        <f t="shared" si="25"/>
        <v>145122</v>
      </c>
      <c r="AB15" s="129">
        <f t="shared" si="25"/>
        <v>92316</v>
      </c>
      <c r="AD15" s="492" t="s">
        <v>62</v>
      </c>
      <c r="AE15" s="540">
        <f>AE14</f>
        <v>222190</v>
      </c>
      <c r="AF15" s="540">
        <f t="shared" ref="AF15" si="27">AF14</f>
        <v>301997</v>
      </c>
      <c r="AG15" s="540">
        <f t="shared" ref="AG15" si="28">AG14</f>
        <v>253157</v>
      </c>
      <c r="AH15" s="540">
        <f t="shared" ref="AH15" si="29">AH14</f>
        <v>484988</v>
      </c>
      <c r="AI15" s="530">
        <f t="shared" ref="AI15:AN15" si="30">AI14</f>
        <v>482161</v>
      </c>
      <c r="AJ15" s="540">
        <f t="shared" si="30"/>
        <v>566704.59460291895</v>
      </c>
      <c r="AK15" s="540">
        <f t="shared" si="30"/>
        <v>586414.57280421944</v>
      </c>
      <c r="AL15" s="540">
        <f t="shared" si="30"/>
        <v>577315.65042478335</v>
      </c>
      <c r="AM15" s="540">
        <f t="shared" si="30"/>
        <v>599992.61823939544</v>
      </c>
      <c r="AN15" s="530">
        <f t="shared" si="30"/>
        <v>605523.06399215828</v>
      </c>
    </row>
    <row r="16" spans="2:55" ht="15.9">
      <c r="B16" s="126" t="s">
        <v>59</v>
      </c>
      <c r="C16" s="490">
        <v>222190</v>
      </c>
      <c r="D16" s="490">
        <v>301997</v>
      </c>
      <c r="E16" s="490">
        <v>253157</v>
      </c>
      <c r="F16" s="490">
        <v>484988</v>
      </c>
      <c r="G16" s="129">
        <v>482161</v>
      </c>
      <c r="I16" s="130" t="s">
        <v>198</v>
      </c>
      <c r="J16" s="523">
        <f>C10*L$34</f>
        <v>562810.21903934795</v>
      </c>
      <c r="K16" s="523">
        <f>D10*M$34</f>
        <v>562101.69083363563</v>
      </c>
      <c r="L16" s="523">
        <f>E10*N$34</f>
        <v>563210.00628940144</v>
      </c>
      <c r="M16" s="523">
        <v>584848</v>
      </c>
      <c r="N16" s="524">
        <v>585131</v>
      </c>
      <c r="P16" s="541" t="s">
        <v>106</v>
      </c>
      <c r="Q16" s="559">
        <f t="shared" si="26"/>
        <v>2527</v>
      </c>
      <c r="R16" s="559">
        <f t="shared" si="26"/>
        <v>3500</v>
      </c>
      <c r="S16" s="559">
        <f t="shared" si="26"/>
        <v>2962</v>
      </c>
      <c r="T16" s="559">
        <f t="shared" si="26"/>
        <v>23201</v>
      </c>
      <c r="U16" s="543">
        <f t="shared" si="26"/>
        <v>18381</v>
      </c>
      <c r="W16" s="130" t="s">
        <v>126</v>
      </c>
      <c r="X16" s="128">
        <f t="shared" si="25"/>
        <v>0</v>
      </c>
      <c r="Y16" s="128">
        <f t="shared" si="25"/>
        <v>0</v>
      </c>
      <c r="Z16" s="128">
        <f t="shared" si="25"/>
        <v>0</v>
      </c>
      <c r="AA16" s="128">
        <f t="shared" si="25"/>
        <v>11787</v>
      </c>
      <c r="AB16" s="129">
        <f t="shared" si="25"/>
        <v>78364</v>
      </c>
      <c r="AD16" s="541" t="s">
        <v>106</v>
      </c>
      <c r="AE16" s="559">
        <f t="shared" ref="AE16:AI17" si="31">Q52</f>
        <v>2527</v>
      </c>
      <c r="AF16" s="559">
        <f t="shared" si="31"/>
        <v>3500</v>
      </c>
      <c r="AG16" s="559">
        <f t="shared" si="31"/>
        <v>2962</v>
      </c>
      <c r="AH16" s="559">
        <f t="shared" si="31"/>
        <v>23201</v>
      </c>
      <c r="AI16" s="543">
        <f t="shared" si="31"/>
        <v>18381</v>
      </c>
      <c r="AJ16" s="136">
        <f>' Adj. income statement'!P4/'Adj. balance sheet'!AJ61</f>
        <v>12311.338368073513</v>
      </c>
      <c r="AK16" s="136">
        <f>' Adj. income statement'!Q4/'Adj. balance sheet'!AK61</f>
        <v>18437.955295785971</v>
      </c>
      <c r="AL16" s="136">
        <f>' Adj. income statement'!R4/'Adj. balance sheet'!AL61</f>
        <v>16526.689678750539</v>
      </c>
      <c r="AM16" s="136">
        <f>' Adj. income statement'!S4/'Adj. balance sheet'!AM61</f>
        <v>15958.069340205868</v>
      </c>
      <c r="AN16" s="140">
        <f>' Adj. income statement'!T4/'Adj. balance sheet'!AN61</f>
        <v>17402.204329894314</v>
      </c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</row>
    <row r="17" spans="2:55" ht="15.9">
      <c r="B17" s="492" t="s">
        <v>62</v>
      </c>
      <c r="C17" s="529">
        <f>C16</f>
        <v>222190</v>
      </c>
      <c r="D17" s="529">
        <f t="shared" ref="D17:G17" si="32">D16</f>
        <v>301997</v>
      </c>
      <c r="E17" s="529">
        <f t="shared" si="32"/>
        <v>253157</v>
      </c>
      <c r="F17" s="529">
        <f t="shared" si="32"/>
        <v>484988</v>
      </c>
      <c r="G17" s="529">
        <f t="shared" si="32"/>
        <v>482161</v>
      </c>
      <c r="I17" s="551" t="s">
        <v>121</v>
      </c>
      <c r="J17" s="523">
        <v>526544</v>
      </c>
      <c r="K17" s="523">
        <v>429433</v>
      </c>
      <c r="L17" s="523">
        <v>427873</v>
      </c>
      <c r="M17" s="523">
        <v>494498</v>
      </c>
      <c r="N17" s="524">
        <v>461480</v>
      </c>
      <c r="P17" s="126" t="s">
        <v>107</v>
      </c>
      <c r="Q17" s="559">
        <f t="shared" si="26"/>
        <v>26435</v>
      </c>
      <c r="R17" s="559">
        <f t="shared" si="26"/>
        <v>28506</v>
      </c>
      <c r="S17" s="559">
        <f t="shared" si="26"/>
        <v>24823</v>
      </c>
      <c r="T17" s="559">
        <f t="shared" si="26"/>
        <v>25815</v>
      </c>
      <c r="U17" s="543">
        <f t="shared" si="26"/>
        <v>32725</v>
      </c>
      <c r="W17" s="531" t="s">
        <v>61</v>
      </c>
      <c r="X17" s="168">
        <f>SUM(X11:X16)</f>
        <v>1358142.4113982348</v>
      </c>
      <c r="Y17" s="168">
        <f t="shared" ref="Y17:AB17" si="33">SUM(Y11:Y16)</f>
        <v>1265204.7215661369</v>
      </c>
      <c r="Z17" s="168">
        <f t="shared" si="33"/>
        <v>1256438.9653033153</v>
      </c>
      <c r="AA17" s="168">
        <f t="shared" si="33"/>
        <v>1633682</v>
      </c>
      <c r="AB17" s="170">
        <f t="shared" si="33"/>
        <v>1511701</v>
      </c>
      <c r="AD17" s="126" t="s">
        <v>107</v>
      </c>
      <c r="AE17" s="559">
        <f t="shared" si="31"/>
        <v>26435</v>
      </c>
      <c r="AF17" s="559">
        <f t="shared" si="31"/>
        <v>28506</v>
      </c>
      <c r="AG17" s="559">
        <f t="shared" si="31"/>
        <v>24823</v>
      </c>
      <c r="AH17" s="559">
        <f t="shared" si="31"/>
        <v>25815</v>
      </c>
      <c r="AI17" s="543">
        <f t="shared" si="31"/>
        <v>32725</v>
      </c>
      <c r="AJ17" s="136">
        <f>(AH17+AI17)/2</f>
        <v>29270</v>
      </c>
      <c r="AK17" s="136">
        <f t="shared" ref="AK17:AN17" si="34">(AI17+AJ17)/2</f>
        <v>30997.5</v>
      </c>
      <c r="AL17" s="136">
        <f t="shared" si="34"/>
        <v>30133.75</v>
      </c>
      <c r="AM17" s="136">
        <f t="shared" si="34"/>
        <v>30565.625</v>
      </c>
      <c r="AN17" s="140">
        <f t="shared" si="34"/>
        <v>30349.6875</v>
      </c>
      <c r="AP17" s="55"/>
      <c r="AQ17" s="55"/>
      <c r="AR17" s="131" t="s">
        <v>233</v>
      </c>
      <c r="AS17" s="673" t="s">
        <v>229</v>
      </c>
      <c r="AT17" s="673"/>
      <c r="AU17" s="673"/>
      <c r="AV17" s="673"/>
      <c r="AW17" s="673"/>
      <c r="AX17" s="672" t="s">
        <v>230</v>
      </c>
      <c r="AY17" s="673"/>
      <c r="AZ17" s="673"/>
      <c r="BA17" s="673"/>
      <c r="BB17" s="674"/>
      <c r="BC17" s="55"/>
    </row>
    <row r="18" spans="2:55" ht="15.9">
      <c r="B18" s="541" t="s">
        <v>106</v>
      </c>
      <c r="C18" s="542">
        <v>2527</v>
      </c>
      <c r="D18" s="542">
        <v>3500</v>
      </c>
      <c r="E18" s="542">
        <v>2962</v>
      </c>
      <c r="F18" s="542">
        <v>23201</v>
      </c>
      <c r="G18" s="543">
        <v>18381</v>
      </c>
      <c r="I18" s="535" t="s">
        <v>64</v>
      </c>
      <c r="J18" s="168">
        <f>J15+J16+J17</f>
        <v>1439703.219039348</v>
      </c>
      <c r="K18" s="168">
        <f>K15+K16+K17</f>
        <v>1326119.6908336356</v>
      </c>
      <c r="L18" s="168">
        <f>L15+L16+L17</f>
        <v>1312435.0062894016</v>
      </c>
      <c r="M18" s="168">
        <f>M15+M16+M17</f>
        <v>1394744</v>
      </c>
      <c r="N18" s="170">
        <f>N15+N16+N17</f>
        <v>1361947</v>
      </c>
      <c r="P18" s="492" t="s">
        <v>65</v>
      </c>
      <c r="Q18" s="540">
        <f t="shared" si="26"/>
        <v>28962</v>
      </c>
      <c r="R18" s="540">
        <f t="shared" si="26"/>
        <v>32006</v>
      </c>
      <c r="S18" s="540">
        <f t="shared" si="26"/>
        <v>27785</v>
      </c>
      <c r="T18" s="540">
        <f t="shared" si="26"/>
        <v>49016</v>
      </c>
      <c r="U18" s="530">
        <f t="shared" si="26"/>
        <v>51106</v>
      </c>
      <c r="W18" s="126"/>
      <c r="X18" s="127"/>
      <c r="Y18" s="127"/>
      <c r="Z18" s="127"/>
      <c r="AA18" s="127"/>
      <c r="AB18" s="522"/>
      <c r="AD18" s="492" t="s">
        <v>65</v>
      </c>
      <c r="AE18" s="540">
        <f>AE16+AE17</f>
        <v>28962</v>
      </c>
      <c r="AF18" s="540">
        <f t="shared" ref="AF18" si="35">AF16+AF17</f>
        <v>32006</v>
      </c>
      <c r="AG18" s="540">
        <f t="shared" ref="AG18" si="36">AG16+AG17</f>
        <v>27785</v>
      </c>
      <c r="AH18" s="540">
        <f t="shared" ref="AH18" si="37">AH16+AH17</f>
        <v>49016</v>
      </c>
      <c r="AI18" s="530">
        <f t="shared" ref="AI18:AN18" si="38">AI16+AI17</f>
        <v>51106</v>
      </c>
      <c r="AJ18" s="540">
        <f t="shared" si="38"/>
        <v>41581.338368073513</v>
      </c>
      <c r="AK18" s="540">
        <f t="shared" si="38"/>
        <v>49435.455295785971</v>
      </c>
      <c r="AL18" s="540">
        <f t="shared" si="38"/>
        <v>46660.439678750539</v>
      </c>
      <c r="AM18" s="540">
        <f t="shared" si="38"/>
        <v>46523.694340205868</v>
      </c>
      <c r="AN18" s="530">
        <f t="shared" si="38"/>
        <v>47751.891829894317</v>
      </c>
      <c r="AP18" s="55"/>
      <c r="AQ18" s="55"/>
      <c r="AR18" s="141" t="s">
        <v>231</v>
      </c>
      <c r="AS18" s="142">
        <v>2016</v>
      </c>
      <c r="AT18" s="142">
        <v>2017</v>
      </c>
      <c r="AU18" s="142">
        <v>2018</v>
      </c>
      <c r="AV18" s="142">
        <v>2019</v>
      </c>
      <c r="AW18" s="142">
        <v>2020</v>
      </c>
      <c r="AX18" s="141">
        <v>2021</v>
      </c>
      <c r="AY18" s="142">
        <v>2022</v>
      </c>
      <c r="AZ18" s="142">
        <v>2023</v>
      </c>
      <c r="BA18" s="142">
        <v>2024</v>
      </c>
      <c r="BB18" s="143">
        <v>2025</v>
      </c>
      <c r="BC18" s="55"/>
    </row>
    <row r="19" spans="2:55" ht="15.9">
      <c r="B19" s="126" t="s">
        <v>107</v>
      </c>
      <c r="C19" s="490">
        <v>26435</v>
      </c>
      <c r="D19" s="490">
        <v>28506</v>
      </c>
      <c r="E19" s="490">
        <v>24823</v>
      </c>
      <c r="F19" s="490">
        <v>25815</v>
      </c>
      <c r="G19" s="129">
        <v>32725</v>
      </c>
      <c r="I19" s="12"/>
      <c r="J19" s="2"/>
      <c r="K19" s="2"/>
      <c r="L19" s="2"/>
      <c r="M19" s="2"/>
      <c r="N19" s="3"/>
      <c r="P19" s="564" t="s">
        <v>68</v>
      </c>
      <c r="Q19" s="559">
        <f t="shared" ref="Q19:U21" si="39">J50*(-1)</f>
        <v>-40849</v>
      </c>
      <c r="R19" s="559">
        <f t="shared" si="39"/>
        <v>-40415</v>
      </c>
      <c r="S19" s="559">
        <f t="shared" si="39"/>
        <v>-46216</v>
      </c>
      <c r="T19" s="559">
        <f t="shared" si="39"/>
        <v>-51239</v>
      </c>
      <c r="U19" s="543">
        <f t="shared" si="39"/>
        <v>-87011</v>
      </c>
      <c r="W19" s="126"/>
      <c r="X19" s="127"/>
      <c r="Y19" s="127"/>
      <c r="Z19" s="127"/>
      <c r="AA19" s="127"/>
      <c r="AB19" s="522"/>
      <c r="AD19" s="564" t="s">
        <v>68</v>
      </c>
      <c r="AE19" s="559">
        <f t="shared" ref="AE19:AI21" si="40">Q55</f>
        <v>-40849</v>
      </c>
      <c r="AF19" s="559">
        <f t="shared" si="40"/>
        <v>-40415</v>
      </c>
      <c r="AG19" s="559">
        <f t="shared" si="40"/>
        <v>-46216</v>
      </c>
      <c r="AH19" s="559">
        <f t="shared" si="40"/>
        <v>-51239</v>
      </c>
      <c r="AI19" s="543">
        <f t="shared" si="40"/>
        <v>-87011</v>
      </c>
      <c r="AJ19" s="128">
        <f>-' Adj. income statement'!P13*'Adj. balance sheet'!AJ65</f>
        <v>-91662.369278601531</v>
      </c>
      <c r="AK19" s="128">
        <f>-' Adj. income statement'!Q13*'Adj. balance sheet'!AK65</f>
        <v>-86121.340954865416</v>
      </c>
      <c r="AL19" s="128">
        <f>-' Adj. income statement'!R13*'Adj. balance sheet'!AL65</f>
        <v>-86014.013315086529</v>
      </c>
      <c r="AM19" s="128">
        <f>-' Adj. income statement'!S13*'Adj. balance sheet'!AM65</f>
        <v>-88566.585900218866</v>
      </c>
      <c r="AN19" s="129">
        <f>-' Adj. income statement'!T13*'Adj. balance sheet'!AN65</f>
        <v>-85468.500426767248</v>
      </c>
      <c r="AP19" s="55"/>
      <c r="AQ19" s="55"/>
      <c r="AR19" s="144" t="s">
        <v>46</v>
      </c>
      <c r="AS19" s="128">
        <f>AE13</f>
        <v>1992138.4113982348</v>
      </c>
      <c r="AT19" s="128">
        <f t="shared" ref="AT19:BB19" si="41">AF13</f>
        <v>2018698.7215661369</v>
      </c>
      <c r="AU19" s="128">
        <f t="shared" si="41"/>
        <v>2030498.9653033153</v>
      </c>
      <c r="AV19" s="128">
        <f t="shared" si="41"/>
        <v>2274276</v>
      </c>
      <c r="AW19" s="128">
        <f t="shared" si="41"/>
        <v>2315057</v>
      </c>
      <c r="AX19" s="125">
        <f t="shared" si="41"/>
        <v>2329020.9889128204</v>
      </c>
      <c r="AY19" s="123">
        <f t="shared" si="41"/>
        <v>2365657.8523253603</v>
      </c>
      <c r="AZ19" s="123">
        <f t="shared" si="41"/>
        <v>2396918.1896337317</v>
      </c>
      <c r="BA19" s="123">
        <f t="shared" si="41"/>
        <v>2422985.7492146636</v>
      </c>
      <c r="BB19" s="124">
        <f t="shared" si="41"/>
        <v>2458970.1804619255</v>
      </c>
      <c r="BC19" s="55"/>
    </row>
    <row r="20" spans="2:55" ht="15.9">
      <c r="B20" s="479" t="s">
        <v>111</v>
      </c>
      <c r="C20" s="544">
        <v>8372</v>
      </c>
      <c r="D20" s="544">
        <v>4180</v>
      </c>
      <c r="E20" s="544">
        <v>8949</v>
      </c>
      <c r="F20" s="544">
        <v>2305</v>
      </c>
      <c r="G20" s="478">
        <v>0</v>
      </c>
      <c r="I20" s="535" t="s">
        <v>67</v>
      </c>
      <c r="J20" s="532"/>
      <c r="K20" s="532"/>
      <c r="L20" s="168"/>
      <c r="M20" s="168"/>
      <c r="N20" s="170"/>
      <c r="P20" s="564" t="s">
        <v>125</v>
      </c>
      <c r="Q20" s="559">
        <f t="shared" si="39"/>
        <v>-80729</v>
      </c>
      <c r="R20" s="559">
        <f t="shared" si="39"/>
        <v>-104674</v>
      </c>
      <c r="S20" s="559">
        <f t="shared" si="39"/>
        <v>-111812</v>
      </c>
      <c r="T20" s="559">
        <f t="shared" si="39"/>
        <v>-154233</v>
      </c>
      <c r="U20" s="543">
        <f t="shared" si="39"/>
        <v>-167402</v>
      </c>
      <c r="W20" s="126"/>
      <c r="X20" s="127"/>
      <c r="Y20" s="127"/>
      <c r="Z20" s="127"/>
      <c r="AA20" s="127"/>
      <c r="AB20" s="522"/>
      <c r="AD20" s="564" t="s">
        <v>125</v>
      </c>
      <c r="AE20" s="559">
        <f t="shared" si="40"/>
        <v>-80729</v>
      </c>
      <c r="AF20" s="559">
        <f t="shared" si="40"/>
        <v>-104674</v>
      </c>
      <c r="AG20" s="559">
        <f t="shared" si="40"/>
        <v>-111812</v>
      </c>
      <c r="AH20" s="559">
        <f t="shared" si="40"/>
        <v>-154233</v>
      </c>
      <c r="AI20" s="543">
        <f t="shared" si="40"/>
        <v>-167402</v>
      </c>
      <c r="AJ20" s="128">
        <f>AI20*1.01</f>
        <v>-169076.02</v>
      </c>
      <c r="AK20" s="128">
        <f t="shared" ref="AK20:AN20" si="42">AJ20*1.01</f>
        <v>-170766.78019999998</v>
      </c>
      <c r="AL20" s="128">
        <f t="shared" si="42"/>
        <v>-172474.44800199999</v>
      </c>
      <c r="AM20" s="128">
        <f t="shared" si="42"/>
        <v>-174199.19248201998</v>
      </c>
      <c r="AN20" s="129">
        <f t="shared" si="42"/>
        <v>-175941.18440684018</v>
      </c>
      <c r="AP20" s="55"/>
      <c r="AQ20" s="55"/>
      <c r="AR20" s="155" t="s">
        <v>48</v>
      </c>
      <c r="AS20" s="156">
        <f>AE22</f>
        <v>68072</v>
      </c>
      <c r="AT20" s="156">
        <f t="shared" ref="AT20:BB20" si="43">AF22</f>
        <v>130775</v>
      </c>
      <c r="AU20" s="156">
        <f t="shared" si="43"/>
        <v>65526</v>
      </c>
      <c r="AV20" s="156">
        <f t="shared" si="43"/>
        <v>168021</v>
      </c>
      <c r="AW20" s="156">
        <f t="shared" si="43"/>
        <v>79971</v>
      </c>
      <c r="AX20" s="157">
        <f t="shared" si="43"/>
        <v>146675.713692391</v>
      </c>
      <c r="AY20" s="156">
        <f t="shared" si="43"/>
        <v>176081.3586451399</v>
      </c>
      <c r="AZ20" s="156">
        <f t="shared" si="43"/>
        <v>160578.27500344743</v>
      </c>
      <c r="BA20" s="156">
        <f t="shared" si="43"/>
        <v>176792.08687653235</v>
      </c>
      <c r="BB20" s="162">
        <f t="shared" si="43"/>
        <v>182837.23919440678</v>
      </c>
      <c r="BC20" s="55"/>
    </row>
    <row r="21" spans="2:55" ht="15.9">
      <c r="B21" s="492" t="s">
        <v>65</v>
      </c>
      <c r="C21" s="529">
        <f>C18+C19+C20</f>
        <v>37334</v>
      </c>
      <c r="D21" s="529">
        <f>D18+D19+D20-1</f>
        <v>36185</v>
      </c>
      <c r="E21" s="529">
        <f>E18+E19+E20-1</f>
        <v>36733</v>
      </c>
      <c r="F21" s="529">
        <f>F18+F19+F20-1</f>
        <v>51320</v>
      </c>
      <c r="G21" s="530">
        <f t="shared" ref="G21" si="44">G18+G19+G20</f>
        <v>51106</v>
      </c>
      <c r="I21" s="525" t="s">
        <v>199</v>
      </c>
      <c r="J21" s="552">
        <f>C10-J16</f>
        <v>228162.19235888694</v>
      </c>
      <c r="K21" s="552">
        <f>D10-K16</f>
        <v>228509.0307325013</v>
      </c>
      <c r="L21" s="552">
        <f>E10-L16</f>
        <v>227689.95901391399</v>
      </c>
      <c r="M21" s="523">
        <v>217427</v>
      </c>
      <c r="N21" s="526">
        <v>234113</v>
      </c>
      <c r="P21" s="564" t="s">
        <v>69</v>
      </c>
      <c r="Q21" s="559">
        <f t="shared" si="39"/>
        <v>-61502</v>
      </c>
      <c r="R21" s="559">
        <f t="shared" si="39"/>
        <v>-58139</v>
      </c>
      <c r="S21" s="559">
        <f t="shared" si="39"/>
        <v>-57388</v>
      </c>
      <c r="T21" s="559">
        <f t="shared" si="39"/>
        <v>-160511</v>
      </c>
      <c r="U21" s="543">
        <f t="shared" si="39"/>
        <v>-198883</v>
      </c>
      <c r="W21" s="126"/>
      <c r="X21" s="127"/>
      <c r="Y21" s="127"/>
      <c r="Z21" s="127"/>
      <c r="AA21" s="127"/>
      <c r="AB21" s="522"/>
      <c r="AD21" s="564" t="s">
        <v>69</v>
      </c>
      <c r="AE21" s="559">
        <f t="shared" si="40"/>
        <v>-61502</v>
      </c>
      <c r="AF21" s="559">
        <f t="shared" si="40"/>
        <v>-58139</v>
      </c>
      <c r="AG21" s="559">
        <f t="shared" si="40"/>
        <v>-57388</v>
      </c>
      <c r="AH21" s="559">
        <f t="shared" si="40"/>
        <v>-160511</v>
      </c>
      <c r="AI21" s="543">
        <f t="shared" si="40"/>
        <v>-198883</v>
      </c>
      <c r="AJ21" s="128">
        <f>AI21*1.01</f>
        <v>-200871.83000000002</v>
      </c>
      <c r="AK21" s="128">
        <f t="shared" ref="AK21:AN21" si="45">AJ21*1.01</f>
        <v>-202880.54830000002</v>
      </c>
      <c r="AL21" s="128">
        <f t="shared" si="45"/>
        <v>-204909.35378300003</v>
      </c>
      <c r="AM21" s="128">
        <f t="shared" si="45"/>
        <v>-206958.44732083002</v>
      </c>
      <c r="AN21" s="129">
        <f t="shared" si="45"/>
        <v>-209028.03179403831</v>
      </c>
      <c r="AP21" s="55"/>
      <c r="AQ21" s="55"/>
      <c r="AR21" s="145" t="s">
        <v>51</v>
      </c>
      <c r="AS21" s="128">
        <f>AE23</f>
        <v>2060210.4113982348</v>
      </c>
      <c r="AT21" s="128">
        <f t="shared" ref="AT21:BB21" si="46">AF23</f>
        <v>2149473.7215661369</v>
      </c>
      <c r="AU21" s="128">
        <f t="shared" si="46"/>
        <v>2096024.9653033153</v>
      </c>
      <c r="AV21" s="128">
        <f t="shared" si="46"/>
        <v>2442297</v>
      </c>
      <c r="AW21" s="128">
        <f t="shared" si="46"/>
        <v>2395028</v>
      </c>
      <c r="AX21" s="130">
        <f t="shared" si="46"/>
        <v>2475696.7026052112</v>
      </c>
      <c r="AY21" s="128">
        <f t="shared" si="46"/>
        <v>2541739.2109705</v>
      </c>
      <c r="AZ21" s="128">
        <f t="shared" si="46"/>
        <v>2557496.4646371789</v>
      </c>
      <c r="BA21" s="128">
        <f t="shared" si="46"/>
        <v>2599777.8360911962</v>
      </c>
      <c r="BB21" s="129">
        <f t="shared" si="46"/>
        <v>2641807.4196563321</v>
      </c>
      <c r="BC21" s="55"/>
    </row>
    <row r="22" spans="2:55" ht="15.9">
      <c r="B22" s="531" t="s">
        <v>195</v>
      </c>
      <c r="C22" s="168">
        <f>'Balance sheet'!C27+C27</f>
        <v>253936.17060419847</v>
      </c>
      <c r="D22" s="168">
        <f>'Balance sheet'!D27+D27</f>
        <v>93286.285829353845</v>
      </c>
      <c r="E22" s="168">
        <f>'Balance sheet'!E27+E27</f>
        <v>204691.34986495232</v>
      </c>
      <c r="F22" s="168">
        <v>339241</v>
      </c>
      <c r="G22" s="170">
        <v>301276</v>
      </c>
      <c r="I22" s="126" t="s">
        <v>123</v>
      </c>
      <c r="J22" s="292"/>
      <c r="K22" s="292"/>
      <c r="L22" s="292"/>
      <c r="M22" s="523">
        <v>180000</v>
      </c>
      <c r="N22" s="524">
        <v>60297</v>
      </c>
      <c r="P22" s="565" t="s">
        <v>48</v>
      </c>
      <c r="Q22" s="168">
        <f>Q15+Q18+Q19+Q20+Q21</f>
        <v>68072</v>
      </c>
      <c r="R22" s="168">
        <f t="shared" ref="R22:U22" si="47">R15+R18+R19+R20+R21</f>
        <v>130775</v>
      </c>
      <c r="S22" s="168">
        <f t="shared" si="47"/>
        <v>65526</v>
      </c>
      <c r="T22" s="168">
        <f t="shared" si="47"/>
        <v>168021</v>
      </c>
      <c r="U22" s="168">
        <f t="shared" si="47"/>
        <v>79971</v>
      </c>
      <c r="W22" s="126"/>
      <c r="X22" s="127"/>
      <c r="Y22" s="127"/>
      <c r="Z22" s="127"/>
      <c r="AA22" s="127"/>
      <c r="AB22" s="522"/>
      <c r="AD22" s="580" t="s">
        <v>48</v>
      </c>
      <c r="AE22" s="172">
        <f>AE15+AE18+AE19+AE20+AE21</f>
        <v>68072</v>
      </c>
      <c r="AF22" s="172">
        <f>AF15+AF18+AF19+AF20+AF21</f>
        <v>130775</v>
      </c>
      <c r="AG22" s="172">
        <f>AG15+AG18+AG19+AG20+AG21</f>
        <v>65526</v>
      </c>
      <c r="AH22" s="172">
        <f>AH15+AH18+AH19+AH20+AH21</f>
        <v>168021</v>
      </c>
      <c r="AI22" s="581">
        <f>AI15+AI18+AI19+AI20+AI21</f>
        <v>79971</v>
      </c>
      <c r="AJ22" s="172">
        <f t="shared" ref="AJ22:AN22" si="48">AJ15+AJ18+AJ19+AJ20+AJ21</f>
        <v>146675.713692391</v>
      </c>
      <c r="AK22" s="172">
        <f t="shared" si="48"/>
        <v>176081.3586451399</v>
      </c>
      <c r="AL22" s="172">
        <f t="shared" si="48"/>
        <v>160578.27500344743</v>
      </c>
      <c r="AM22" s="172">
        <f t="shared" si="48"/>
        <v>176792.08687653235</v>
      </c>
      <c r="AN22" s="581">
        <f t="shared" si="48"/>
        <v>182837.23919440678</v>
      </c>
      <c r="AP22" s="55"/>
      <c r="AQ22" s="55"/>
      <c r="AR22" s="155" t="s">
        <v>232</v>
      </c>
      <c r="AS22" s="156">
        <f>AE33</f>
        <v>964376.17060419847</v>
      </c>
      <c r="AT22" s="156">
        <f t="shared" ref="AT22:BB22" si="49">AF33</f>
        <v>981732.28582935384</v>
      </c>
      <c r="AU22" s="156">
        <f t="shared" si="49"/>
        <v>1053226.3498649523</v>
      </c>
      <c r="AV22" s="156">
        <f t="shared" si="49"/>
        <v>1150161</v>
      </c>
      <c r="AW22" s="156">
        <f t="shared" si="49"/>
        <v>1184601</v>
      </c>
      <c r="AX22" s="157">
        <f t="shared" si="49"/>
        <v>1240569.6667541999</v>
      </c>
      <c r="AY22" s="156">
        <f t="shared" si="49"/>
        <v>1297767.9130946132</v>
      </c>
      <c r="AZ22" s="156">
        <f t="shared" si="49"/>
        <v>1354656.7941421631</v>
      </c>
      <c r="BA22" s="156">
        <f t="shared" si="49"/>
        <v>1411944.9204038004</v>
      </c>
      <c r="BB22" s="162">
        <f t="shared" si="49"/>
        <v>1467945.1193653406</v>
      </c>
      <c r="BC22" s="55"/>
    </row>
    <row r="23" spans="2:55" ht="15.9">
      <c r="B23" s="98" t="s">
        <v>190</v>
      </c>
      <c r="C23" s="545">
        <f>C17+C21+C22</f>
        <v>513460.17060419847</v>
      </c>
      <c r="D23" s="545">
        <f t="shared" ref="D23:E23" si="50">D17+D21+D22</f>
        <v>431468.28582935384</v>
      </c>
      <c r="E23" s="545">
        <f t="shared" si="50"/>
        <v>494581.34986495232</v>
      </c>
      <c r="F23" s="545">
        <f>F17+F21+F22</f>
        <v>875549</v>
      </c>
      <c r="G23" s="546">
        <f>G17+G21+G22-1</f>
        <v>834542</v>
      </c>
      <c r="I23" s="130" t="s">
        <v>124</v>
      </c>
      <c r="J23" s="490">
        <v>40626</v>
      </c>
      <c r="K23" s="490">
        <v>45161</v>
      </c>
      <c r="L23" s="490">
        <v>37666</v>
      </c>
      <c r="M23" s="523">
        <v>145122</v>
      </c>
      <c r="N23" s="524">
        <v>92316</v>
      </c>
      <c r="P23" s="565" t="s">
        <v>51</v>
      </c>
      <c r="Q23" s="168">
        <f>Q13+Q22</f>
        <v>2060210.4113982348</v>
      </c>
      <c r="R23" s="168">
        <f>R13+R22</f>
        <v>2149473.7215661369</v>
      </c>
      <c r="S23" s="168">
        <f>S13+S22</f>
        <v>2096024.9653033153</v>
      </c>
      <c r="T23" s="168">
        <f>T13+T22</f>
        <v>2442297</v>
      </c>
      <c r="U23" s="170">
        <f>U13+U22</f>
        <v>2395028</v>
      </c>
      <c r="W23" s="126"/>
      <c r="X23" s="127"/>
      <c r="Y23" s="127"/>
      <c r="Z23" s="127"/>
      <c r="AA23" s="127"/>
      <c r="AB23" s="522"/>
      <c r="AD23" s="565" t="s">
        <v>100</v>
      </c>
      <c r="AE23" s="168">
        <f t="shared" ref="AE23:AK23" si="51">AE13+AE22</f>
        <v>2060210.4113982348</v>
      </c>
      <c r="AF23" s="168">
        <f t="shared" si="51"/>
        <v>2149473.7215661369</v>
      </c>
      <c r="AG23" s="168">
        <f t="shared" si="51"/>
        <v>2096024.9653033153</v>
      </c>
      <c r="AH23" s="168">
        <f t="shared" si="51"/>
        <v>2442297</v>
      </c>
      <c r="AI23" s="170">
        <f t="shared" si="51"/>
        <v>2395028</v>
      </c>
      <c r="AJ23" s="168">
        <f t="shared" si="51"/>
        <v>2475696.7026052112</v>
      </c>
      <c r="AK23" s="168">
        <f t="shared" si="51"/>
        <v>2541739.2109705</v>
      </c>
      <c r="AL23" s="168">
        <f t="shared" ref="AL23:AN23" si="52">AL13+AL22</f>
        <v>2557496.4646371789</v>
      </c>
      <c r="AM23" s="168">
        <f t="shared" si="52"/>
        <v>2599777.8360911962</v>
      </c>
      <c r="AN23" s="170">
        <f t="shared" si="52"/>
        <v>2641807.4196563321</v>
      </c>
      <c r="AP23" s="55"/>
      <c r="AQ23" s="55"/>
      <c r="AR23" s="145" t="s">
        <v>54</v>
      </c>
      <c r="AS23" s="128">
        <f>AE43</f>
        <v>1095834.2407940365</v>
      </c>
      <c r="AT23" s="128">
        <f t="shared" ref="AT23:BB23" si="53">AF43</f>
        <v>1167738.4357367831</v>
      </c>
      <c r="AU23" s="128">
        <f t="shared" si="53"/>
        <v>1042798.615438363</v>
      </c>
      <c r="AV23" s="128">
        <f t="shared" si="53"/>
        <v>1292136</v>
      </c>
      <c r="AW23" s="128">
        <f t="shared" si="53"/>
        <v>1210425</v>
      </c>
      <c r="AX23" s="130">
        <f t="shared" si="53"/>
        <v>1235127.0358510113</v>
      </c>
      <c r="AY23" s="128">
        <f t="shared" si="53"/>
        <v>1243971.2978758868</v>
      </c>
      <c r="AZ23" s="128">
        <f t="shared" si="53"/>
        <v>1202839.6704950158</v>
      </c>
      <c r="BA23" s="128">
        <f t="shared" si="53"/>
        <v>1187832.9156873957</v>
      </c>
      <c r="BB23" s="129">
        <f t="shared" si="53"/>
        <v>1173862.3002909916</v>
      </c>
      <c r="BC23" s="55"/>
    </row>
    <row r="24" spans="2:55" ht="18.45">
      <c r="B24" s="531" t="s">
        <v>197</v>
      </c>
      <c r="C24" s="168">
        <f>C13+C23</f>
        <v>2855947.582002433</v>
      </c>
      <c r="D24" s="168">
        <f>D13+D23</f>
        <v>2784752.007395491</v>
      </c>
      <c r="E24" s="168">
        <f>E13+E23</f>
        <v>2846432.3151682676</v>
      </c>
      <c r="F24" s="168">
        <f>F13+F23</f>
        <v>3465223</v>
      </c>
      <c r="G24" s="170">
        <f>G13+G23+1</f>
        <v>3464935</v>
      </c>
      <c r="I24" s="130" t="s">
        <v>68</v>
      </c>
      <c r="J24" s="490">
        <v>40849</v>
      </c>
      <c r="K24" s="490">
        <v>40415</v>
      </c>
      <c r="L24" s="490">
        <v>46216</v>
      </c>
      <c r="M24" s="523">
        <v>51239</v>
      </c>
      <c r="N24" s="524">
        <v>87011</v>
      </c>
      <c r="P24" s="126" t="s">
        <v>73</v>
      </c>
      <c r="Q24" s="128">
        <f t="shared" ref="Q24:U25" si="54">C49</f>
        <v>253936.17060419847</v>
      </c>
      <c r="R24" s="128">
        <f t="shared" si="54"/>
        <v>93286.285829353845</v>
      </c>
      <c r="S24" s="128">
        <f t="shared" si="54"/>
        <v>204691.34986495232</v>
      </c>
      <c r="T24" s="128">
        <f t="shared" si="54"/>
        <v>339241</v>
      </c>
      <c r="U24" s="129">
        <f t="shared" si="54"/>
        <v>301276</v>
      </c>
      <c r="W24" s="126"/>
      <c r="X24" s="127"/>
      <c r="Y24" s="127"/>
      <c r="Z24" s="127"/>
      <c r="AA24" s="127"/>
      <c r="AB24" s="522"/>
      <c r="AI24" s="46"/>
      <c r="AJ24" s="76"/>
      <c r="AK24" s="39"/>
      <c r="AL24" s="39"/>
      <c r="AM24" s="39"/>
      <c r="AN24" s="39"/>
      <c r="AP24" s="55"/>
      <c r="AQ24" s="55"/>
      <c r="AR24" s="158" t="s">
        <v>71</v>
      </c>
      <c r="AS24" s="159">
        <f>AE45</f>
        <v>2060210.411398235</v>
      </c>
      <c r="AT24" s="159">
        <f t="shared" ref="AT24:BB24" si="55">AF45</f>
        <v>2149473.7215661369</v>
      </c>
      <c r="AU24" s="159">
        <f t="shared" si="55"/>
        <v>2096024.9653033153</v>
      </c>
      <c r="AV24" s="159">
        <f t="shared" si="55"/>
        <v>2442297</v>
      </c>
      <c r="AW24" s="159">
        <f t="shared" si="55"/>
        <v>2395028</v>
      </c>
      <c r="AX24" s="160">
        <f t="shared" si="55"/>
        <v>2475696.7026052112</v>
      </c>
      <c r="AY24" s="159">
        <f t="shared" si="55"/>
        <v>2541739.2109705</v>
      </c>
      <c r="AZ24" s="159">
        <f t="shared" si="55"/>
        <v>2557496.4646371789</v>
      </c>
      <c r="BA24" s="159">
        <f t="shared" si="55"/>
        <v>2599777.8360911962</v>
      </c>
      <c r="BB24" s="163">
        <f t="shared" si="55"/>
        <v>2641807.4196563321</v>
      </c>
      <c r="BC24" s="55"/>
    </row>
    <row r="25" spans="2:55" ht="18.45">
      <c r="B25" s="57"/>
      <c r="C25" s="71"/>
      <c r="D25" s="71"/>
      <c r="E25" s="71"/>
      <c r="F25" s="5"/>
      <c r="G25" s="5"/>
      <c r="I25" s="130" t="s">
        <v>125</v>
      </c>
      <c r="J25" s="490">
        <v>80729</v>
      </c>
      <c r="K25" s="490">
        <v>104674</v>
      </c>
      <c r="L25" s="490">
        <v>111812</v>
      </c>
      <c r="M25" s="523">
        <v>154233</v>
      </c>
      <c r="N25" s="524">
        <v>167402</v>
      </c>
      <c r="P25" s="479" t="s">
        <v>111</v>
      </c>
      <c r="Q25" s="128">
        <f t="shared" si="54"/>
        <v>8372</v>
      </c>
      <c r="R25" s="128">
        <f t="shared" si="54"/>
        <v>4180</v>
      </c>
      <c r="S25" s="128">
        <f t="shared" si="54"/>
        <v>8949</v>
      </c>
      <c r="T25" s="128">
        <f t="shared" si="54"/>
        <v>2305</v>
      </c>
      <c r="U25" s="129">
        <f t="shared" si="54"/>
        <v>0</v>
      </c>
      <c r="W25" s="126"/>
      <c r="X25" s="127"/>
      <c r="Y25" s="127"/>
      <c r="Z25" s="127"/>
      <c r="AA25" s="127"/>
      <c r="AB25" s="522"/>
      <c r="AJ25" s="39"/>
      <c r="AK25" s="39"/>
      <c r="AL25" s="39"/>
      <c r="AM25" s="39"/>
      <c r="AN25" s="39"/>
      <c r="AP25" s="55"/>
      <c r="AQ25" s="55"/>
      <c r="AR25" s="117"/>
      <c r="AS25" s="37"/>
      <c r="AT25" s="37"/>
      <c r="AU25" s="37"/>
      <c r="AV25" s="37"/>
      <c r="AW25" s="37"/>
      <c r="AX25" s="37"/>
      <c r="AY25" s="6"/>
      <c r="AZ25" s="6"/>
      <c r="BA25" s="6"/>
      <c r="BB25" s="6"/>
      <c r="BC25" s="55"/>
    </row>
    <row r="26" spans="2:55" ht="15.9">
      <c r="I26" s="130" t="s">
        <v>126</v>
      </c>
      <c r="J26" s="292"/>
      <c r="K26" s="292"/>
      <c r="L26" s="292"/>
      <c r="M26" s="523">
        <v>11787</v>
      </c>
      <c r="N26" s="524">
        <v>78364</v>
      </c>
      <c r="P26" s="98" t="s">
        <v>112</v>
      </c>
      <c r="Q26" s="233">
        <f>SUM(Q24:Q25)</f>
        <v>262308.17060419847</v>
      </c>
      <c r="R26" s="233">
        <f>SUM(R24:R25)</f>
        <v>97466.285829353845</v>
      </c>
      <c r="S26" s="233">
        <f>SUM(S24:S25)</f>
        <v>213640.34986495232</v>
      </c>
      <c r="T26" s="233">
        <f>SUM(T24:T25)</f>
        <v>341546</v>
      </c>
      <c r="U26" s="224">
        <f>SUM(U24:U25)</f>
        <v>301276</v>
      </c>
      <c r="W26" s="126"/>
      <c r="X26" s="127"/>
      <c r="Y26" s="127"/>
      <c r="Z26" s="127"/>
      <c r="AA26" s="127"/>
      <c r="AB26" s="522"/>
      <c r="AD26" s="101" t="s">
        <v>342</v>
      </c>
      <c r="AE26" s="102">
        <v>2016</v>
      </c>
      <c r="AF26" s="102">
        <v>2017</v>
      </c>
      <c r="AG26" s="102">
        <v>2018</v>
      </c>
      <c r="AH26" s="102">
        <v>2019</v>
      </c>
      <c r="AI26" s="102">
        <v>2020</v>
      </c>
      <c r="AJ26" s="102">
        <v>2021</v>
      </c>
      <c r="AK26" s="102">
        <v>2022</v>
      </c>
      <c r="AL26" s="102">
        <v>2023</v>
      </c>
      <c r="AM26" s="102">
        <v>2024</v>
      </c>
      <c r="AN26" s="103">
        <v>2025</v>
      </c>
      <c r="AP26" s="55"/>
      <c r="AQ26" s="55"/>
      <c r="AR26" s="91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</row>
    <row r="27" spans="2:55" ht="15.9">
      <c r="B27" s="29" t="s">
        <v>196</v>
      </c>
      <c r="C27" s="123">
        <f>' Adj. income statement'!D19-'Income statement'!D25</f>
        <v>-37915.829395801527</v>
      </c>
      <c r="D27" s="123">
        <f>' Adj. income statement'!E19-'Income statement'!E25</f>
        <v>-36784.714170646155</v>
      </c>
      <c r="E27" s="123">
        <f>' Adj. income statement'!F19-'Income statement'!F25</f>
        <v>-37460.650135047676</v>
      </c>
      <c r="F27" s="547">
        <f>F10/F5</f>
        <v>0.5410978457490544</v>
      </c>
      <c r="G27" s="548">
        <f>G10/G5</f>
        <v>0.5401871530489617</v>
      </c>
      <c r="I27" s="527" t="s">
        <v>118</v>
      </c>
      <c r="J27" s="490">
        <v>61502</v>
      </c>
      <c r="K27" s="490">
        <v>58139</v>
      </c>
      <c r="L27" s="490">
        <v>57388</v>
      </c>
      <c r="M27" s="523">
        <v>160511</v>
      </c>
      <c r="N27" s="528">
        <v>198883</v>
      </c>
      <c r="P27" s="531" t="s">
        <v>78</v>
      </c>
      <c r="Q27" s="170">
        <f>Q26</f>
        <v>262308.17060419847</v>
      </c>
      <c r="R27" s="170">
        <f t="shared" ref="R27:U27" si="56">R26</f>
        <v>97466.285829353845</v>
      </c>
      <c r="S27" s="170">
        <f t="shared" si="56"/>
        <v>213640.34986495232</v>
      </c>
      <c r="T27" s="170">
        <f t="shared" si="56"/>
        <v>341546</v>
      </c>
      <c r="U27" s="170">
        <f t="shared" si="56"/>
        <v>301276</v>
      </c>
      <c r="W27" s="126"/>
      <c r="X27" s="127"/>
      <c r="Y27" s="127"/>
      <c r="Z27" s="127"/>
      <c r="AA27" s="127"/>
      <c r="AB27" s="522"/>
      <c r="AD27" s="130" t="s">
        <v>45</v>
      </c>
      <c r="AE27" s="128">
        <f t="shared" ref="AE27:AI29" si="57">X40</f>
        <v>48774</v>
      </c>
      <c r="AF27" s="128">
        <f t="shared" si="57"/>
        <v>48774</v>
      </c>
      <c r="AG27" s="128">
        <f t="shared" si="57"/>
        <v>48774</v>
      </c>
      <c r="AH27" s="128">
        <f t="shared" si="57"/>
        <v>48774</v>
      </c>
      <c r="AI27" s="128">
        <f t="shared" si="57"/>
        <v>48770</v>
      </c>
      <c r="AJ27" s="582">
        <f>$AI$27</f>
        <v>48770</v>
      </c>
      <c r="AK27" s="582">
        <f t="shared" ref="AK27:AN27" si="58">$AI$27</f>
        <v>48770</v>
      </c>
      <c r="AL27" s="582">
        <f t="shared" si="58"/>
        <v>48770</v>
      </c>
      <c r="AM27" s="582">
        <f t="shared" si="58"/>
        <v>48770</v>
      </c>
      <c r="AN27" s="583">
        <f t="shared" si="58"/>
        <v>48770</v>
      </c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</row>
    <row r="28" spans="2:55" ht="15.9">
      <c r="B28" s="502"/>
      <c r="C28" s="549"/>
      <c r="D28" s="549"/>
      <c r="E28" s="549"/>
      <c r="F28" s="687">
        <f>AVERAGE(F27:G27)</f>
        <v>0.54064249939900799</v>
      </c>
      <c r="G28" s="688"/>
      <c r="I28" s="535" t="s">
        <v>72</v>
      </c>
      <c r="J28" s="168">
        <f>SUM(J21:J27)</f>
        <v>451868.19235888694</v>
      </c>
      <c r="K28" s="168">
        <f>SUM(K21:K27)+1</f>
        <v>476899.0307325013</v>
      </c>
      <c r="L28" s="168">
        <f>SUM(L21:L27)-1</f>
        <v>480770.95901391399</v>
      </c>
      <c r="M28" s="168">
        <f t="shared" ref="M28" si="59">SUM(M21:M27)</f>
        <v>920319</v>
      </c>
      <c r="N28" s="168">
        <f>SUM(N21:N27)-1</f>
        <v>918385</v>
      </c>
      <c r="O28" s="1"/>
      <c r="P28" s="531" t="s">
        <v>79</v>
      </c>
      <c r="Q28" s="168">
        <f>Q23+Q27</f>
        <v>2322518.582002433</v>
      </c>
      <c r="R28" s="168">
        <f>R23+R27</f>
        <v>2246940.007395491</v>
      </c>
      <c r="S28" s="168">
        <f>S23+S27</f>
        <v>2309665.3151682676</v>
      </c>
      <c r="T28" s="168">
        <f>T23+T27</f>
        <v>2783843</v>
      </c>
      <c r="U28" s="170">
        <f>U23+U27</f>
        <v>2696304</v>
      </c>
      <c r="W28" s="531" t="s">
        <v>130</v>
      </c>
      <c r="X28" s="168">
        <f>X10+X17</f>
        <v>2322518.582002433</v>
      </c>
      <c r="Y28" s="168">
        <f>Y10+Y17+3</f>
        <v>2246940.007395491</v>
      </c>
      <c r="Z28" s="168">
        <f>Z10+Z17</f>
        <v>2309665.3151682676</v>
      </c>
      <c r="AA28" s="168">
        <f>AA10+AA17</f>
        <v>2783843</v>
      </c>
      <c r="AB28" s="170">
        <f>AB10+AB17+2</f>
        <v>2696304</v>
      </c>
      <c r="AD28" s="130" t="s">
        <v>114</v>
      </c>
      <c r="AE28" s="128">
        <f t="shared" si="57"/>
        <v>321049</v>
      </c>
      <c r="AF28" s="128">
        <f t="shared" si="57"/>
        <v>321049</v>
      </c>
      <c r="AG28" s="128">
        <f t="shared" si="57"/>
        <v>321049</v>
      </c>
      <c r="AH28" s="128">
        <f t="shared" si="57"/>
        <v>321049</v>
      </c>
      <c r="AI28" s="128">
        <f t="shared" si="57"/>
        <v>321050</v>
      </c>
      <c r="AJ28" s="128">
        <f>AI28</f>
        <v>321050</v>
      </c>
      <c r="AK28" s="128">
        <f t="shared" ref="AK28:AN28" si="60">AJ28</f>
        <v>321050</v>
      </c>
      <c r="AL28" s="128">
        <f t="shared" si="60"/>
        <v>321050</v>
      </c>
      <c r="AM28" s="128">
        <f t="shared" si="60"/>
        <v>321050</v>
      </c>
      <c r="AN28" s="129">
        <f t="shared" si="60"/>
        <v>321050</v>
      </c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</row>
    <row r="29" spans="2:55">
      <c r="I29" s="130"/>
      <c r="J29" s="490"/>
      <c r="K29" s="490"/>
      <c r="L29" s="490"/>
      <c r="M29" s="490"/>
      <c r="N29" s="129"/>
      <c r="W29" s="74"/>
      <c r="X29" s="74"/>
      <c r="Y29" s="74"/>
      <c r="Z29" s="74"/>
      <c r="AA29" s="74"/>
      <c r="AB29" s="74"/>
      <c r="AD29" s="130" t="s">
        <v>115</v>
      </c>
      <c r="AE29" s="128">
        <f t="shared" si="57"/>
        <v>64617</v>
      </c>
      <c r="AF29" s="128">
        <f t="shared" si="57"/>
        <v>64617</v>
      </c>
      <c r="AG29" s="128">
        <f t="shared" si="57"/>
        <v>64617</v>
      </c>
      <c r="AH29" s="128">
        <f t="shared" si="57"/>
        <v>64617</v>
      </c>
      <c r="AI29" s="128">
        <f t="shared" si="57"/>
        <v>64617</v>
      </c>
      <c r="AJ29" s="128">
        <f>AI29</f>
        <v>64617</v>
      </c>
      <c r="AK29" s="128">
        <f t="shared" ref="AK29:AN29" si="61">AJ29</f>
        <v>64617</v>
      </c>
      <c r="AL29" s="128">
        <f t="shared" si="61"/>
        <v>64617</v>
      </c>
      <c r="AM29" s="128">
        <f t="shared" si="61"/>
        <v>64617</v>
      </c>
      <c r="AN29" s="129">
        <f t="shared" si="61"/>
        <v>64617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</row>
    <row r="30" spans="2:55" ht="15.9">
      <c r="I30" s="535" t="s">
        <v>74</v>
      </c>
      <c r="J30" s="168">
        <f>J18+J28+1</f>
        <v>1891572.4113982348</v>
      </c>
      <c r="K30" s="168">
        <f>K18+K28</f>
        <v>1803018.7215661369</v>
      </c>
      <c r="L30" s="168">
        <f>L18+L28</f>
        <v>1793205.9653033155</v>
      </c>
      <c r="M30" s="168">
        <f>M18+M28</f>
        <v>2315063</v>
      </c>
      <c r="N30" s="170">
        <f>N18+N28+1</f>
        <v>2280333</v>
      </c>
      <c r="AD30" s="536" t="s">
        <v>116</v>
      </c>
      <c r="AE30" s="233">
        <f>SUM(AE27:AE29)</f>
        <v>434440</v>
      </c>
      <c r="AF30" s="233">
        <f t="shared" ref="AF30" si="62">SUM(AF27:AF29)</f>
        <v>434440</v>
      </c>
      <c r="AG30" s="233">
        <f t="shared" ref="AG30" si="63">SUM(AG27:AG29)</f>
        <v>434440</v>
      </c>
      <c r="AH30" s="233">
        <f t="shared" ref="AH30" si="64">SUM(AH27:AH29)</f>
        <v>434440</v>
      </c>
      <c r="AI30" s="233">
        <f t="shared" ref="AI30:AN30" si="65">SUM(AI27:AI29)</f>
        <v>434437</v>
      </c>
      <c r="AJ30" s="233">
        <f t="shared" si="65"/>
        <v>434437</v>
      </c>
      <c r="AK30" s="233">
        <f t="shared" si="65"/>
        <v>434437</v>
      </c>
      <c r="AL30" s="233">
        <f t="shared" si="65"/>
        <v>434437</v>
      </c>
      <c r="AM30" s="233">
        <f t="shared" si="65"/>
        <v>434437</v>
      </c>
      <c r="AN30" s="224">
        <f t="shared" si="65"/>
        <v>434437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</row>
    <row r="31" spans="2:55">
      <c r="I31" s="125"/>
      <c r="J31" s="123"/>
      <c r="K31" s="123"/>
      <c r="L31" s="123"/>
      <c r="M31" s="123"/>
      <c r="N31" s="124"/>
      <c r="AD31" s="130" t="s">
        <v>117</v>
      </c>
      <c r="AE31" s="128">
        <f t="shared" ref="AE31:AI32" si="66">X44</f>
        <v>6370</v>
      </c>
      <c r="AF31" s="128">
        <f t="shared" si="66"/>
        <v>3205</v>
      </c>
      <c r="AG31" s="128">
        <f t="shared" si="66"/>
        <v>8265</v>
      </c>
      <c r="AH31" s="128">
        <f t="shared" si="66"/>
        <v>-10148</v>
      </c>
      <c r="AI31" s="128">
        <f t="shared" si="66"/>
        <v>0</v>
      </c>
      <c r="AJ31" s="128">
        <v>0</v>
      </c>
      <c r="AK31" s="128">
        <v>0</v>
      </c>
      <c r="AL31" s="128">
        <v>0</v>
      </c>
      <c r="AM31" s="128">
        <v>0</v>
      </c>
      <c r="AN31" s="129">
        <v>0</v>
      </c>
      <c r="AQ31" s="55"/>
      <c r="AR31" s="55"/>
      <c r="AS31" s="55"/>
      <c r="AT31" s="55"/>
      <c r="AU31" s="55"/>
      <c r="AV31" s="55"/>
      <c r="AW31" s="55"/>
      <c r="AX31" s="55"/>
      <c r="AY31" s="55"/>
      <c r="AZ31" s="55"/>
    </row>
    <row r="32" spans="2:55">
      <c r="I32" s="126"/>
      <c r="J32" s="127"/>
      <c r="K32" s="127"/>
      <c r="L32" s="127"/>
      <c r="M32" s="127"/>
      <c r="N32" s="522"/>
      <c r="Q32" s="2"/>
      <c r="AD32" s="130" t="s">
        <v>49</v>
      </c>
      <c r="AE32" s="128">
        <f t="shared" si="66"/>
        <v>523566.17060419847</v>
      </c>
      <c r="AF32" s="128">
        <f t="shared" si="66"/>
        <v>544087.28582935384</v>
      </c>
      <c r="AG32" s="128">
        <f t="shared" si="66"/>
        <v>610521.34986495227</v>
      </c>
      <c r="AH32" s="128">
        <f t="shared" si="66"/>
        <v>725869</v>
      </c>
      <c r="AI32" s="128">
        <f t="shared" si="66"/>
        <v>750164</v>
      </c>
      <c r="AJ32" s="128">
        <f>AI32+' Adj. income statement'!P20-'Adj. balance sheet'!AJ66</f>
        <v>806132.66675419989</v>
      </c>
      <c r="AK32" s="128">
        <f>AJ32+' Adj. income statement'!Q20-'Adj. balance sheet'!AK66</f>
        <v>863330.91309461312</v>
      </c>
      <c r="AL32" s="128">
        <f>AK32+' Adj. income statement'!R20-'Adj. balance sheet'!AL66</f>
        <v>920219.79414216313</v>
      </c>
      <c r="AM32" s="128">
        <f>AL32+' Adj. income statement'!S20-'Adj. balance sheet'!AM66</f>
        <v>977507.92040380056</v>
      </c>
      <c r="AN32" s="129">
        <f>AM32+' Adj. income statement'!T20-'Adj. balance sheet'!AN66</f>
        <v>1033508.1193653404</v>
      </c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</row>
    <row r="33" spans="2:52" ht="15.9">
      <c r="I33" s="216" t="s">
        <v>191</v>
      </c>
      <c r="J33" s="480">
        <f>J11+J30</f>
        <v>2855948.582002433</v>
      </c>
      <c r="K33" s="480">
        <f>K11+K30</f>
        <v>2784751.007395491</v>
      </c>
      <c r="L33" s="480">
        <f>L11+L30</f>
        <v>2846432.315168268</v>
      </c>
      <c r="M33" s="168">
        <f>M11+M30-2</f>
        <v>3465222</v>
      </c>
      <c r="N33" s="170">
        <f>N11+N30+1</f>
        <v>3464935</v>
      </c>
      <c r="AD33" s="535" t="s">
        <v>131</v>
      </c>
      <c r="AE33" s="168">
        <f>AE30+AE31+AE32</f>
        <v>964376.17060419847</v>
      </c>
      <c r="AF33" s="168">
        <f t="shared" ref="AF33" si="67">AF30+AF31+AF32</f>
        <v>981732.28582935384</v>
      </c>
      <c r="AG33" s="168">
        <f t="shared" ref="AG33" si="68">AG30+AG31+AG32</f>
        <v>1053226.3498649523</v>
      </c>
      <c r="AH33" s="168">
        <f t="shared" ref="AH33" si="69">AH30+AH31+AH32</f>
        <v>1150161</v>
      </c>
      <c r="AI33" s="168">
        <f>AI30+AI31+AI32</f>
        <v>1184601</v>
      </c>
      <c r="AJ33" s="168">
        <f t="shared" ref="AJ33:AN33" si="70">AJ30+AJ31+AJ32</f>
        <v>1240569.6667541999</v>
      </c>
      <c r="AK33" s="168">
        <f t="shared" si="70"/>
        <v>1297767.9130946132</v>
      </c>
      <c r="AL33" s="168">
        <f t="shared" si="70"/>
        <v>1354656.7941421631</v>
      </c>
      <c r="AM33" s="168">
        <f t="shared" si="70"/>
        <v>1411944.9204038004</v>
      </c>
      <c r="AN33" s="170">
        <f t="shared" si="70"/>
        <v>1467945.1193653406</v>
      </c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2:52" ht="15.9">
      <c r="J34" s="2"/>
      <c r="K34" s="2"/>
      <c r="L34" s="553">
        <f>AVERAGE(M34:N34)</f>
        <v>0.71154216117910463</v>
      </c>
      <c r="M34" s="554">
        <f>M16/F10</f>
        <v>0.71097150026014944</v>
      </c>
      <c r="N34" s="555">
        <f>N16/G10</f>
        <v>0.71211282209805971</v>
      </c>
      <c r="AD34" s="566" t="s">
        <v>198</v>
      </c>
      <c r="AE34" s="128">
        <f t="shared" ref="AE34:AI35" si="71">X49</f>
        <v>562810.21903934795</v>
      </c>
      <c r="AF34" s="128">
        <f t="shared" si="71"/>
        <v>562101.69083363563</v>
      </c>
      <c r="AG34" s="128">
        <f t="shared" si="71"/>
        <v>563210.00628940144</v>
      </c>
      <c r="AH34" s="128">
        <f t="shared" si="71"/>
        <v>584848</v>
      </c>
      <c r="AI34" s="128">
        <f t="shared" si="71"/>
        <v>585131</v>
      </c>
      <c r="AJ34" s="136">
        <f>AJ9*AJ73</f>
        <v>614403.4587366489</v>
      </c>
      <c r="AK34" s="136">
        <f t="shared" ref="AK34:AN34" si="72">AK9*AK73</f>
        <v>629479.29699526157</v>
      </c>
      <c r="AL34" s="136">
        <f t="shared" si="72"/>
        <v>653174.91767309699</v>
      </c>
      <c r="AM34" s="136">
        <f t="shared" si="72"/>
        <v>673398.29624544014</v>
      </c>
      <c r="AN34" s="140">
        <f t="shared" si="72"/>
        <v>696398.82538258878</v>
      </c>
      <c r="AQ34" s="55"/>
      <c r="AR34" s="55"/>
      <c r="AS34" s="55"/>
      <c r="AT34" s="55"/>
      <c r="AU34" s="55"/>
      <c r="AV34" s="55"/>
      <c r="AW34" s="55"/>
      <c r="AX34" s="55"/>
      <c r="AY34" s="55"/>
      <c r="AZ34" s="55"/>
    </row>
    <row r="35" spans="2:52" ht="15.9">
      <c r="L35" s="556">
        <f>1-L34</f>
        <v>0.28845783882089537</v>
      </c>
      <c r="M35" s="557">
        <f>1-M34</f>
        <v>0.28902849973985056</v>
      </c>
      <c r="N35" s="558">
        <f>1-N34</f>
        <v>0.28788717790194029</v>
      </c>
      <c r="AD35" s="567" t="s">
        <v>199</v>
      </c>
      <c r="AE35" s="559">
        <f t="shared" si="71"/>
        <v>228162.19235888694</v>
      </c>
      <c r="AF35" s="559">
        <f t="shared" si="71"/>
        <v>228509.0307325013</v>
      </c>
      <c r="AG35" s="559">
        <f t="shared" si="71"/>
        <v>227689.95901391399</v>
      </c>
      <c r="AH35" s="559">
        <f t="shared" si="71"/>
        <v>217427</v>
      </c>
      <c r="AI35" s="559">
        <f t="shared" si="71"/>
        <v>234113</v>
      </c>
      <c r="AJ35" s="136">
        <f>AJ9*AJ74</f>
        <v>240881.92096321812</v>
      </c>
      <c r="AK35" s="136">
        <f t="shared" ref="AK35:AN35" si="73">AK9*AK74</f>
        <v>244227.9531567067</v>
      </c>
      <c r="AL35" s="136">
        <f t="shared" si="73"/>
        <v>256948.21853073413</v>
      </c>
      <c r="AM35" s="136">
        <f t="shared" si="73"/>
        <v>263394.49242016627</v>
      </c>
      <c r="AN35" s="140">
        <f t="shared" si="73"/>
        <v>272178.32852127653</v>
      </c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2:52" ht="15.9">
      <c r="L36" s="45"/>
      <c r="M36" s="45"/>
      <c r="N36" s="45"/>
      <c r="AD36" s="551" t="s">
        <v>121</v>
      </c>
      <c r="AE36" s="128">
        <f t="shared" ref="AE36:AI37" si="74">X47</f>
        <v>526544</v>
      </c>
      <c r="AF36" s="128">
        <f t="shared" si="74"/>
        <v>429433</v>
      </c>
      <c r="AG36" s="128">
        <f t="shared" si="74"/>
        <v>427873</v>
      </c>
      <c r="AH36" s="128">
        <f t="shared" si="74"/>
        <v>494498</v>
      </c>
      <c r="AI36" s="128">
        <f t="shared" si="74"/>
        <v>461480</v>
      </c>
      <c r="AJ36" s="474">
        <f>(AG36+AH36+AI36)/3</f>
        <v>461283.66666666669</v>
      </c>
      <c r="AK36" s="474">
        <f t="shared" ref="AK36:AN36" si="75">(AH36+AI36+AJ36)/3</f>
        <v>472420.55555555556</v>
      </c>
      <c r="AL36" s="474">
        <f t="shared" si="75"/>
        <v>465061.40740740742</v>
      </c>
      <c r="AM36" s="474">
        <f t="shared" si="75"/>
        <v>466255.2098765432</v>
      </c>
      <c r="AN36" s="478">
        <f t="shared" si="75"/>
        <v>467912.39094650204</v>
      </c>
      <c r="AQ36" s="55"/>
      <c r="AR36" s="55"/>
      <c r="AS36" s="55"/>
      <c r="AT36" s="55"/>
      <c r="AU36" s="55"/>
      <c r="AV36" s="55"/>
      <c r="AW36" s="55"/>
      <c r="AX36" s="55"/>
      <c r="AY36" s="55"/>
      <c r="AZ36" s="55"/>
    </row>
    <row r="37" spans="2:52">
      <c r="AD37" s="126" t="s">
        <v>123</v>
      </c>
      <c r="AE37" s="128">
        <f t="shared" si="74"/>
        <v>0</v>
      </c>
      <c r="AF37" s="128">
        <f t="shared" si="74"/>
        <v>0</v>
      </c>
      <c r="AG37" s="128">
        <f t="shared" si="74"/>
        <v>0</v>
      </c>
      <c r="AH37" s="128">
        <f t="shared" si="74"/>
        <v>180000</v>
      </c>
      <c r="AI37" s="128">
        <f t="shared" si="74"/>
        <v>60297</v>
      </c>
      <c r="AJ37" s="128">
        <f>AI37</f>
        <v>60297</v>
      </c>
      <c r="AK37" s="128">
        <f t="shared" ref="AK37:AN37" si="76">AJ37</f>
        <v>60297</v>
      </c>
      <c r="AL37" s="128">
        <f t="shared" si="76"/>
        <v>60297</v>
      </c>
      <c r="AM37" s="128">
        <f t="shared" si="76"/>
        <v>60297</v>
      </c>
      <c r="AN37" s="129">
        <f t="shared" si="76"/>
        <v>60297</v>
      </c>
      <c r="AQ37" s="55"/>
      <c r="AR37" s="55"/>
      <c r="AS37" s="55"/>
      <c r="AT37" s="55"/>
      <c r="AU37" s="55"/>
      <c r="AV37" s="55"/>
      <c r="AW37" s="55"/>
      <c r="AX37" s="55"/>
      <c r="AY37" s="55"/>
      <c r="AZ37" s="55"/>
    </row>
    <row r="38" spans="2:52">
      <c r="B38" s="681" t="s">
        <v>80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2"/>
      <c r="P38" s="689" t="s">
        <v>81</v>
      </c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1"/>
      <c r="AD38" s="130" t="s">
        <v>124</v>
      </c>
      <c r="AE38" s="128">
        <f t="shared" ref="AE38:AI41" si="77">X51</f>
        <v>40626</v>
      </c>
      <c r="AF38" s="128">
        <f t="shared" si="77"/>
        <v>45161</v>
      </c>
      <c r="AG38" s="128">
        <f t="shared" si="77"/>
        <v>37666</v>
      </c>
      <c r="AH38" s="128">
        <f t="shared" si="77"/>
        <v>145122</v>
      </c>
      <c r="AI38" s="128">
        <f t="shared" si="77"/>
        <v>92316</v>
      </c>
      <c r="AJ38" s="128">
        <f>(AG38+AH38+AI38)/3</f>
        <v>91701.333333333328</v>
      </c>
      <c r="AK38" s="128">
        <f t="shared" ref="AK38:AN38" si="78">(AH38+AI38+AJ38)/3</f>
        <v>109713.11111111111</v>
      </c>
      <c r="AL38" s="128">
        <f t="shared" si="78"/>
        <v>97910.148148148146</v>
      </c>
      <c r="AM38" s="128">
        <f t="shared" si="78"/>
        <v>99774.864197530856</v>
      </c>
      <c r="AN38" s="129">
        <f t="shared" si="78"/>
        <v>102466.04115226337</v>
      </c>
      <c r="AQ38" s="55"/>
      <c r="AR38" s="55"/>
      <c r="AS38" s="55"/>
      <c r="AT38" s="55"/>
      <c r="AU38" s="55"/>
      <c r="AV38" s="55"/>
      <c r="AW38" s="55"/>
      <c r="AX38" s="55"/>
      <c r="AY38" s="55"/>
      <c r="AZ38" s="55"/>
    </row>
    <row r="39" spans="2:52" ht="15.9">
      <c r="B39" s="171" t="s">
        <v>41</v>
      </c>
      <c r="C39" s="142">
        <v>2016</v>
      </c>
      <c r="D39" s="142">
        <v>2017</v>
      </c>
      <c r="E39" s="174">
        <v>2018</v>
      </c>
      <c r="F39" s="174">
        <v>2019</v>
      </c>
      <c r="G39" s="174">
        <v>2020</v>
      </c>
      <c r="H39" s="513"/>
      <c r="I39" s="174" t="s">
        <v>42</v>
      </c>
      <c r="J39" s="142">
        <v>2016</v>
      </c>
      <c r="K39" s="142">
        <v>2017</v>
      </c>
      <c r="L39" s="174">
        <v>2018</v>
      </c>
      <c r="M39" s="174">
        <v>2019</v>
      </c>
      <c r="N39" s="175">
        <v>2020</v>
      </c>
      <c r="P39" s="171" t="s">
        <v>41</v>
      </c>
      <c r="Q39" s="142">
        <v>2016</v>
      </c>
      <c r="R39" s="142">
        <v>2017</v>
      </c>
      <c r="S39" s="174">
        <v>2018</v>
      </c>
      <c r="T39" s="174">
        <v>2019</v>
      </c>
      <c r="U39" s="174">
        <v>2020</v>
      </c>
      <c r="V39" s="513"/>
      <c r="W39" s="174" t="s">
        <v>42</v>
      </c>
      <c r="X39" s="142">
        <v>2016</v>
      </c>
      <c r="Y39" s="142">
        <v>2017</v>
      </c>
      <c r="Z39" s="174">
        <v>2018</v>
      </c>
      <c r="AA39" s="174">
        <v>2019</v>
      </c>
      <c r="AB39" s="175">
        <v>2020</v>
      </c>
      <c r="AD39" s="130" t="s">
        <v>126</v>
      </c>
      <c r="AE39" s="128">
        <f t="shared" si="77"/>
        <v>0</v>
      </c>
      <c r="AF39" s="128">
        <f t="shared" si="77"/>
        <v>0</v>
      </c>
      <c r="AG39" s="128">
        <f t="shared" si="77"/>
        <v>0</v>
      </c>
      <c r="AH39" s="128">
        <f t="shared" si="77"/>
        <v>11787</v>
      </c>
      <c r="AI39" s="128">
        <f t="shared" si="77"/>
        <v>78364</v>
      </c>
      <c r="AJ39" s="128">
        <f>(AH39+AI39)/2</f>
        <v>45075.5</v>
      </c>
      <c r="AK39" s="128">
        <f t="shared" ref="AK39:AN39" si="79">(AI39+AJ39)/2</f>
        <v>61719.75</v>
      </c>
      <c r="AL39" s="128">
        <f t="shared" si="79"/>
        <v>53397.625</v>
      </c>
      <c r="AM39" s="128">
        <f t="shared" si="79"/>
        <v>57558.6875</v>
      </c>
      <c r="AN39" s="129">
        <f t="shared" si="79"/>
        <v>55478.15625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</row>
    <row r="40" spans="2:52">
      <c r="B40" s="126" t="s">
        <v>104</v>
      </c>
      <c r="C40" s="128">
        <f t="shared" ref="C40:G43" si="80">C5</f>
        <v>1463023</v>
      </c>
      <c r="D40" s="128">
        <f t="shared" si="80"/>
        <v>1462354</v>
      </c>
      <c r="E40" s="128">
        <f t="shared" si="80"/>
        <v>1462889</v>
      </c>
      <c r="F40" s="128">
        <f t="shared" si="80"/>
        <v>1520250</v>
      </c>
      <c r="G40" s="129">
        <f t="shared" si="80"/>
        <v>1521108</v>
      </c>
      <c r="I40" s="75" t="s">
        <v>44</v>
      </c>
      <c r="J40" s="549"/>
      <c r="K40" s="549"/>
      <c r="L40" s="549"/>
      <c r="M40" s="549"/>
      <c r="N40" s="562"/>
      <c r="P40" s="126" t="s">
        <v>104</v>
      </c>
      <c r="Q40" s="123">
        <f t="shared" ref="Q40:U43" si="81">Q4</f>
        <v>1463023</v>
      </c>
      <c r="R40" s="123">
        <f t="shared" si="81"/>
        <v>1462354</v>
      </c>
      <c r="S40" s="123">
        <f t="shared" si="81"/>
        <v>1462889</v>
      </c>
      <c r="T40" s="123">
        <f t="shared" si="81"/>
        <v>1520250</v>
      </c>
      <c r="U40" s="124">
        <f t="shared" si="81"/>
        <v>1521108</v>
      </c>
      <c r="W40" s="130" t="s">
        <v>45</v>
      </c>
      <c r="X40" s="128">
        <f t="shared" ref="X40:AB42" si="82">X4</f>
        <v>48774</v>
      </c>
      <c r="Y40" s="128">
        <f t="shared" si="82"/>
        <v>48774</v>
      </c>
      <c r="Z40" s="128">
        <f t="shared" si="82"/>
        <v>48774</v>
      </c>
      <c r="AA40" s="128">
        <f t="shared" si="82"/>
        <v>48774</v>
      </c>
      <c r="AB40" s="129">
        <f t="shared" si="82"/>
        <v>48770</v>
      </c>
      <c r="AD40" s="571" t="s">
        <v>73</v>
      </c>
      <c r="AE40" s="128">
        <f t="shared" si="77"/>
        <v>-253936.17060419847</v>
      </c>
      <c r="AF40" s="128">
        <f t="shared" si="77"/>
        <v>-93286.285829353845</v>
      </c>
      <c r="AG40" s="128">
        <f t="shared" si="77"/>
        <v>-204691.34986495232</v>
      </c>
      <c r="AH40" s="128">
        <f t="shared" si="77"/>
        <v>-339241</v>
      </c>
      <c r="AI40" s="128">
        <f t="shared" si="77"/>
        <v>-301276</v>
      </c>
      <c r="AJ40" s="128">
        <f>-((AJ34+AJ35+AJ36+AJ37+AJ38+AJ39+AJ41)-AJ43)</f>
        <v>-274764.51051552244</v>
      </c>
      <c r="AK40" s="474">
        <f>AK43-AK34-AK35-AK36-AK37-AK38-AK39-AK41</f>
        <v>-331867.59116497042</v>
      </c>
      <c r="AL40" s="128">
        <f t="shared" ref="AL40:AN40" si="83">AL43-AL34-AL35-AL36-AL37-AL38-AL39-AL41</f>
        <v>-382026.27589400049</v>
      </c>
      <c r="AM40" s="128">
        <f t="shared" si="83"/>
        <v>-430281.14072512422</v>
      </c>
      <c r="AN40" s="129">
        <f t="shared" si="83"/>
        <v>-478699.56130320294</v>
      </c>
      <c r="AQ40" s="55"/>
      <c r="AR40" s="55"/>
      <c r="AS40" s="55"/>
      <c r="AT40" s="55"/>
      <c r="AU40" s="55"/>
      <c r="AV40" s="55"/>
      <c r="AW40" s="55"/>
      <c r="AX40" s="55"/>
      <c r="AY40" s="55"/>
      <c r="AZ40" s="55"/>
    </row>
    <row r="41" spans="2:52" ht="15.9">
      <c r="B41" s="126" t="s">
        <v>105</v>
      </c>
      <c r="C41" s="128">
        <f t="shared" si="80"/>
        <v>0</v>
      </c>
      <c r="D41" s="128">
        <f t="shared" si="80"/>
        <v>8423</v>
      </c>
      <c r="E41" s="128">
        <f t="shared" si="80"/>
        <v>6532</v>
      </c>
      <c r="F41" s="128">
        <f t="shared" si="80"/>
        <v>0</v>
      </c>
      <c r="G41" s="129">
        <f t="shared" si="80"/>
        <v>0</v>
      </c>
      <c r="I41" s="125" t="s">
        <v>45</v>
      </c>
      <c r="J41" s="490">
        <f t="shared" ref="J41:N43" si="84">J5</f>
        <v>48774</v>
      </c>
      <c r="K41" s="490">
        <f t="shared" si="84"/>
        <v>48774</v>
      </c>
      <c r="L41" s="490">
        <f t="shared" si="84"/>
        <v>48774</v>
      </c>
      <c r="M41" s="490">
        <f t="shared" si="84"/>
        <v>48774</v>
      </c>
      <c r="N41" s="124">
        <f t="shared" si="84"/>
        <v>48770</v>
      </c>
      <c r="P41" s="126" t="s">
        <v>105</v>
      </c>
      <c r="Q41" s="128">
        <f t="shared" si="81"/>
        <v>0</v>
      </c>
      <c r="R41" s="128">
        <f t="shared" si="81"/>
        <v>8423</v>
      </c>
      <c r="S41" s="128">
        <f t="shared" si="81"/>
        <v>6532</v>
      </c>
      <c r="T41" s="128">
        <f t="shared" si="81"/>
        <v>0</v>
      </c>
      <c r="U41" s="129">
        <f t="shared" si="81"/>
        <v>0</v>
      </c>
      <c r="W41" s="130" t="s">
        <v>114</v>
      </c>
      <c r="X41" s="128">
        <f t="shared" si="82"/>
        <v>321049</v>
      </c>
      <c r="Y41" s="128">
        <f t="shared" si="82"/>
        <v>321049</v>
      </c>
      <c r="Z41" s="128">
        <f t="shared" si="82"/>
        <v>321049</v>
      </c>
      <c r="AA41" s="128">
        <f t="shared" si="82"/>
        <v>321049</v>
      </c>
      <c r="AB41" s="129">
        <f t="shared" si="82"/>
        <v>321050</v>
      </c>
      <c r="AD41" s="572" t="s">
        <v>111</v>
      </c>
      <c r="AE41" s="128">
        <f t="shared" si="77"/>
        <v>-8372</v>
      </c>
      <c r="AF41" s="128">
        <f t="shared" si="77"/>
        <v>-4180</v>
      </c>
      <c r="AG41" s="128">
        <f t="shared" si="77"/>
        <v>-8949</v>
      </c>
      <c r="AH41" s="128">
        <f t="shared" si="77"/>
        <v>-2305</v>
      </c>
      <c r="AI41" s="128">
        <f t="shared" si="77"/>
        <v>0</v>
      </c>
      <c r="AJ41" s="136">
        <f>(AG41+AH41+AI41)/3</f>
        <v>-3751.3333333333335</v>
      </c>
      <c r="AK41" s="136">
        <f>(AH41+AI41+AJ41)/3</f>
        <v>-2018.7777777777781</v>
      </c>
      <c r="AL41" s="136">
        <f t="shared" ref="AL41:AN41" si="85">(AI41+AJ41+AK41)/3</f>
        <v>-1923.3703703703704</v>
      </c>
      <c r="AM41" s="136">
        <f t="shared" si="85"/>
        <v>-2564.4938271604938</v>
      </c>
      <c r="AN41" s="140">
        <f t="shared" si="85"/>
        <v>-2168.8806584362142</v>
      </c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2:52">
      <c r="B42" s="126" t="s">
        <v>108</v>
      </c>
      <c r="C42" s="128">
        <f t="shared" si="80"/>
        <v>0</v>
      </c>
      <c r="D42" s="128">
        <f t="shared" si="80"/>
        <v>0</v>
      </c>
      <c r="E42" s="128">
        <f t="shared" si="80"/>
        <v>0</v>
      </c>
      <c r="F42" s="128">
        <f t="shared" si="80"/>
        <v>65402</v>
      </c>
      <c r="G42" s="129">
        <f t="shared" si="80"/>
        <v>72280</v>
      </c>
      <c r="I42" s="130" t="s">
        <v>114</v>
      </c>
      <c r="J42" s="490">
        <f t="shared" si="84"/>
        <v>321049</v>
      </c>
      <c r="K42" s="490">
        <f t="shared" si="84"/>
        <v>321049</v>
      </c>
      <c r="L42" s="490">
        <f t="shared" si="84"/>
        <v>321049</v>
      </c>
      <c r="M42" s="490">
        <f t="shared" si="84"/>
        <v>321049</v>
      </c>
      <c r="N42" s="129">
        <f t="shared" si="84"/>
        <v>321050</v>
      </c>
      <c r="P42" s="126" t="s">
        <v>108</v>
      </c>
      <c r="Q42" s="128">
        <f t="shared" si="81"/>
        <v>0</v>
      </c>
      <c r="R42" s="128">
        <f t="shared" si="81"/>
        <v>0</v>
      </c>
      <c r="S42" s="128">
        <f t="shared" si="81"/>
        <v>0</v>
      </c>
      <c r="T42" s="128">
        <f t="shared" si="81"/>
        <v>65402</v>
      </c>
      <c r="U42" s="129">
        <f t="shared" si="81"/>
        <v>72280</v>
      </c>
      <c r="W42" s="130" t="s">
        <v>115</v>
      </c>
      <c r="X42" s="128">
        <f t="shared" si="82"/>
        <v>64617</v>
      </c>
      <c r="Y42" s="128">
        <f t="shared" si="82"/>
        <v>64617</v>
      </c>
      <c r="Z42" s="128">
        <f t="shared" si="82"/>
        <v>64617</v>
      </c>
      <c r="AA42" s="128">
        <f t="shared" si="82"/>
        <v>64617</v>
      </c>
      <c r="AB42" s="129">
        <f t="shared" si="82"/>
        <v>64617</v>
      </c>
      <c r="AD42" s="573" t="s">
        <v>112</v>
      </c>
      <c r="AE42" s="233">
        <f>AE40+AE41</f>
        <v>-262308.17060419847</v>
      </c>
      <c r="AF42" s="233">
        <f t="shared" ref="AF42" si="86">AF40+AF41</f>
        <v>-97466.285829353845</v>
      </c>
      <c r="AG42" s="233">
        <f t="shared" ref="AG42" si="87">AG40+AG41</f>
        <v>-213640.34986495232</v>
      </c>
      <c r="AH42" s="233">
        <f t="shared" ref="AH42" si="88">AH40+AH41</f>
        <v>-341546</v>
      </c>
      <c r="AI42" s="233">
        <f t="shared" ref="AI42:AN42" si="89">AI40+AI41</f>
        <v>-301276</v>
      </c>
      <c r="AJ42" s="233">
        <f t="shared" si="89"/>
        <v>-278515.84384885576</v>
      </c>
      <c r="AK42" s="233">
        <f t="shared" si="89"/>
        <v>-333886.36894274817</v>
      </c>
      <c r="AL42" s="233">
        <f t="shared" si="89"/>
        <v>-383949.64626437088</v>
      </c>
      <c r="AM42" s="233">
        <f t="shared" si="89"/>
        <v>-432845.63455228473</v>
      </c>
      <c r="AN42" s="224">
        <f t="shared" si="89"/>
        <v>-480868.44196163915</v>
      </c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2:52" ht="15.9">
      <c r="B43" s="126" t="s">
        <v>109</v>
      </c>
      <c r="C43" s="128">
        <f t="shared" si="80"/>
        <v>0</v>
      </c>
      <c r="D43" s="128">
        <f t="shared" si="80"/>
        <v>0</v>
      </c>
      <c r="E43" s="128">
        <f t="shared" si="80"/>
        <v>0</v>
      </c>
      <c r="F43" s="128">
        <f t="shared" si="80"/>
        <v>2185</v>
      </c>
      <c r="G43" s="129">
        <f t="shared" si="80"/>
        <v>15810</v>
      </c>
      <c r="I43" s="130" t="s">
        <v>115</v>
      </c>
      <c r="J43" s="490">
        <f t="shared" si="84"/>
        <v>64617</v>
      </c>
      <c r="K43" s="490">
        <f t="shared" si="84"/>
        <v>64617</v>
      </c>
      <c r="L43" s="490">
        <f t="shared" si="84"/>
        <v>64617</v>
      </c>
      <c r="M43" s="490">
        <f t="shared" si="84"/>
        <v>64617</v>
      </c>
      <c r="N43" s="129">
        <f t="shared" si="84"/>
        <v>64617</v>
      </c>
      <c r="P43" s="126" t="s">
        <v>109</v>
      </c>
      <c r="Q43" s="128">
        <f t="shared" si="81"/>
        <v>0</v>
      </c>
      <c r="R43" s="128">
        <f t="shared" si="81"/>
        <v>0</v>
      </c>
      <c r="S43" s="128">
        <f t="shared" si="81"/>
        <v>0</v>
      </c>
      <c r="T43" s="128">
        <f t="shared" si="81"/>
        <v>2185</v>
      </c>
      <c r="U43" s="129">
        <f t="shared" si="81"/>
        <v>15810</v>
      </c>
      <c r="W43" s="536" t="s">
        <v>116</v>
      </c>
      <c r="X43" s="233">
        <f>SUM(X40:X42)</f>
        <v>434440</v>
      </c>
      <c r="Y43" s="233">
        <f>SUM(Y40:Y42)</f>
        <v>434440</v>
      </c>
      <c r="Z43" s="233">
        <f>SUM(Z40:Z42)</f>
        <v>434440</v>
      </c>
      <c r="AA43" s="233">
        <f>SUM(AA40:AA42)</f>
        <v>434440</v>
      </c>
      <c r="AB43" s="224">
        <f>SUM(AB40:AB42)</f>
        <v>434437</v>
      </c>
      <c r="AD43" s="574" t="s">
        <v>54</v>
      </c>
      <c r="AE43" s="168">
        <f>AE36+AE37+AE38+AE39+AE42+AE34+AE35</f>
        <v>1095834.2407940365</v>
      </c>
      <c r="AF43" s="168">
        <f t="shared" ref="AF43:AI43" si="90">AF36+AF37+AF38+AF39+AF42+AF34+AF35</f>
        <v>1167738.4357367831</v>
      </c>
      <c r="AG43" s="168">
        <f t="shared" si="90"/>
        <v>1042798.615438363</v>
      </c>
      <c r="AH43" s="168">
        <f t="shared" si="90"/>
        <v>1292136</v>
      </c>
      <c r="AI43" s="168">
        <f t="shared" si="90"/>
        <v>1210425</v>
      </c>
      <c r="AJ43" s="168">
        <f>AJ45-AJ33</f>
        <v>1235127.0358510113</v>
      </c>
      <c r="AK43" s="168">
        <f>AK45-AK33</f>
        <v>1243971.2978758868</v>
      </c>
      <c r="AL43" s="168">
        <f t="shared" ref="AL43:AN43" si="91">AL45-AL33</f>
        <v>1202839.6704950158</v>
      </c>
      <c r="AM43" s="168">
        <f t="shared" si="91"/>
        <v>1187832.9156873957</v>
      </c>
      <c r="AN43" s="170">
        <f t="shared" si="91"/>
        <v>1173862.3002909916</v>
      </c>
      <c r="AQ43" s="55"/>
      <c r="AR43" s="55"/>
      <c r="AS43" s="55"/>
      <c r="AT43" s="55"/>
      <c r="AU43" s="55"/>
      <c r="AV43" s="55"/>
      <c r="AW43" s="55"/>
      <c r="AX43" s="55"/>
      <c r="AY43" s="55"/>
      <c r="AZ43" s="55"/>
    </row>
    <row r="44" spans="2:52" ht="15.9">
      <c r="B44" s="492" t="s">
        <v>47</v>
      </c>
      <c r="C44" s="540">
        <f>C40+C41+C42+C43</f>
        <v>1463023</v>
      </c>
      <c r="D44" s="540">
        <f t="shared" ref="D44:E44" si="92">D40+D41+D42+D43</f>
        <v>1470777</v>
      </c>
      <c r="E44" s="540">
        <f t="shared" si="92"/>
        <v>1469421</v>
      </c>
      <c r="F44" s="540">
        <f>F40+F41+F42+F43-1</f>
        <v>1587836</v>
      </c>
      <c r="G44" s="530">
        <f>G40+G41+G42+G43-1</f>
        <v>1609197</v>
      </c>
      <c r="I44" s="536" t="s">
        <v>116</v>
      </c>
      <c r="J44" s="529">
        <f>J41+J42+J43</f>
        <v>434440</v>
      </c>
      <c r="K44" s="529">
        <f t="shared" ref="K44:N44" si="93">K41+K42+K43</f>
        <v>434440</v>
      </c>
      <c r="L44" s="529">
        <f t="shared" si="93"/>
        <v>434440</v>
      </c>
      <c r="M44" s="529">
        <f t="shared" si="93"/>
        <v>434440</v>
      </c>
      <c r="N44" s="530">
        <f t="shared" si="93"/>
        <v>434437</v>
      </c>
      <c r="P44" s="492" t="s">
        <v>47</v>
      </c>
      <c r="Q44" s="540">
        <f>SUM(Q40:Q43)</f>
        <v>1463023</v>
      </c>
      <c r="R44" s="540">
        <f>SUM(R40:R43)</f>
        <v>1470777</v>
      </c>
      <c r="S44" s="540">
        <f>SUM(S40:S43)</f>
        <v>1469421</v>
      </c>
      <c r="T44" s="540">
        <f>SUM(T40:T43)</f>
        <v>1587837</v>
      </c>
      <c r="U44" s="530">
        <f>SUM(U40:U43)</f>
        <v>1609198</v>
      </c>
      <c r="W44" s="130" t="s">
        <v>117</v>
      </c>
      <c r="X44" s="128">
        <f t="shared" ref="X44:AB45" si="94">X8</f>
        <v>6370</v>
      </c>
      <c r="Y44" s="128">
        <f t="shared" si="94"/>
        <v>3205</v>
      </c>
      <c r="Z44" s="128">
        <f t="shared" si="94"/>
        <v>8265</v>
      </c>
      <c r="AA44" s="128">
        <f t="shared" si="94"/>
        <v>-10148</v>
      </c>
      <c r="AB44" s="129">
        <f t="shared" si="94"/>
        <v>0</v>
      </c>
      <c r="AD44" s="126"/>
      <c r="AE44" s="127"/>
      <c r="AF44" s="127"/>
      <c r="AG44" s="127"/>
      <c r="AH44" s="127"/>
      <c r="AI44" s="127"/>
      <c r="AJ44" s="128"/>
      <c r="AK44" s="128"/>
      <c r="AL44" s="128"/>
      <c r="AM44" s="128"/>
      <c r="AN44" s="129"/>
    </row>
    <row r="45" spans="2:52" ht="15.9">
      <c r="B45" s="126" t="s">
        <v>110</v>
      </c>
      <c r="C45" s="128">
        <f t="shared" ref="C45:G46" si="95">C10</f>
        <v>790972.41139823489</v>
      </c>
      <c r="D45" s="128">
        <f t="shared" si="95"/>
        <v>790610.72156613693</v>
      </c>
      <c r="E45" s="128">
        <f t="shared" si="95"/>
        <v>790899.96530331543</v>
      </c>
      <c r="F45" s="128">
        <f t="shared" si="95"/>
        <v>822604</v>
      </c>
      <c r="G45" s="129">
        <f t="shared" si="95"/>
        <v>821683</v>
      </c>
      <c r="I45" s="130" t="s">
        <v>117</v>
      </c>
      <c r="J45" s="490">
        <f>J9</f>
        <v>6370</v>
      </c>
      <c r="K45" s="490">
        <f>K9</f>
        <v>3205</v>
      </c>
      <c r="L45" s="490">
        <f>L9</f>
        <v>8265</v>
      </c>
      <c r="M45" s="490">
        <f>M9</f>
        <v>-10148</v>
      </c>
      <c r="N45" s="129">
        <f>N9</f>
        <v>0</v>
      </c>
      <c r="P45" s="126" t="s">
        <v>128</v>
      </c>
      <c r="Q45" s="128">
        <f t="shared" ref="Q45:U46" si="96">Q9</f>
        <v>790972.41139823489</v>
      </c>
      <c r="R45" s="128">
        <f t="shared" si="96"/>
        <v>790610.72156613693</v>
      </c>
      <c r="S45" s="128">
        <f t="shared" si="96"/>
        <v>790899.96530331543</v>
      </c>
      <c r="T45" s="128">
        <f t="shared" si="96"/>
        <v>822604</v>
      </c>
      <c r="U45" s="129">
        <f t="shared" si="96"/>
        <v>821683</v>
      </c>
      <c r="W45" s="130" t="s">
        <v>49</v>
      </c>
      <c r="X45" s="128">
        <f t="shared" si="94"/>
        <v>523566.17060419847</v>
      </c>
      <c r="Y45" s="128">
        <f t="shared" si="94"/>
        <v>544087.28582935384</v>
      </c>
      <c r="Z45" s="128">
        <f t="shared" si="94"/>
        <v>610521.34986495227</v>
      </c>
      <c r="AA45" s="128">
        <f t="shared" si="94"/>
        <v>725869</v>
      </c>
      <c r="AB45" s="129">
        <f t="shared" si="94"/>
        <v>750164</v>
      </c>
      <c r="AD45" s="531" t="s">
        <v>132</v>
      </c>
      <c r="AE45" s="168">
        <f>AE33+AE43</f>
        <v>2060210.411398235</v>
      </c>
      <c r="AF45" s="168">
        <f>AF33+AF43+3</f>
        <v>2149473.7215661369</v>
      </c>
      <c r="AG45" s="168">
        <f>AG33+AG43</f>
        <v>2096024.9653033153</v>
      </c>
      <c r="AH45" s="168">
        <f>AH33+AH43</f>
        <v>2442297</v>
      </c>
      <c r="AI45" s="168">
        <f>AI33+AI43+2</f>
        <v>2395028</v>
      </c>
      <c r="AJ45" s="168">
        <f>AJ23</f>
        <v>2475696.7026052112</v>
      </c>
      <c r="AK45" s="168">
        <f t="shared" ref="AK45:AN45" si="97">AK23</f>
        <v>2541739.2109705</v>
      </c>
      <c r="AL45" s="168">
        <f>AL23</f>
        <v>2557496.4646371789</v>
      </c>
      <c r="AM45" s="168">
        <f t="shared" si="97"/>
        <v>2599777.8360911962</v>
      </c>
      <c r="AN45" s="170">
        <f t="shared" si="97"/>
        <v>2641807.4196563321</v>
      </c>
    </row>
    <row r="46" spans="2:52" ht="15.9">
      <c r="B46" s="126" t="s">
        <v>55</v>
      </c>
      <c r="C46" s="128">
        <f t="shared" si="95"/>
        <v>88492</v>
      </c>
      <c r="D46" s="128">
        <f t="shared" si="95"/>
        <v>91896</v>
      </c>
      <c r="E46" s="128">
        <f t="shared" si="95"/>
        <v>91530</v>
      </c>
      <c r="F46" s="128">
        <f t="shared" si="95"/>
        <v>179233</v>
      </c>
      <c r="G46" s="129">
        <f t="shared" si="95"/>
        <v>199512</v>
      </c>
      <c r="I46" s="130" t="s">
        <v>49</v>
      </c>
      <c r="J46" s="490">
        <f>J10</f>
        <v>523566.17060419847</v>
      </c>
      <c r="K46" s="490">
        <f t="shared" ref="K46:L46" si="98">K10</f>
        <v>544087.28582935384</v>
      </c>
      <c r="L46" s="490">
        <f t="shared" si="98"/>
        <v>610521.34986495227</v>
      </c>
      <c r="M46" s="490">
        <f>M10</f>
        <v>725869</v>
      </c>
      <c r="N46" s="129">
        <f>N10</f>
        <v>750164</v>
      </c>
      <c r="P46" s="126" t="s">
        <v>55</v>
      </c>
      <c r="Q46" s="128">
        <f t="shared" si="96"/>
        <v>88492</v>
      </c>
      <c r="R46" s="128">
        <f t="shared" si="96"/>
        <v>91896</v>
      </c>
      <c r="S46" s="128">
        <f t="shared" si="96"/>
        <v>91530</v>
      </c>
      <c r="T46" s="128">
        <f t="shared" si="96"/>
        <v>179233</v>
      </c>
      <c r="U46" s="129">
        <f t="shared" si="96"/>
        <v>199512</v>
      </c>
      <c r="W46" s="535" t="s">
        <v>131</v>
      </c>
      <c r="X46" s="168">
        <f>X43+X44+X45</f>
        <v>964376.17060419847</v>
      </c>
      <c r="Y46" s="168">
        <f>Y43+Y44+Y45</f>
        <v>981732.28582935384</v>
      </c>
      <c r="Z46" s="168">
        <f>Z43+Z44+Z45</f>
        <v>1053226.3498649523</v>
      </c>
      <c r="AA46" s="168">
        <f>AA43+AA44+AA45</f>
        <v>1150161</v>
      </c>
      <c r="AB46" s="170">
        <f>AB43+AB44+AB45</f>
        <v>1184601</v>
      </c>
      <c r="AJ46" s="38"/>
      <c r="AK46" s="38"/>
      <c r="AL46" s="38"/>
      <c r="AM46" s="38"/>
      <c r="AN46" s="38"/>
    </row>
    <row r="47" spans="2:52" ht="15.9">
      <c r="B47" s="492" t="s">
        <v>50</v>
      </c>
      <c r="C47" s="156">
        <f>C45+C46</f>
        <v>879464.41139823489</v>
      </c>
      <c r="D47" s="156">
        <f t="shared" ref="D47:G47" si="99">D45+D46</f>
        <v>882506.72156613693</v>
      </c>
      <c r="E47" s="156">
        <f t="shared" si="99"/>
        <v>882429.96530331543</v>
      </c>
      <c r="F47" s="156">
        <f t="shared" si="99"/>
        <v>1001837</v>
      </c>
      <c r="G47" s="162">
        <f t="shared" si="99"/>
        <v>1021195</v>
      </c>
      <c r="I47" s="535" t="s">
        <v>56</v>
      </c>
      <c r="J47" s="168">
        <f>J44+J45+J46</f>
        <v>964376.17060419847</v>
      </c>
      <c r="K47" s="168">
        <f>K44+K45+K46-1</f>
        <v>981731.28582935384</v>
      </c>
      <c r="L47" s="168">
        <f t="shared" ref="L47:N47" si="100">L44+L45+L46</f>
        <v>1053226.3498649523</v>
      </c>
      <c r="M47" s="168">
        <f t="shared" si="100"/>
        <v>1150161</v>
      </c>
      <c r="N47" s="170">
        <f t="shared" si="100"/>
        <v>1184601</v>
      </c>
      <c r="P47" s="492" t="s">
        <v>50</v>
      </c>
      <c r="Q47" s="540">
        <f>Q45+Q46</f>
        <v>879464.41139823489</v>
      </c>
      <c r="R47" s="540">
        <f>R45+R46</f>
        <v>882506.72156613693</v>
      </c>
      <c r="S47" s="540">
        <f>S45+S46</f>
        <v>882429.96530331543</v>
      </c>
      <c r="T47" s="540">
        <f>T45+T46</f>
        <v>1001837</v>
      </c>
      <c r="U47" s="530">
        <f>U45+U46</f>
        <v>1021195</v>
      </c>
      <c r="W47" s="551" t="s">
        <v>121</v>
      </c>
      <c r="X47" s="128">
        <f t="shared" ref="X47:AB48" si="101">X13</f>
        <v>526544</v>
      </c>
      <c r="Y47" s="128">
        <f t="shared" si="101"/>
        <v>429433</v>
      </c>
      <c r="Z47" s="128">
        <f t="shared" si="101"/>
        <v>427873</v>
      </c>
      <c r="AA47" s="128">
        <f t="shared" si="101"/>
        <v>494498</v>
      </c>
      <c r="AB47" s="129">
        <f t="shared" si="101"/>
        <v>461480</v>
      </c>
      <c r="AJ47" s="38"/>
      <c r="AK47" s="38"/>
      <c r="AL47" s="38"/>
      <c r="AM47" s="38"/>
      <c r="AN47" s="38"/>
    </row>
    <row r="48" spans="2:52" ht="15.9">
      <c r="B48" s="531" t="s">
        <v>84</v>
      </c>
      <c r="C48" s="168">
        <f>C44+C47</f>
        <v>2342487.4113982348</v>
      </c>
      <c r="D48" s="168">
        <f t="shared" ref="D48:G48" si="102">D44+D47</f>
        <v>2353283.7215661369</v>
      </c>
      <c r="E48" s="168">
        <f t="shared" si="102"/>
        <v>2351850.9653033153</v>
      </c>
      <c r="F48" s="168">
        <f t="shared" si="102"/>
        <v>2589673</v>
      </c>
      <c r="G48" s="170">
        <f t="shared" si="102"/>
        <v>2630392</v>
      </c>
      <c r="I48" s="130" t="s">
        <v>127</v>
      </c>
      <c r="J48" s="490">
        <f>J14</f>
        <v>350349</v>
      </c>
      <c r="K48" s="490">
        <f>K14</f>
        <v>334585</v>
      </c>
      <c r="L48" s="490">
        <f>L14</f>
        <v>321352</v>
      </c>
      <c r="M48" s="490">
        <f>M14</f>
        <v>315398</v>
      </c>
      <c r="N48" s="129">
        <f>N14</f>
        <v>315336</v>
      </c>
      <c r="P48" s="564" t="s">
        <v>127</v>
      </c>
      <c r="Q48" s="128">
        <f>Q12</f>
        <v>-350349</v>
      </c>
      <c r="R48" s="128">
        <f>R12</f>
        <v>-334585</v>
      </c>
      <c r="S48" s="128">
        <f>S12</f>
        <v>-321352</v>
      </c>
      <c r="T48" s="128">
        <f>T12</f>
        <v>-315398</v>
      </c>
      <c r="U48" s="129">
        <f>U12</f>
        <v>-315336</v>
      </c>
      <c r="W48" s="126" t="s">
        <v>123</v>
      </c>
      <c r="X48" s="128">
        <f t="shared" si="101"/>
        <v>0</v>
      </c>
      <c r="Y48" s="128">
        <f t="shared" si="101"/>
        <v>0</v>
      </c>
      <c r="Z48" s="128">
        <f t="shared" si="101"/>
        <v>0</v>
      </c>
      <c r="AA48" s="128">
        <f t="shared" si="101"/>
        <v>180000</v>
      </c>
      <c r="AB48" s="129">
        <f t="shared" si="101"/>
        <v>60297</v>
      </c>
      <c r="AD48" s="6"/>
    </row>
    <row r="49" spans="1:41" ht="15.9">
      <c r="B49" s="126" t="s">
        <v>73</v>
      </c>
      <c r="C49" s="559">
        <f>C22</f>
        <v>253936.17060419847</v>
      </c>
      <c r="D49" s="559">
        <f>D22</f>
        <v>93286.285829353845</v>
      </c>
      <c r="E49" s="559">
        <f>E22</f>
        <v>204691.34986495232</v>
      </c>
      <c r="F49" s="559">
        <f>F22</f>
        <v>339241</v>
      </c>
      <c r="G49" s="543">
        <f>G22</f>
        <v>301276</v>
      </c>
      <c r="I49" s="535" t="s">
        <v>82</v>
      </c>
      <c r="J49" s="168">
        <f>J48</f>
        <v>350349</v>
      </c>
      <c r="K49" s="168">
        <f t="shared" ref="K49:N49" si="103">K48</f>
        <v>334585</v>
      </c>
      <c r="L49" s="168">
        <f t="shared" si="103"/>
        <v>321352</v>
      </c>
      <c r="M49" s="168">
        <f t="shared" si="103"/>
        <v>315398</v>
      </c>
      <c r="N49" s="170">
        <f t="shared" si="103"/>
        <v>315336</v>
      </c>
      <c r="P49" s="568" t="s">
        <v>58</v>
      </c>
      <c r="Q49" s="545">
        <f>Q44+Q47+Q48</f>
        <v>1992138.4113982348</v>
      </c>
      <c r="R49" s="545">
        <f>R44+R47+R48</f>
        <v>2018698.7215661369</v>
      </c>
      <c r="S49" s="545">
        <f>S44+S47+S48</f>
        <v>2030498.9653033153</v>
      </c>
      <c r="T49" s="545">
        <f>T44+T47+T48</f>
        <v>2274276</v>
      </c>
      <c r="U49" s="170">
        <f>U44+U47+U48</f>
        <v>2315057</v>
      </c>
      <c r="W49" s="566" t="s">
        <v>198</v>
      </c>
      <c r="X49" s="569">
        <f t="shared" ref="X49:AB50" si="104">X11</f>
        <v>562810.21903934795</v>
      </c>
      <c r="Y49" s="569">
        <f t="shared" si="104"/>
        <v>562101.69083363563</v>
      </c>
      <c r="Z49" s="569">
        <f t="shared" si="104"/>
        <v>563210.00628940144</v>
      </c>
      <c r="AA49" s="569">
        <f t="shared" si="104"/>
        <v>584848</v>
      </c>
      <c r="AB49" s="570">
        <f t="shared" si="104"/>
        <v>585131</v>
      </c>
      <c r="AD49" s="23"/>
      <c r="AE49" s="669" t="s">
        <v>234</v>
      </c>
      <c r="AF49" s="670"/>
      <c r="AG49" s="670"/>
      <c r="AH49" s="670"/>
      <c r="AI49" s="670"/>
      <c r="AJ49" s="670"/>
      <c r="AK49" s="670"/>
      <c r="AL49" s="670"/>
      <c r="AM49" s="670"/>
      <c r="AN49" s="671"/>
    </row>
    <row r="50" spans="1:41" ht="15.9">
      <c r="B50" s="479" t="s">
        <v>111</v>
      </c>
      <c r="C50" s="128">
        <f>C20</f>
        <v>8372</v>
      </c>
      <c r="D50" s="128">
        <f>D20</f>
        <v>4180</v>
      </c>
      <c r="E50" s="128">
        <f>E20</f>
        <v>8949</v>
      </c>
      <c r="F50" s="128">
        <f>F20</f>
        <v>2305</v>
      </c>
      <c r="G50" s="129">
        <f>G20</f>
        <v>0</v>
      </c>
      <c r="I50" s="130" t="s">
        <v>68</v>
      </c>
      <c r="J50" s="490">
        <f t="shared" ref="J50:N51" si="105">J24</f>
        <v>40849</v>
      </c>
      <c r="K50" s="490">
        <f t="shared" si="105"/>
        <v>40415</v>
      </c>
      <c r="L50" s="490">
        <f t="shared" si="105"/>
        <v>46216</v>
      </c>
      <c r="M50" s="490">
        <f t="shared" si="105"/>
        <v>51239</v>
      </c>
      <c r="N50" s="129">
        <f t="shared" si="105"/>
        <v>87011</v>
      </c>
      <c r="P50" s="525" t="s">
        <v>59</v>
      </c>
      <c r="Q50" s="123">
        <f>Q14</f>
        <v>222190</v>
      </c>
      <c r="R50" s="123">
        <f>R14</f>
        <v>301997</v>
      </c>
      <c r="S50" s="123">
        <f>S14</f>
        <v>253157</v>
      </c>
      <c r="T50" s="123">
        <f>T14</f>
        <v>484988</v>
      </c>
      <c r="U50" s="124">
        <f>U14</f>
        <v>482161</v>
      </c>
      <c r="W50" s="567" t="s">
        <v>199</v>
      </c>
      <c r="X50" s="559">
        <f t="shared" si="104"/>
        <v>228162.19235888694</v>
      </c>
      <c r="Y50" s="559">
        <f t="shared" si="104"/>
        <v>228509.0307325013</v>
      </c>
      <c r="Z50" s="559">
        <f t="shared" si="104"/>
        <v>227689.95901391399</v>
      </c>
      <c r="AA50" s="559">
        <f t="shared" si="104"/>
        <v>217427</v>
      </c>
      <c r="AB50" s="543">
        <f t="shared" si="104"/>
        <v>234113</v>
      </c>
      <c r="AD50" s="32"/>
      <c r="AE50" s="285">
        <v>2016</v>
      </c>
      <c r="AF50" s="271">
        <v>2017</v>
      </c>
      <c r="AG50" s="271">
        <v>2018</v>
      </c>
      <c r="AH50" s="271">
        <v>2019</v>
      </c>
      <c r="AI50" s="271">
        <v>2020</v>
      </c>
      <c r="AJ50" s="271">
        <v>2021</v>
      </c>
      <c r="AK50" s="271">
        <v>2022</v>
      </c>
      <c r="AL50" s="271">
        <v>2023</v>
      </c>
      <c r="AM50" s="271">
        <v>2024</v>
      </c>
      <c r="AN50" s="283">
        <v>2025</v>
      </c>
    </row>
    <row r="51" spans="1:41" ht="15.9">
      <c r="B51" s="98" t="s">
        <v>112</v>
      </c>
      <c r="C51" s="233">
        <f>C49+C50</f>
        <v>262308.17060419847</v>
      </c>
      <c r="D51" s="233">
        <f t="shared" ref="D51:G51" si="106">D49+D50</f>
        <v>97466.285829353845</v>
      </c>
      <c r="E51" s="233">
        <f t="shared" si="106"/>
        <v>213640.34986495232</v>
      </c>
      <c r="F51" s="233">
        <f t="shared" si="106"/>
        <v>341546</v>
      </c>
      <c r="G51" s="224">
        <f t="shared" si="106"/>
        <v>301276</v>
      </c>
      <c r="I51" s="130" t="s">
        <v>125</v>
      </c>
      <c r="J51" s="490">
        <f t="shared" si="105"/>
        <v>80729</v>
      </c>
      <c r="K51" s="490">
        <f t="shared" si="105"/>
        <v>104674</v>
      </c>
      <c r="L51" s="490">
        <f t="shared" si="105"/>
        <v>111812</v>
      </c>
      <c r="M51" s="490">
        <f t="shared" si="105"/>
        <v>154233</v>
      </c>
      <c r="N51" s="129">
        <f t="shared" si="105"/>
        <v>167402</v>
      </c>
      <c r="P51" s="492" t="s">
        <v>62</v>
      </c>
      <c r="Q51" s="540">
        <f>Q50</f>
        <v>222190</v>
      </c>
      <c r="R51" s="540">
        <f>R50</f>
        <v>301997</v>
      </c>
      <c r="S51" s="540">
        <f>S50</f>
        <v>253157</v>
      </c>
      <c r="T51" s="540">
        <f>T50</f>
        <v>484988</v>
      </c>
      <c r="U51" s="530">
        <f>U50</f>
        <v>482161</v>
      </c>
      <c r="W51" s="130" t="s">
        <v>124</v>
      </c>
      <c r="X51" s="128">
        <f t="shared" ref="X51:AB52" si="107">X15</f>
        <v>40626</v>
      </c>
      <c r="Y51" s="128">
        <f t="shared" si="107"/>
        <v>45161</v>
      </c>
      <c r="Z51" s="128">
        <f t="shared" si="107"/>
        <v>37666</v>
      </c>
      <c r="AA51" s="128">
        <f t="shared" si="107"/>
        <v>145122</v>
      </c>
      <c r="AB51" s="129">
        <f t="shared" si="107"/>
        <v>92316</v>
      </c>
      <c r="AD51" s="32"/>
      <c r="AE51" s="286">
        <f>AE13/' Adj. income statement'!K4</f>
        <v>1.5376943685071158</v>
      </c>
      <c r="AF51" s="287">
        <f>AF13/' Adj. income statement'!L4</f>
        <v>1.460346803877866</v>
      </c>
      <c r="AG51" s="287">
        <f>AG13/' Adj. income statement'!M4</f>
        <v>1.3840561593109197</v>
      </c>
      <c r="AH51" s="287">
        <f>AH13/' Adj. income statement'!N4</f>
        <v>0.97014541457165859</v>
      </c>
      <c r="AI51" s="287">
        <f>AI13/' Adj. income statement'!O4</f>
        <v>0.77262543673955419</v>
      </c>
      <c r="AJ51" s="287">
        <f>AJ13/' Adj. income statement'!P4</f>
        <v>0.74739016175675665</v>
      </c>
      <c r="AK51" s="287">
        <f>AK13/' Adj. income statement'!Q4</f>
        <v>0.74426181026924632</v>
      </c>
      <c r="AL51" s="287">
        <f>AL13/' Adj. income statement'!R4</f>
        <v>0.73931044507180832</v>
      </c>
      <c r="AM51" s="287">
        <f>AM13/' Adj. income statement'!S4</f>
        <v>0.73269684069767793</v>
      </c>
      <c r="AN51" s="288">
        <f>AN13/' Adj. income statement'!T4</f>
        <v>0.73621616242418109</v>
      </c>
    </row>
    <row r="52" spans="1:41" ht="15.9">
      <c r="B52" s="531" t="s">
        <v>78</v>
      </c>
      <c r="C52" s="168">
        <f>C51</f>
        <v>262308.17060419847</v>
      </c>
      <c r="D52" s="168">
        <f t="shared" ref="D52:G52" si="108">D51</f>
        <v>97466.285829353845</v>
      </c>
      <c r="E52" s="168">
        <f t="shared" si="108"/>
        <v>213640.34986495232</v>
      </c>
      <c r="F52" s="168">
        <f t="shared" si="108"/>
        <v>341546</v>
      </c>
      <c r="G52" s="170">
        <f t="shared" si="108"/>
        <v>301276</v>
      </c>
      <c r="I52" s="130" t="s">
        <v>69</v>
      </c>
      <c r="J52" s="490">
        <f>J27</f>
        <v>61502</v>
      </c>
      <c r="K52" s="490">
        <f>K27</f>
        <v>58139</v>
      </c>
      <c r="L52" s="490">
        <f>L27</f>
        <v>57388</v>
      </c>
      <c r="M52" s="490">
        <f>M27</f>
        <v>160511</v>
      </c>
      <c r="N52" s="129">
        <f>N27</f>
        <v>198883</v>
      </c>
      <c r="P52" s="541" t="s">
        <v>106</v>
      </c>
      <c r="Q52" s="559">
        <f t="shared" ref="Q52:U53" si="109">Q16</f>
        <v>2527</v>
      </c>
      <c r="R52" s="559">
        <f t="shared" si="109"/>
        <v>3500</v>
      </c>
      <c r="S52" s="559">
        <f t="shared" si="109"/>
        <v>2962</v>
      </c>
      <c r="T52" s="559">
        <f t="shared" si="109"/>
        <v>23201</v>
      </c>
      <c r="U52" s="543">
        <f t="shared" si="109"/>
        <v>18381</v>
      </c>
      <c r="W52" s="130" t="s">
        <v>126</v>
      </c>
      <c r="X52" s="128">
        <f t="shared" si="107"/>
        <v>0</v>
      </c>
      <c r="Y52" s="128">
        <f t="shared" si="107"/>
        <v>0</v>
      </c>
      <c r="Z52" s="128">
        <f t="shared" si="107"/>
        <v>0</v>
      </c>
      <c r="AA52" s="128">
        <f t="shared" si="107"/>
        <v>11787</v>
      </c>
      <c r="AB52" s="129">
        <f t="shared" si="107"/>
        <v>78364</v>
      </c>
      <c r="AJ52" s="6"/>
      <c r="AK52" s="6"/>
      <c r="AL52" s="6"/>
      <c r="AM52" s="6"/>
      <c r="AN52" s="6"/>
    </row>
    <row r="53" spans="1:41" ht="15.9">
      <c r="B53" s="126" t="s">
        <v>59</v>
      </c>
      <c r="C53" s="128">
        <f>C16</f>
        <v>222190</v>
      </c>
      <c r="D53" s="128">
        <f>D16</f>
        <v>301997</v>
      </c>
      <c r="E53" s="128">
        <f>E16</f>
        <v>253157</v>
      </c>
      <c r="F53" s="128">
        <f>F16</f>
        <v>484988</v>
      </c>
      <c r="G53" s="129">
        <f>G16</f>
        <v>482161</v>
      </c>
      <c r="I53" s="535" t="s">
        <v>87</v>
      </c>
      <c r="J53" s="168">
        <f>SUM(J50:J52)</f>
        <v>183080</v>
      </c>
      <c r="K53" s="168">
        <f>SUM(K50:K52)</f>
        <v>203228</v>
      </c>
      <c r="L53" s="168">
        <f>SUM(L50:L52)</f>
        <v>215416</v>
      </c>
      <c r="M53" s="168">
        <f>SUM(M50:M52)</f>
        <v>365983</v>
      </c>
      <c r="N53" s="170">
        <f>SUM(N50:N52)</f>
        <v>453296</v>
      </c>
      <c r="P53" s="126" t="s">
        <v>107</v>
      </c>
      <c r="Q53" s="559">
        <f t="shared" si="109"/>
        <v>26435</v>
      </c>
      <c r="R53" s="559">
        <f t="shared" si="109"/>
        <v>28506</v>
      </c>
      <c r="S53" s="559">
        <f t="shared" si="109"/>
        <v>24823</v>
      </c>
      <c r="T53" s="559">
        <f t="shared" si="109"/>
        <v>25815</v>
      </c>
      <c r="U53" s="543">
        <f t="shared" si="109"/>
        <v>32725</v>
      </c>
      <c r="W53" s="571" t="s">
        <v>73</v>
      </c>
      <c r="X53" s="128">
        <f t="shared" ref="X53:AB54" si="110">Q24*(-1)</f>
        <v>-253936.17060419847</v>
      </c>
      <c r="Y53" s="128">
        <f t="shared" si="110"/>
        <v>-93286.285829353845</v>
      </c>
      <c r="Z53" s="128">
        <f t="shared" si="110"/>
        <v>-204691.34986495232</v>
      </c>
      <c r="AA53" s="128">
        <f t="shared" si="110"/>
        <v>-339241</v>
      </c>
      <c r="AB53" s="129">
        <f t="shared" si="110"/>
        <v>-301276</v>
      </c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1" ht="18.45">
      <c r="B54" s="492" t="s">
        <v>62</v>
      </c>
      <c r="C54" s="540">
        <f>C53</f>
        <v>222190</v>
      </c>
      <c r="D54" s="540">
        <f t="shared" ref="D54:G54" si="111">D53</f>
        <v>301997</v>
      </c>
      <c r="E54" s="540">
        <f t="shared" si="111"/>
        <v>253157</v>
      </c>
      <c r="F54" s="540">
        <f t="shared" si="111"/>
        <v>484988</v>
      </c>
      <c r="G54" s="530">
        <f t="shared" si="111"/>
        <v>482161</v>
      </c>
      <c r="I54" s="563" t="s">
        <v>121</v>
      </c>
      <c r="J54" s="490">
        <f>J17</f>
        <v>526544</v>
      </c>
      <c r="K54" s="490">
        <f>K17</f>
        <v>429433</v>
      </c>
      <c r="L54" s="490">
        <f>L17</f>
        <v>427873</v>
      </c>
      <c r="M54" s="490">
        <f>M17</f>
        <v>494498</v>
      </c>
      <c r="N54" s="129">
        <f>N17</f>
        <v>461480</v>
      </c>
      <c r="P54" s="492" t="s">
        <v>65</v>
      </c>
      <c r="Q54" s="540">
        <f>Q52+Q53</f>
        <v>28962</v>
      </c>
      <c r="R54" s="540">
        <f>R52+R53</f>
        <v>32006</v>
      </c>
      <c r="S54" s="540">
        <f>S52+S53</f>
        <v>27785</v>
      </c>
      <c r="T54" s="540">
        <f>T52+T53</f>
        <v>49016</v>
      </c>
      <c r="U54" s="530">
        <f>U52+U53</f>
        <v>51106</v>
      </c>
      <c r="W54" s="572" t="s">
        <v>111</v>
      </c>
      <c r="X54" s="128">
        <f t="shared" si="110"/>
        <v>-8372</v>
      </c>
      <c r="Y54" s="128">
        <f t="shared" si="110"/>
        <v>-4180</v>
      </c>
      <c r="Z54" s="128">
        <f t="shared" si="110"/>
        <v>-8949</v>
      </c>
      <c r="AA54" s="128">
        <f t="shared" si="110"/>
        <v>-2305</v>
      </c>
      <c r="AB54" s="129">
        <f t="shared" si="110"/>
        <v>0</v>
      </c>
      <c r="AD54" s="41"/>
      <c r="AE54" s="39"/>
      <c r="AF54" s="39"/>
      <c r="AG54" s="39"/>
      <c r="AH54" s="39"/>
      <c r="AI54" s="39"/>
    </row>
    <row r="55" spans="1:41" ht="15.9">
      <c r="B55" s="541" t="s">
        <v>106</v>
      </c>
      <c r="C55" s="128">
        <f t="shared" ref="C55:G56" si="112">C18</f>
        <v>2527</v>
      </c>
      <c r="D55" s="128">
        <f t="shared" si="112"/>
        <v>3500</v>
      </c>
      <c r="E55" s="128">
        <f t="shared" si="112"/>
        <v>2962</v>
      </c>
      <c r="F55" s="128">
        <f t="shared" si="112"/>
        <v>23201</v>
      </c>
      <c r="G55" s="129">
        <f t="shared" si="112"/>
        <v>18381</v>
      </c>
      <c r="I55" s="126" t="s">
        <v>199</v>
      </c>
      <c r="J55" s="490">
        <f>J21</f>
        <v>228162.19235888694</v>
      </c>
      <c r="K55" s="490">
        <f>K21</f>
        <v>228509.0307325013</v>
      </c>
      <c r="L55" s="490">
        <f>L21</f>
        <v>227689.95901391399</v>
      </c>
      <c r="M55" s="490">
        <f>M21</f>
        <v>217427</v>
      </c>
      <c r="N55" s="129">
        <f>N21</f>
        <v>234113</v>
      </c>
      <c r="P55" s="564" t="s">
        <v>68</v>
      </c>
      <c r="Q55" s="559">
        <f t="shared" ref="Q55:U57" si="113">Q19</f>
        <v>-40849</v>
      </c>
      <c r="R55" s="559">
        <f t="shared" si="113"/>
        <v>-40415</v>
      </c>
      <c r="S55" s="559">
        <f t="shared" si="113"/>
        <v>-46216</v>
      </c>
      <c r="T55" s="559">
        <f t="shared" si="113"/>
        <v>-51239</v>
      </c>
      <c r="U55" s="543">
        <f t="shared" si="113"/>
        <v>-87011</v>
      </c>
      <c r="W55" s="573" t="s">
        <v>112</v>
      </c>
      <c r="X55" s="233">
        <f>X53+X54</f>
        <v>-262308.17060419847</v>
      </c>
      <c r="Y55" s="233">
        <f>Y53+Y54</f>
        <v>-97466.285829353845</v>
      </c>
      <c r="Z55" s="233">
        <f>Z53+Z54</f>
        <v>-213640.34986495232</v>
      </c>
      <c r="AA55" s="233">
        <f>AA53+AA54</f>
        <v>-341546</v>
      </c>
      <c r="AB55" s="224">
        <f>AB53+AB54</f>
        <v>-301276</v>
      </c>
      <c r="AJ55" s="6"/>
      <c r="AK55" s="6"/>
      <c r="AL55" s="6"/>
      <c r="AM55" s="6"/>
      <c r="AN55" s="6"/>
    </row>
    <row r="56" spans="1:41" ht="18.45">
      <c r="B56" s="126" t="s">
        <v>107</v>
      </c>
      <c r="C56" s="128">
        <f t="shared" si="112"/>
        <v>26435</v>
      </c>
      <c r="D56" s="128">
        <f t="shared" si="112"/>
        <v>28506</v>
      </c>
      <c r="E56" s="128">
        <f t="shared" si="112"/>
        <v>24823</v>
      </c>
      <c r="F56" s="128">
        <f t="shared" si="112"/>
        <v>25815</v>
      </c>
      <c r="G56" s="129">
        <f t="shared" si="112"/>
        <v>32725</v>
      </c>
      <c r="I56" s="130" t="s">
        <v>198</v>
      </c>
      <c r="J56" s="490">
        <f>J16</f>
        <v>562810.21903934795</v>
      </c>
      <c r="K56" s="490">
        <f>K16</f>
        <v>562101.69083363563</v>
      </c>
      <c r="L56" s="490">
        <f>L16</f>
        <v>563210.00628940144</v>
      </c>
      <c r="M56" s="490">
        <f>M16</f>
        <v>584848</v>
      </c>
      <c r="N56" s="129">
        <f>N16</f>
        <v>585131</v>
      </c>
      <c r="P56" s="564" t="s">
        <v>125</v>
      </c>
      <c r="Q56" s="559">
        <f t="shared" si="113"/>
        <v>-80729</v>
      </c>
      <c r="R56" s="559">
        <f t="shared" si="113"/>
        <v>-104674</v>
      </c>
      <c r="S56" s="559">
        <f t="shared" si="113"/>
        <v>-111812</v>
      </c>
      <c r="T56" s="559">
        <f t="shared" si="113"/>
        <v>-154233</v>
      </c>
      <c r="U56" s="543">
        <f t="shared" si="113"/>
        <v>-167402</v>
      </c>
      <c r="W56" s="574" t="s">
        <v>54</v>
      </c>
      <c r="X56" s="168">
        <f>X47+X48+X51+X52+X55+X49+X50</f>
        <v>1095834.2407940365</v>
      </c>
      <c r="Y56" s="168">
        <f>Y47+Y48+Y51+Y52+Y55+Y49+Y50</f>
        <v>1167738.4357367831</v>
      </c>
      <c r="Z56" s="168">
        <f>Z47+Z48+Z51+Z52+Z55+Z49+Z50</f>
        <v>1042798.615438363</v>
      </c>
      <c r="AA56" s="168">
        <f>AA47+AA48+AA51+AA52+AA55+AA49+AA50</f>
        <v>1292136</v>
      </c>
      <c r="AB56" s="170">
        <f>AB47+AB48+AB51+AB52+AB55+AB49+AB50</f>
        <v>1210425</v>
      </c>
      <c r="AJ56" s="39"/>
      <c r="AK56" s="39"/>
      <c r="AL56" s="39"/>
      <c r="AM56" s="39"/>
      <c r="AN56" s="39"/>
    </row>
    <row r="57" spans="1:41" ht="15.9">
      <c r="B57" s="492" t="s">
        <v>65</v>
      </c>
      <c r="C57" s="540">
        <f>C55+C56</f>
        <v>28962</v>
      </c>
      <c r="D57" s="540">
        <f t="shared" ref="D57:G57" si="114">D55+D56</f>
        <v>32006</v>
      </c>
      <c r="E57" s="540">
        <f t="shared" si="114"/>
        <v>27785</v>
      </c>
      <c r="F57" s="540">
        <f t="shared" si="114"/>
        <v>49016</v>
      </c>
      <c r="G57" s="530">
        <f t="shared" si="114"/>
        <v>51106</v>
      </c>
      <c r="I57" s="126" t="s">
        <v>123</v>
      </c>
      <c r="J57" s="490">
        <f t="shared" ref="J57:N58" si="115">J22</f>
        <v>0</v>
      </c>
      <c r="K57" s="490">
        <f t="shared" si="115"/>
        <v>0</v>
      </c>
      <c r="L57" s="490">
        <f t="shared" si="115"/>
        <v>0</v>
      </c>
      <c r="M57" s="490">
        <f t="shared" si="115"/>
        <v>180000</v>
      </c>
      <c r="N57" s="129">
        <f t="shared" si="115"/>
        <v>60297</v>
      </c>
      <c r="P57" s="564" t="s">
        <v>69</v>
      </c>
      <c r="Q57" s="559">
        <f t="shared" si="113"/>
        <v>-61502</v>
      </c>
      <c r="R57" s="559">
        <f t="shared" si="113"/>
        <v>-58139</v>
      </c>
      <c r="S57" s="559">
        <f t="shared" si="113"/>
        <v>-57388</v>
      </c>
      <c r="T57" s="559">
        <f t="shared" si="113"/>
        <v>-160511</v>
      </c>
      <c r="U57" s="543">
        <f t="shared" si="113"/>
        <v>-198883</v>
      </c>
      <c r="W57" s="126"/>
      <c r="X57" s="127"/>
      <c r="Y57" s="127"/>
      <c r="Z57" s="127"/>
      <c r="AA57" s="127"/>
      <c r="AB57" s="522"/>
    </row>
    <row r="58" spans="1:41" ht="15.9">
      <c r="A58" s="30"/>
      <c r="B58" s="531" t="s">
        <v>96</v>
      </c>
      <c r="C58" s="170">
        <f>C54+C57</f>
        <v>251152</v>
      </c>
      <c r="D58" s="170">
        <f t="shared" ref="D58:G58" si="116">D54+D57</f>
        <v>334003</v>
      </c>
      <c r="E58" s="170">
        <f t="shared" si="116"/>
        <v>280942</v>
      </c>
      <c r="F58" s="170">
        <f t="shared" si="116"/>
        <v>534004</v>
      </c>
      <c r="G58" s="170">
        <f t="shared" si="116"/>
        <v>533267</v>
      </c>
      <c r="I58" s="130" t="s">
        <v>124</v>
      </c>
      <c r="J58" s="490">
        <f t="shared" si="115"/>
        <v>40626</v>
      </c>
      <c r="K58" s="490">
        <f t="shared" si="115"/>
        <v>45161</v>
      </c>
      <c r="L58" s="490">
        <f t="shared" si="115"/>
        <v>37666</v>
      </c>
      <c r="M58" s="490">
        <f t="shared" si="115"/>
        <v>145122</v>
      </c>
      <c r="N58" s="129">
        <f t="shared" si="115"/>
        <v>92316</v>
      </c>
      <c r="P58" s="565" t="s">
        <v>48</v>
      </c>
      <c r="Q58" s="168">
        <f>Q51+Q54+Q55+Q56+Q57</f>
        <v>68072</v>
      </c>
      <c r="R58" s="168">
        <f>R51+R54+R55+R56+R57</f>
        <v>130775</v>
      </c>
      <c r="S58" s="168">
        <f>S51+S54+S55+S56+S57</f>
        <v>65526</v>
      </c>
      <c r="T58" s="168">
        <f>T51+T54+T55+T56+T57</f>
        <v>168021</v>
      </c>
      <c r="U58" s="170">
        <f>U51+U54+U55+U56+U57</f>
        <v>79971</v>
      </c>
      <c r="W58" s="126"/>
      <c r="X58" s="127"/>
      <c r="Y58" s="127"/>
      <c r="Z58" s="127"/>
      <c r="AA58" s="127"/>
      <c r="AB58" s="522"/>
    </row>
    <row r="59" spans="1:41" ht="15.45">
      <c r="B59" s="525"/>
      <c r="C59" s="560"/>
      <c r="D59" s="560"/>
      <c r="E59" s="560"/>
      <c r="F59" s="560"/>
      <c r="G59" s="561"/>
      <c r="I59" s="130" t="s">
        <v>126</v>
      </c>
      <c r="J59" s="490">
        <f>J26</f>
        <v>0</v>
      </c>
      <c r="K59" s="490">
        <f>K26</f>
        <v>0</v>
      </c>
      <c r="L59" s="490">
        <f>L26</f>
        <v>0</v>
      </c>
      <c r="M59" s="490">
        <f>M26</f>
        <v>11787</v>
      </c>
      <c r="N59" s="129">
        <f>N26</f>
        <v>78364</v>
      </c>
      <c r="P59" s="126"/>
      <c r="Q59" s="127"/>
      <c r="R59" s="127"/>
      <c r="S59" s="127"/>
      <c r="T59" s="127"/>
      <c r="U59" s="522"/>
      <c r="W59" s="126"/>
      <c r="X59" s="127"/>
      <c r="Y59" s="127"/>
      <c r="Z59" s="127"/>
      <c r="AA59" s="127"/>
      <c r="AB59" s="522"/>
      <c r="AD59" s="686" t="s">
        <v>146</v>
      </c>
      <c r="AE59" s="679"/>
      <c r="AF59" s="679"/>
      <c r="AG59" s="679"/>
      <c r="AH59" s="679"/>
      <c r="AI59" s="679"/>
      <c r="AJ59" s="679"/>
      <c r="AK59" s="679"/>
      <c r="AL59" s="679"/>
      <c r="AM59" s="679"/>
      <c r="AN59" s="680"/>
    </row>
    <row r="60" spans="1:41" ht="15.9">
      <c r="B60" s="126"/>
      <c r="C60" s="127"/>
      <c r="D60" s="127"/>
      <c r="E60" s="127"/>
      <c r="F60" s="127"/>
      <c r="G60" s="522"/>
      <c r="I60" s="531" t="s">
        <v>61</v>
      </c>
      <c r="J60" s="168">
        <f>SUM(J54:J59)</f>
        <v>1358142.4113982348</v>
      </c>
      <c r="K60" s="168">
        <f t="shared" ref="K60:N60" si="117">SUM(K54:K59)</f>
        <v>1265204.7215661369</v>
      </c>
      <c r="L60" s="168">
        <f t="shared" si="117"/>
        <v>1256438.9653033153</v>
      </c>
      <c r="M60" s="168">
        <f t="shared" si="117"/>
        <v>1633682</v>
      </c>
      <c r="N60" s="170">
        <f t="shared" si="117"/>
        <v>1511701</v>
      </c>
      <c r="P60" s="565" t="s">
        <v>100</v>
      </c>
      <c r="Q60" s="168">
        <f>Q49+Q58</f>
        <v>2060210.4113982348</v>
      </c>
      <c r="R60" s="168">
        <f>R49+R58</f>
        <v>2149473.7215661369</v>
      </c>
      <c r="S60" s="168">
        <f>S49+S58</f>
        <v>2096024.9653033153</v>
      </c>
      <c r="T60" s="168">
        <f>T49+T58</f>
        <v>2442297</v>
      </c>
      <c r="U60" s="170">
        <f>U49+U58</f>
        <v>2395028</v>
      </c>
      <c r="W60" s="531" t="s">
        <v>132</v>
      </c>
      <c r="X60" s="168">
        <f>X46+X56</f>
        <v>2060210.411398235</v>
      </c>
      <c r="Y60" s="168">
        <f>Y46+Y56+3</f>
        <v>2149473.7215661369</v>
      </c>
      <c r="Z60" s="168">
        <f>Z46+Z56</f>
        <v>2096024.9653033153</v>
      </c>
      <c r="AA60" s="168">
        <f>AA46+AA56</f>
        <v>2442297</v>
      </c>
      <c r="AB60" s="170">
        <f>AB46+AB56+2</f>
        <v>2395028</v>
      </c>
      <c r="AD60" s="596"/>
      <c r="AE60" s="592">
        <v>2016</v>
      </c>
      <c r="AF60" s="592">
        <v>2017</v>
      </c>
      <c r="AG60" s="592">
        <v>2018</v>
      </c>
      <c r="AH60" s="592">
        <v>2019</v>
      </c>
      <c r="AI60" s="593">
        <v>2020</v>
      </c>
      <c r="AJ60" s="594">
        <v>2021</v>
      </c>
      <c r="AK60" s="594">
        <v>2022</v>
      </c>
      <c r="AL60" s="594">
        <v>2023</v>
      </c>
      <c r="AM60" s="594">
        <v>2024</v>
      </c>
      <c r="AN60" s="595">
        <v>2025</v>
      </c>
    </row>
    <row r="61" spans="1:41">
      <c r="B61" s="126"/>
      <c r="C61" s="127"/>
      <c r="D61" s="127"/>
      <c r="E61" s="127"/>
      <c r="F61" s="127"/>
      <c r="G61" s="522"/>
      <c r="I61" s="126"/>
      <c r="J61" s="490"/>
      <c r="K61" s="490"/>
      <c r="L61" s="490"/>
      <c r="M61" s="490"/>
      <c r="N61" s="227"/>
      <c r="AD61" s="525" t="s">
        <v>202</v>
      </c>
      <c r="AE61" s="587">
        <f>' Adj. income statement'!K4/'Adj. balance sheet'!AE16</f>
        <v>512.67748318163831</v>
      </c>
      <c r="AF61" s="587">
        <f>' Adj. income statement'!L4/'Adj. balance sheet'!AF16</f>
        <v>394.95485714285712</v>
      </c>
      <c r="AG61" s="587">
        <f>' Adj. income statement'!M4/'Adj. balance sheet'!AG16</f>
        <v>495.29507089804184</v>
      </c>
      <c r="AH61" s="587">
        <f>' Adj. income statement'!N4/'Adj. balance sheet'!AH16</f>
        <v>101.04146373001164</v>
      </c>
      <c r="AI61" s="587">
        <f>' Adj. income statement'!O4/'Adj. balance sheet'!AI16</f>
        <v>163.0134921930254</v>
      </c>
      <c r="AJ61" s="587">
        <f>(AG61+AH61+AI61)/3</f>
        <v>253.11667560702631</v>
      </c>
      <c r="AK61" s="587">
        <f t="shared" ref="AK61:AN61" si="118">(AH61+AI61+AJ61)/3</f>
        <v>172.39054384335444</v>
      </c>
      <c r="AL61" s="587">
        <f t="shared" si="118"/>
        <v>196.17357054780203</v>
      </c>
      <c r="AM61" s="587">
        <f t="shared" si="118"/>
        <v>207.22692999939423</v>
      </c>
      <c r="AN61" s="597">
        <f t="shared" si="118"/>
        <v>191.93034813018357</v>
      </c>
    </row>
    <row r="62" spans="1:41" ht="15.9">
      <c r="B62" s="531" t="s">
        <v>98</v>
      </c>
      <c r="C62" s="168">
        <f>C48+C52+C58</f>
        <v>2855947.582002433</v>
      </c>
      <c r="D62" s="168">
        <f>D48+D52+D58-1</f>
        <v>2784752.007395491</v>
      </c>
      <c r="E62" s="168">
        <f>E48+E52+E58-1</f>
        <v>2846432.3151682676</v>
      </c>
      <c r="F62" s="168">
        <f>F48+F52+F58</f>
        <v>3465223</v>
      </c>
      <c r="G62" s="170">
        <f>G48+G52+G58</f>
        <v>3464935</v>
      </c>
      <c r="I62" s="535" t="s">
        <v>99</v>
      </c>
      <c r="J62" s="168">
        <f>J47+J49+J53+J60</f>
        <v>2855947.582002433</v>
      </c>
      <c r="K62" s="168">
        <f>K47+K49+K53+K60+2</f>
        <v>2784751.007395491</v>
      </c>
      <c r="L62" s="168">
        <f>L47+L49+L53+L60-1</f>
        <v>2846432.3151682676</v>
      </c>
      <c r="M62" s="168">
        <f>M47+M49+M53+M60-1</f>
        <v>3465223</v>
      </c>
      <c r="N62" s="170">
        <f>N47+N49+N53+N60+1</f>
        <v>3464935</v>
      </c>
      <c r="W62" s="57"/>
      <c r="X62" s="55"/>
      <c r="AD62" s="126" t="s">
        <v>86</v>
      </c>
      <c r="AE62" s="589">
        <f>-' Adj. income statement'!K5/'Adj. balance sheet'!AE14</f>
        <v>2.3191817813582971</v>
      </c>
      <c r="AF62" s="589">
        <f>-' Adj. income statement'!L5/'Adj. balance sheet'!AF14</f>
        <v>1.8133524505210317</v>
      </c>
      <c r="AG62" s="589">
        <f>-' Adj. income statement'!M5/'Adj. balance sheet'!AG14</f>
        <v>2.2643260901337907</v>
      </c>
      <c r="AH62" s="589">
        <f>-' Adj. income statement'!N5/'Adj. balance sheet'!AH14</f>
        <v>1.9086369147277871</v>
      </c>
      <c r="AI62" s="589">
        <f>-' Adj. income statement'!O5/'Adj. balance sheet'!AI14</f>
        <v>2.3408985795201187</v>
      </c>
      <c r="AJ62" s="589">
        <f>(AG62+AH62+AI62)/3</f>
        <v>2.1712871947938992</v>
      </c>
      <c r="AK62" s="589">
        <f t="shared" ref="AK62:AN62" si="119">(AH62+AI62+AJ62)/3</f>
        <v>2.1402742296806014</v>
      </c>
      <c r="AL62" s="589">
        <f t="shared" si="119"/>
        <v>2.2174866679982066</v>
      </c>
      <c r="AM62" s="589">
        <f t="shared" si="119"/>
        <v>2.1763493641575695</v>
      </c>
      <c r="AN62" s="590">
        <f t="shared" si="119"/>
        <v>2.1780367539454595</v>
      </c>
    </row>
    <row r="63" spans="1:41" ht="15.9">
      <c r="B63" s="33"/>
      <c r="W63" s="57"/>
      <c r="X63" s="71"/>
      <c r="Y63" s="2"/>
      <c r="Z63" s="2"/>
      <c r="AA63" s="2"/>
      <c r="AB63" s="2"/>
      <c r="AD63" s="126" t="s">
        <v>88</v>
      </c>
      <c r="AE63" s="589">
        <f>AE11/' Adj. income statement'!K20</f>
        <v>9.1504911018097292</v>
      </c>
      <c r="AF63" s="589">
        <f>AF11/' Adj. income statement'!L20</f>
        <v>8.4417860020652267</v>
      </c>
      <c r="AG63" s="589">
        <f>AG11/' Adj. income statement'!M20</f>
        <v>6.7226433643096657</v>
      </c>
      <c r="AH63" s="589">
        <f>AH11/' Adj. income statement'!N20</f>
        <v>4.8176589677375921</v>
      </c>
      <c r="AI63" s="589">
        <f>AI11/' Adj. income statement'!O20</f>
        <v>2.8677439012403925</v>
      </c>
      <c r="AJ63" s="589">
        <f>AJ11/' Adj. income statement'!P20</f>
        <v>3.8333529712658452</v>
      </c>
      <c r="AK63" s="589">
        <f>AK11/' Adj. income statement'!Q20</f>
        <v>3.8698801099187814</v>
      </c>
      <c r="AL63" s="589">
        <f>AL11/' Adj. income statement'!R20</f>
        <v>4.0542854909410764</v>
      </c>
      <c r="AM63" s="589">
        <f>AM11/' Adj. income statement'!S20</f>
        <v>4.175436964260971</v>
      </c>
      <c r="AN63" s="590">
        <f>AN11/' Adj. income statement'!T20</f>
        <v>4.4408930258122918</v>
      </c>
    </row>
    <row r="64" spans="1:41">
      <c r="B64" s="32"/>
      <c r="W64" s="72"/>
      <c r="X64" s="71"/>
      <c r="Y64" s="71"/>
      <c r="Z64" s="71"/>
      <c r="AA64" s="71"/>
      <c r="AB64" s="71"/>
      <c r="AD64" s="126" t="s">
        <v>89</v>
      </c>
      <c r="AE64" s="94">
        <f>AE12/AE11</f>
        <v>-0.39836631870411937</v>
      </c>
      <c r="AF64" s="94">
        <f t="shared" ref="AF64:AH64" si="120">AF12/AF11</f>
        <v>-0.3791302568282201</v>
      </c>
      <c r="AG64" s="94">
        <f t="shared" si="120"/>
        <v>-0.36416714372289305</v>
      </c>
      <c r="AH64" s="94">
        <f t="shared" si="120"/>
        <v>-0.31481967625472007</v>
      </c>
      <c r="AI64" s="94">
        <f>AI12/AI11</f>
        <v>-0.30879117112794324</v>
      </c>
      <c r="AJ64" s="94">
        <f>(AG64+AH64+AI64)/3</f>
        <v>-0.32925933036851879</v>
      </c>
      <c r="AK64" s="94">
        <f t="shared" ref="AK64:AN64" si="121">(AH64+AI64+AJ64)/3</f>
        <v>-0.31762339258372735</v>
      </c>
      <c r="AL64" s="94">
        <f t="shared" si="121"/>
        <v>-0.31855796469339648</v>
      </c>
      <c r="AM64" s="94">
        <f t="shared" si="121"/>
        <v>-0.32181356254854754</v>
      </c>
      <c r="AN64" s="95">
        <f t="shared" si="121"/>
        <v>-0.31933163994189045</v>
      </c>
      <c r="AO64" s="55"/>
    </row>
    <row r="65" spans="1:45">
      <c r="B65" s="32"/>
      <c r="AD65" s="126" t="s">
        <v>91</v>
      </c>
      <c r="AE65" s="94">
        <f>AE19/-' Adj. income statement'!K13</f>
        <v>-1.5068828297149688</v>
      </c>
      <c r="AF65" s="94">
        <f>AF19/-' Adj. income statement'!L13</f>
        <v>-1.3706634176268073</v>
      </c>
      <c r="AG65" s="94">
        <f>AG19/-' Adj. income statement'!M13</f>
        <v>-1.2483147486031543</v>
      </c>
      <c r="AH65" s="94">
        <f>AH19/-' Adj. income statement'!N13</f>
        <v>-0.96528013262499524</v>
      </c>
      <c r="AI65" s="94">
        <f>AI19/-' Adj. income statement'!O13</f>
        <v>-0.88609515662552452</v>
      </c>
      <c r="AJ65" s="94">
        <f>(AG65+AH65+AI65)/3</f>
        <v>-1.0332300126178915</v>
      </c>
      <c r="AK65" s="94">
        <f t="shared" ref="AK65:AN65" si="122">(AH65+AI65+AJ65)/3</f>
        <v>-0.96153510062280378</v>
      </c>
      <c r="AL65" s="94">
        <f t="shared" si="122"/>
        <v>-0.9602867566220733</v>
      </c>
      <c r="AM65" s="94">
        <f t="shared" si="122"/>
        <v>-0.98501728995425619</v>
      </c>
      <c r="AN65" s="95">
        <f t="shared" si="122"/>
        <v>-0.9689463823997112</v>
      </c>
      <c r="AO65" s="55"/>
    </row>
    <row r="66" spans="1:45">
      <c r="B66" s="32"/>
      <c r="Q66" s="46"/>
      <c r="AD66" s="126" t="s">
        <v>92</v>
      </c>
      <c r="AE66" s="128"/>
      <c r="AF66" s="128">
        <f>-'Cash flow'!D13</f>
        <v>87184.170604198458</v>
      </c>
      <c r="AG66" s="128">
        <f>-'Cash flow'!E13</f>
        <v>59768.285829353903</v>
      </c>
      <c r="AH66" s="128">
        <f>-'Cash flow'!F13</f>
        <v>111016.34986495227</v>
      </c>
      <c r="AI66" s="128">
        <f>-'Cash flow'!G13</f>
        <v>321657</v>
      </c>
      <c r="AJ66" s="128">
        <f>AJ67*' Adj. income statement'!P20</f>
        <v>223874.66701679953</v>
      </c>
      <c r="AK66" s="128">
        <f>AK67*' Adj. income statement'!Q20</f>
        <v>228792.98536165306</v>
      </c>
      <c r="AL66" s="128">
        <f>AL67*' Adj. income statement'!R20</f>
        <v>227555.52419020026</v>
      </c>
      <c r="AM66" s="128">
        <f>AM67*' Adj. income statement'!S20</f>
        <v>229152.50504654963</v>
      </c>
      <c r="AN66" s="129">
        <f>AN67*' Adj. income statement'!T20</f>
        <v>224000.79584615992</v>
      </c>
      <c r="AP66" s="55"/>
      <c r="AQ66" s="55"/>
      <c r="AR66" s="55"/>
      <c r="AS66" s="55"/>
    </row>
    <row r="67" spans="1:45">
      <c r="B67" s="32"/>
      <c r="AD67" s="126" t="s">
        <v>93</v>
      </c>
      <c r="AE67" s="94"/>
      <c r="AF67" s="94">
        <f>AF66/' Adj. income statement'!L20</f>
        <v>0.83397677663244008</v>
      </c>
      <c r="AG67" s="94">
        <f>AG66/' Adj. income statement'!M20</f>
        <v>0.45533457149628798</v>
      </c>
      <c r="AH67" s="94">
        <f>AH66/' Adj. income statement'!N20</f>
        <v>0.53385821594968175</v>
      </c>
      <c r="AI67" s="94">
        <f>AI66/' Adj. income statement'!O20</f>
        <v>0.9032847791472548</v>
      </c>
      <c r="AJ67" s="94">
        <v>0.8</v>
      </c>
      <c r="AK67" s="94">
        <v>0.8</v>
      </c>
      <c r="AL67" s="94">
        <v>0.8</v>
      </c>
      <c r="AM67" s="94">
        <v>0.8</v>
      </c>
      <c r="AN67" s="95">
        <v>0.8</v>
      </c>
      <c r="AO67" s="32"/>
      <c r="AP67" s="55"/>
      <c r="AQ67" s="55"/>
      <c r="AR67" s="55"/>
      <c r="AS67" s="55"/>
    </row>
    <row r="68" spans="1:45">
      <c r="B68" s="32"/>
      <c r="AD68" s="479" t="s">
        <v>94</v>
      </c>
      <c r="AE68" s="94"/>
      <c r="AF68" s="128">
        <f>(D12-C12)+(-' Adj. income statement'!K11)</f>
        <v>31995.310167902033</v>
      </c>
      <c r="AG68" s="128">
        <f>(E12-D12)+(-' Adj. income statement'!L11)</f>
        <v>34762.243737178505</v>
      </c>
      <c r="AH68" s="128">
        <f>(F12-E12)+(-' Adj. income statement'!M11)</f>
        <v>156504.03469668457</v>
      </c>
      <c r="AI68" s="128">
        <f>(G12-F12)+(-' Adj. income statement'!N11)</f>
        <v>284331</v>
      </c>
      <c r="AJ68" s="128">
        <f>(H12-G12)+(-' Adj. income statement'!O11)</f>
        <v>-680355</v>
      </c>
      <c r="AK68" s="128">
        <f>(I12-H12)+(-' Adj. income statement'!P11)</f>
        <v>358043.3841244817</v>
      </c>
      <c r="AL68" s="128">
        <f>(J12-I12)+(-' Adj. income statement'!Q11)</f>
        <v>369395.9296843473</v>
      </c>
      <c r="AM68" s="128">
        <f>(K12-J12)+(-' Adj. income statement'!R11)</f>
        <v>384905.04199387657</v>
      </c>
      <c r="AN68" s="129">
        <f>(L12-K12)+(-' Adj. income statement'!S11)</f>
        <v>399188.87621108547</v>
      </c>
      <c r="AO68" s="32"/>
    </row>
    <row r="69" spans="1:45">
      <c r="A69" s="32"/>
      <c r="AD69" s="598" t="s">
        <v>343</v>
      </c>
      <c r="AE69" s="94"/>
      <c r="AF69" s="94"/>
      <c r="AG69" s="94"/>
      <c r="AH69" s="94"/>
      <c r="AI69" s="94"/>
      <c r="AJ69" s="94"/>
      <c r="AK69" s="94"/>
      <c r="AL69" s="94"/>
      <c r="AM69" s="94"/>
      <c r="AN69" s="95"/>
      <c r="AO69" s="23"/>
    </row>
    <row r="70" spans="1:45">
      <c r="A70" s="32"/>
      <c r="AD70" s="599" t="s">
        <v>343</v>
      </c>
      <c r="AE70" s="128"/>
      <c r="AF70" s="128"/>
      <c r="AG70" s="128"/>
      <c r="AH70" s="128"/>
      <c r="AI70" s="128"/>
      <c r="AJ70" s="128"/>
      <c r="AK70" s="128"/>
      <c r="AL70" s="128"/>
      <c r="AM70" s="128"/>
      <c r="AN70" s="129"/>
    </row>
    <row r="71" spans="1:45">
      <c r="A71" s="32"/>
      <c r="AC71" s="16"/>
      <c r="AD71" s="126" t="s">
        <v>48</v>
      </c>
      <c r="AE71" s="128">
        <f>AE22</f>
        <v>68072</v>
      </c>
      <c r="AF71" s="128">
        <f t="shared" ref="AF71:AN71" si="123">AF22</f>
        <v>130775</v>
      </c>
      <c r="AG71" s="128">
        <f t="shared" si="123"/>
        <v>65526</v>
      </c>
      <c r="AH71" s="128">
        <f t="shared" si="123"/>
        <v>168021</v>
      </c>
      <c r="AI71" s="128">
        <f t="shared" si="123"/>
        <v>79971</v>
      </c>
      <c r="AJ71" s="128">
        <f>AJ22</f>
        <v>146675.713692391</v>
      </c>
      <c r="AK71" s="128">
        <f t="shared" si="123"/>
        <v>176081.3586451399</v>
      </c>
      <c r="AL71" s="128">
        <f t="shared" si="123"/>
        <v>160578.27500344743</v>
      </c>
      <c r="AM71" s="128">
        <f t="shared" si="123"/>
        <v>176792.08687653235</v>
      </c>
      <c r="AN71" s="129">
        <f t="shared" si="123"/>
        <v>182837.23919440678</v>
      </c>
    </row>
    <row r="72" spans="1:45">
      <c r="A72" s="32"/>
      <c r="AD72" s="126" t="s">
        <v>101</v>
      </c>
      <c r="AE72" s="128"/>
      <c r="AF72" s="500">
        <f>(AF71-AE71)/AE71</f>
        <v>0.92112762956869199</v>
      </c>
      <c r="AG72" s="500">
        <f t="shared" ref="AG72:AI72" si="124">(AG71-AF71)/AF71</f>
        <v>-0.49894092907665838</v>
      </c>
      <c r="AH72" s="500">
        <f t="shared" si="124"/>
        <v>1.5641882611482465</v>
      </c>
      <c r="AI72" s="500">
        <f t="shared" si="124"/>
        <v>-0.52404163765243628</v>
      </c>
      <c r="AJ72" s="500">
        <f t="shared" ref="AJ72" si="125">(AJ71-AI71)/AI71</f>
        <v>0.83411128649624244</v>
      </c>
      <c r="AK72" s="500">
        <f t="shared" ref="AK72" si="126">(AK71-AJ71)/AJ71</f>
        <v>0.20048066726587443</v>
      </c>
      <c r="AL72" s="500">
        <f t="shared" ref="AL72" si="127">(AL71-AK71)/AK71</f>
        <v>-8.8045002384018009E-2</v>
      </c>
      <c r="AM72" s="500">
        <f t="shared" ref="AM72" si="128">(AM71-AL71)/AL71</f>
        <v>0.10097139150820267</v>
      </c>
      <c r="AN72" s="501">
        <f t="shared" ref="AN72" si="129">(AN71-AM71)/AM71</f>
        <v>3.4193568415175866E-2</v>
      </c>
    </row>
    <row r="73" spans="1:45">
      <c r="A73" s="32"/>
      <c r="AD73" s="126" t="s">
        <v>203</v>
      </c>
      <c r="AE73" s="94">
        <f>AE34/AE9</f>
        <v>0.71154216117910474</v>
      </c>
      <c r="AF73" s="94">
        <f t="shared" ref="AF73:AI73" si="130">AF34/AF9</f>
        <v>0.71097150026014944</v>
      </c>
      <c r="AG73" s="94">
        <f t="shared" si="130"/>
        <v>0.71211282209805971</v>
      </c>
      <c r="AH73" s="94">
        <f t="shared" si="130"/>
        <v>0.71097150026014944</v>
      </c>
      <c r="AI73" s="94">
        <f t="shared" si="130"/>
        <v>0.71211282209805971</v>
      </c>
      <c r="AJ73" s="94">
        <f>(AG73+AH73+AI73)/3</f>
        <v>0.71173238148542295</v>
      </c>
      <c r="AK73" s="94">
        <f t="shared" ref="AK73:AN73" si="131">(AH73+AI73+AJ73)/3</f>
        <v>0.71160556794787733</v>
      </c>
      <c r="AL73" s="94">
        <f t="shared" si="131"/>
        <v>0.71181692384378659</v>
      </c>
      <c r="AM73" s="94">
        <f t="shared" si="131"/>
        <v>0.7117182910923624</v>
      </c>
      <c r="AN73" s="95">
        <f t="shared" si="131"/>
        <v>0.7117135942946754</v>
      </c>
    </row>
    <row r="74" spans="1:45">
      <c r="A74" s="32"/>
      <c r="AD74" s="502" t="s">
        <v>204</v>
      </c>
      <c r="AE74" s="247">
        <f>AE35/AE9</f>
        <v>0.28845783882089532</v>
      </c>
      <c r="AF74" s="247">
        <f t="shared" ref="AF74:AI74" si="132">AF35/AF9</f>
        <v>0.28902849973985062</v>
      </c>
      <c r="AG74" s="247">
        <f t="shared" si="132"/>
        <v>0.28788717790194029</v>
      </c>
      <c r="AH74" s="247">
        <f t="shared" si="132"/>
        <v>0.26431551512027657</v>
      </c>
      <c r="AI74" s="247">
        <f t="shared" si="132"/>
        <v>0.28491887990867526</v>
      </c>
      <c r="AJ74" s="247">
        <f>(AG74+AH74+AI74)/3</f>
        <v>0.27904052431029736</v>
      </c>
      <c r="AK74" s="247">
        <f t="shared" ref="AK74:AN74" si="133">(AH74+AI74+AJ74)/3</f>
        <v>0.27609163977974971</v>
      </c>
      <c r="AL74" s="247">
        <f t="shared" si="133"/>
        <v>0.28001701466624079</v>
      </c>
      <c r="AM74" s="247">
        <f t="shared" si="133"/>
        <v>0.2783830595854293</v>
      </c>
      <c r="AN74" s="253">
        <f t="shared" si="133"/>
        <v>0.27816390467713997</v>
      </c>
    </row>
    <row r="75" spans="1:45">
      <c r="A75" s="32"/>
    </row>
    <row r="76" spans="1:45">
      <c r="A76" s="32"/>
    </row>
  </sheetData>
  <mergeCells count="12">
    <mergeCell ref="F28:G28"/>
    <mergeCell ref="AS17:AW17"/>
    <mergeCell ref="P38:AB38"/>
    <mergeCell ref="B38:N38"/>
    <mergeCell ref="C2:J2"/>
    <mergeCell ref="Q2:X2"/>
    <mergeCell ref="AE2:AL2"/>
    <mergeCell ref="AD59:AN59"/>
    <mergeCell ref="AX17:BB17"/>
    <mergeCell ref="AE49:AN49"/>
    <mergeCell ref="M1:N1"/>
    <mergeCell ref="T1:U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C29" sqref="C29"/>
    </sheetView>
  </sheetViews>
  <sheetFormatPr defaultColWidth="10.84375" defaultRowHeight="14.6"/>
  <cols>
    <col min="2" max="2" width="33.84375" customWidth="1"/>
    <col min="3" max="3" width="18" customWidth="1"/>
    <col min="4" max="5" width="18.84375" customWidth="1"/>
    <col min="6" max="6" width="16.84375" customWidth="1"/>
    <col min="7" max="7" width="17" customWidth="1"/>
    <col min="8" max="9" width="18.69140625" customWidth="1"/>
    <col min="10" max="10" width="17.3046875" customWidth="1"/>
    <col min="11" max="11" width="16" customWidth="1"/>
    <col min="12" max="12" width="17" customWidth="1"/>
  </cols>
  <sheetData>
    <row r="2" spans="2:12" ht="15.9">
      <c r="B2" s="291" t="s">
        <v>200</v>
      </c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2:12" ht="15.9">
      <c r="B3" s="171" t="s">
        <v>231</v>
      </c>
      <c r="C3" s="142">
        <v>2016</v>
      </c>
      <c r="D3" s="142">
        <v>2017</v>
      </c>
      <c r="E3" s="142">
        <v>2018</v>
      </c>
      <c r="F3" s="142">
        <v>2019</v>
      </c>
      <c r="G3" s="142">
        <v>2020</v>
      </c>
      <c r="H3" s="142">
        <v>2021</v>
      </c>
      <c r="I3" s="142">
        <v>2022</v>
      </c>
      <c r="J3" s="142">
        <v>2023</v>
      </c>
      <c r="K3" s="142">
        <v>2024</v>
      </c>
      <c r="L3" s="143">
        <v>2025</v>
      </c>
    </row>
    <row r="4" spans="2:12">
      <c r="B4" s="164" t="s">
        <v>12</v>
      </c>
      <c r="C4" s="128">
        <f>' Adj. income statement'!K16</f>
        <v>134245.79999999999</v>
      </c>
      <c r="D4" s="128">
        <f>' Adj. income statement'!L16</f>
        <v>140157.41999999998</v>
      </c>
      <c r="E4" s="128">
        <f>' Adj. income statement'!M16</f>
        <v>166225.79999999999</v>
      </c>
      <c r="F4" s="128">
        <f>' Adj. income statement'!N16</f>
        <v>239886.54</v>
      </c>
      <c r="G4" s="128">
        <f>' Adj. income statement'!O16</f>
        <v>378277.08</v>
      </c>
      <c r="H4" s="128">
        <f>' Adj. income statement'!P16</f>
        <v>306901.14377099939</v>
      </c>
      <c r="I4" s="128">
        <f>' Adj. income statement'!Q16</f>
        <v>310610.17670206632</v>
      </c>
      <c r="J4" s="128">
        <f>' Adj. income statement'!R16</f>
        <v>310282.78273775033</v>
      </c>
      <c r="K4" s="128">
        <f>' Adj. income statement'!S16</f>
        <v>311669.29255818704</v>
      </c>
      <c r="L4" s="129">
        <f>' Adj. income statement'!T16</f>
        <v>305534.51418269984</v>
      </c>
    </row>
    <row r="5" spans="2:12">
      <c r="B5" s="165" t="s">
        <v>133</v>
      </c>
      <c r="C5" s="128">
        <f>-' Adj. income statement'!K11</f>
        <v>28953</v>
      </c>
      <c r="D5" s="128">
        <f>-' Adj. income statement'!L11</f>
        <v>34839</v>
      </c>
      <c r="E5" s="128">
        <f>-' Adj. income statement'!M11</f>
        <v>37096</v>
      </c>
      <c r="F5" s="128">
        <f>-' Adj. income statement'!N11</f>
        <v>264974</v>
      </c>
      <c r="G5" s="128">
        <f>-' Adj. income statement'!O11</f>
        <v>340840</v>
      </c>
      <c r="H5" s="128">
        <f>-' Adj. income statement'!P11</f>
        <v>358043.3841244817</v>
      </c>
      <c r="I5" s="128">
        <f>-' Adj. income statement'!Q11</f>
        <v>369395.9296843473</v>
      </c>
      <c r="J5" s="128">
        <f>-' Adj. income statement'!R11</f>
        <v>384905.04199387657</v>
      </c>
      <c r="K5" s="128">
        <f>-' Adj. income statement'!S11</f>
        <v>399188.87621108547</v>
      </c>
      <c r="L5" s="129">
        <f>-' Adj. income statement'!T11</f>
        <v>415022.61553546408</v>
      </c>
    </row>
    <row r="6" spans="2:12">
      <c r="B6" s="165" t="s">
        <v>134</v>
      </c>
      <c r="C6" s="128"/>
      <c r="D6" s="128">
        <f>-('Adj. balance sheet'!AF22-'Adj. balance sheet'!AE22)</f>
        <v>-62703</v>
      </c>
      <c r="E6" s="128">
        <f>-('Adj. balance sheet'!AG22-'Adj. balance sheet'!AF22)</f>
        <v>65249</v>
      </c>
      <c r="F6" s="128">
        <f>-('Adj. balance sheet'!AH22-'Adj. balance sheet'!AG22)</f>
        <v>-102495</v>
      </c>
      <c r="G6" s="128">
        <f>-('Adj. balance sheet'!AI22-'Adj. balance sheet'!AH22)</f>
        <v>88050</v>
      </c>
      <c r="H6" s="128">
        <f>-('Adj. balance sheet'!AJ22-'Adj. balance sheet'!AI22)</f>
        <v>-66704.713692391</v>
      </c>
      <c r="I6" s="128">
        <f>-('Adj. balance sheet'!AK22-'Adj. balance sheet'!AJ22)</f>
        <v>-29405.644952748902</v>
      </c>
      <c r="J6" s="128">
        <f>-('Adj. balance sheet'!AL22-'Adj. balance sheet'!AK22)</f>
        <v>15503.083641692472</v>
      </c>
      <c r="K6" s="128">
        <f>-('Adj. balance sheet'!AM22-'Adj. balance sheet'!AL22)</f>
        <v>-16213.811873084924</v>
      </c>
      <c r="L6" s="129">
        <f>-('Adj. balance sheet'!AN22-'Adj. balance sheet'!AM22)</f>
        <v>-6045.1523178744246</v>
      </c>
    </row>
    <row r="7" spans="2:12">
      <c r="B7" s="165" t="s">
        <v>135</v>
      </c>
      <c r="C7" s="128"/>
      <c r="D7" s="128">
        <f>-('Adj. balance sheet'!AF13-'Adj. balance sheet'!AE13+'Cash flow'!D5)</f>
        <v>-61399.310167902149</v>
      </c>
      <c r="E7" s="128">
        <f>-('Adj. balance sheet'!AG13-'Adj. balance sheet'!AF13+'Cash flow'!E5)</f>
        <v>-48896.243737178389</v>
      </c>
      <c r="F7" s="128">
        <f>-('Adj. balance sheet'!AH13-'Adj. balance sheet'!AG13+'Cash flow'!F5)</f>
        <v>-508751.03469668468</v>
      </c>
      <c r="G7" s="128">
        <f>-('Adj. balance sheet'!AI13-'Adj. balance sheet'!AH13+'Cash flow'!G5)</f>
        <v>-381621</v>
      </c>
      <c r="H7" s="128">
        <f>-('Adj. balance sheet'!AJ13-'Adj. balance sheet'!AI13+'Cash flow'!H5)</f>
        <v>-372007.37303730205</v>
      </c>
      <c r="I7" s="128">
        <f>-('Adj. balance sheet'!AK13-'Adj. balance sheet'!AJ13+'Cash flow'!I5)</f>
        <v>-406032.79309688724</v>
      </c>
      <c r="J7" s="128">
        <f>-('Adj. balance sheet'!AL13-'Adj. balance sheet'!AK13+'Cash flow'!J5)</f>
        <v>-416165.37930224801</v>
      </c>
      <c r="K7" s="128">
        <f>-('Adj. balance sheet'!AM13-'Adj. balance sheet'!AL13+'Cash flow'!K5)</f>
        <v>-425256.43579201738</v>
      </c>
      <c r="L7" s="129">
        <f>-('Adj. balance sheet'!AN13-'Adj. balance sheet'!AM13+'Cash flow'!L5)</f>
        <v>-451007.0467827259</v>
      </c>
    </row>
    <row r="8" spans="2:12" ht="15.9">
      <c r="B8" s="167" t="s">
        <v>136</v>
      </c>
      <c r="C8" s="168"/>
      <c r="D8" s="168">
        <f>D4+D5+D6+D7</f>
        <v>50894.109832097834</v>
      </c>
      <c r="E8" s="168">
        <f t="shared" ref="E8:L8" si="0">E4+E5+E6+E7</f>
        <v>219674.5562628216</v>
      </c>
      <c r="F8" s="168">
        <f t="shared" si="0"/>
        <v>-106385.49469668465</v>
      </c>
      <c r="G8" s="168">
        <f t="shared" si="0"/>
        <v>425546.08000000007</v>
      </c>
      <c r="H8" s="168">
        <f t="shared" si="0"/>
        <v>226232.44116578798</v>
      </c>
      <c r="I8" s="168">
        <f t="shared" si="0"/>
        <v>244567.66833677742</v>
      </c>
      <c r="J8" s="168">
        <f t="shared" si="0"/>
        <v>294525.5290710713</v>
      </c>
      <c r="K8" s="168">
        <f t="shared" si="0"/>
        <v>269387.92110417027</v>
      </c>
      <c r="L8" s="170">
        <f t="shared" si="0"/>
        <v>263504.93061756372</v>
      </c>
    </row>
    <row r="9" spans="2:12">
      <c r="B9" s="165" t="s">
        <v>137</v>
      </c>
      <c r="C9" s="128"/>
      <c r="D9" s="128">
        <f>('Adj. balance sheet'!AF43-'Adj. balance sheet'!AF40)-('Adj. balance sheet'!AE43-'Adj. balance sheet'!AE40)</f>
        <v>-88745.689832098084</v>
      </c>
      <c r="E9" s="128">
        <f>('Adj. balance sheet'!AG43-'Adj. balance sheet'!AG40)-('Adj. balance sheet'!AF43-'Adj. balance sheet'!AF40)</f>
        <v>-13534.756262821611</v>
      </c>
      <c r="F9" s="128">
        <f>('Adj. balance sheet'!AH43-'Adj. balance sheet'!AH40)-('Adj. balance sheet'!AG43-'Adj. balance sheet'!AG40)</f>
        <v>383887.03469668468</v>
      </c>
      <c r="G9" s="128">
        <f>('Adj. balance sheet'!AI43-'Adj. balance sheet'!AI40)-('Adj. balance sheet'!AH43-'Adj. balance sheet'!AH40)</f>
        <v>-119676</v>
      </c>
      <c r="H9" s="128">
        <f>('Adj. balance sheet'!AJ43-'Adj. balance sheet'!AJ40)-('Adj. balance sheet'!AI43-'Adj. balance sheet'!AI40)</f>
        <v>-1809.4536334662698</v>
      </c>
      <c r="I9" s="128">
        <f>('Adj. balance sheet'!AK43-'Adj. balance sheet'!AK40)-('Adj. balance sheet'!AJ43-'Adj. balance sheet'!AJ40)</f>
        <v>65947.342674323358</v>
      </c>
      <c r="J9" s="128">
        <f>('Adj. balance sheet'!AL43-'Adj. balance sheet'!AL40)-('Adj. balance sheet'!AK43-'Adj. balance sheet'!AK40)</f>
        <v>9027.0573481591418</v>
      </c>
      <c r="K9" s="128">
        <f>('Adj. balance sheet'!AM43-'Adj. balance sheet'!AM40)-('Adj. balance sheet'!AL43-'Adj. balance sheet'!AL40)</f>
        <v>33248.110023503657</v>
      </c>
      <c r="L9" s="129">
        <f>('Adj. balance sheet'!AN43-'Adj. balance sheet'!AN40)-('Adj. balance sheet'!AM43-'Adj. balance sheet'!AM40)</f>
        <v>34447.805181674659</v>
      </c>
    </row>
    <row r="10" spans="2:12">
      <c r="B10" s="164" t="s">
        <v>145</v>
      </c>
      <c r="C10" s="128">
        <f>' Adj. income statement'!K17+' Adj. income statement'!K18</f>
        <v>-48890.550507437838</v>
      </c>
      <c r="D10" s="128">
        <f>' Adj. income statement'!L17+' Adj. income statement'!L18</f>
        <v>-45662.992526469425</v>
      </c>
      <c r="E10" s="128">
        <f>' Adj. income statement'!M17+' Adj. income statement'!M18</f>
        <v>-44824.936070573916</v>
      </c>
      <c r="F10" s="128">
        <f>' Adj. income statement'!N17+' Adj. income statement'!N18</f>
        <v>-40943</v>
      </c>
      <c r="G10" s="128">
        <f>' Adj. income statement'!O17+' Adj. income statement'!O18</f>
        <v>-28436</v>
      </c>
      <c r="H10" s="128">
        <f>' Adj. income statement'!P17+' Adj. income statement'!P18</f>
        <v>-34689.5</v>
      </c>
      <c r="I10" s="128">
        <f>' Adj. income statement'!Q17+' Adj. income statement'!Q18</f>
        <v>-31562.75</v>
      </c>
      <c r="J10" s="128">
        <f>' Adj. income statement'!R17+' Adj. income statement'!R18</f>
        <v>-33126.125</v>
      </c>
      <c r="K10" s="128">
        <f>' Adj. income statement'!S17+' Adj. income statement'!S18</f>
        <v>-32344.4375</v>
      </c>
      <c r="L10" s="129">
        <f>' Adj. income statement'!T17+' Adj. income statement'!T18</f>
        <v>-32735.28125</v>
      </c>
    </row>
    <row r="11" spans="2:12">
      <c r="B11" s="165" t="s">
        <v>138</v>
      </c>
      <c r="C11" s="128">
        <f>' Adj. income statement'!K19</f>
        <v>10755.921111636324</v>
      </c>
      <c r="D11" s="128">
        <f>' Adj. income statement'!L19</f>
        <v>10045.858355823273</v>
      </c>
      <c r="E11" s="128">
        <f>' Adj. income statement'!M19</f>
        <v>9861.4859355262615</v>
      </c>
      <c r="F11" s="128">
        <f>' Adj. income statement'!N19</f>
        <v>9007.4600000000009</v>
      </c>
      <c r="G11" s="128">
        <f>' Adj. income statement'!O19</f>
        <v>6255.92</v>
      </c>
      <c r="H11" s="128">
        <f>' Adj. income statement'!P19</f>
        <v>7631.69</v>
      </c>
      <c r="I11" s="128">
        <f>' Adj. income statement'!Q19</f>
        <v>6943.8050000000003</v>
      </c>
      <c r="J11" s="128">
        <f>' Adj. income statement'!R19</f>
        <v>7287.7475000000004</v>
      </c>
      <c r="K11" s="128">
        <f>' Adj. income statement'!S19</f>
        <v>7115.7762499999999</v>
      </c>
      <c r="L11" s="129">
        <f>' Adj. income statement'!T19</f>
        <v>7201.7618750000001</v>
      </c>
    </row>
    <row r="12" spans="2:12" ht="15.9">
      <c r="B12" s="167" t="s">
        <v>139</v>
      </c>
      <c r="C12" s="168"/>
      <c r="D12" s="168">
        <f>D8+D9+D10+D11</f>
        <v>-73468.714170646403</v>
      </c>
      <c r="E12" s="168">
        <f t="shared" ref="E12:L12" si="1">E8+E9+E10+E11</f>
        <v>171176.34986495232</v>
      </c>
      <c r="F12" s="168">
        <f t="shared" si="1"/>
        <v>245566.00000000003</v>
      </c>
      <c r="G12" s="168">
        <f t="shared" si="1"/>
        <v>283690.00000000006</v>
      </c>
      <c r="H12" s="168">
        <f t="shared" si="1"/>
        <v>197365.17753232172</v>
      </c>
      <c r="I12" s="168">
        <f t="shared" si="1"/>
        <v>285896.06601110077</v>
      </c>
      <c r="J12" s="168">
        <f t="shared" si="1"/>
        <v>277714.20891923044</v>
      </c>
      <c r="K12" s="168">
        <f t="shared" si="1"/>
        <v>277407.36987767392</v>
      </c>
      <c r="L12" s="170">
        <f t="shared" si="1"/>
        <v>272419.2164242384</v>
      </c>
    </row>
    <row r="13" spans="2:12">
      <c r="B13" s="165" t="s">
        <v>140</v>
      </c>
      <c r="C13" s="127"/>
      <c r="D13" s="128">
        <f>-('Adj. balance sheet'!AE33-'Adj. balance sheet'!AF33+' Adj. income statement'!L20)</f>
        <v>-87184.170604198458</v>
      </c>
      <c r="E13" s="128">
        <f>-('Adj. balance sheet'!AF33-'Adj. balance sheet'!AG33+' Adj. income statement'!M20)</f>
        <v>-59768.285829353903</v>
      </c>
      <c r="F13" s="128">
        <f>-('Adj. balance sheet'!AG33-'Adj. balance sheet'!AH33+' Adj. income statement'!N20)</f>
        <v>-111016.34986495227</v>
      </c>
      <c r="G13" s="128">
        <f>-('Adj. balance sheet'!AH33-'Adj. balance sheet'!AI33+' Adj. income statement'!O20)</f>
        <v>-321657</v>
      </c>
      <c r="H13" s="128">
        <f>-('Adj. balance sheet'!AI33-'Adj. balance sheet'!AJ33+' Adj. income statement'!P20)</f>
        <v>-223874.6670167995</v>
      </c>
      <c r="I13" s="128">
        <f>-('Adj. balance sheet'!AJ33-'Adj. balance sheet'!AK33+' Adj. income statement'!Q20)</f>
        <v>-228792.98536165297</v>
      </c>
      <c r="J13" s="128">
        <f>-('Adj. balance sheet'!AK33-'Adj. balance sheet'!AL33+' Adj. income statement'!R20)</f>
        <v>-227555.52419020043</v>
      </c>
      <c r="K13" s="128">
        <f>-('Adj. balance sheet'!AL33-'Adj. balance sheet'!AM33+' Adj. income statement'!S20)</f>
        <v>-229152.50504654972</v>
      </c>
      <c r="L13" s="129">
        <f>-('Adj. balance sheet'!AM33-'Adj. balance sheet'!AN33+' Adj. income statement'!T20)</f>
        <v>-224000.79584615974</v>
      </c>
    </row>
    <row r="14" spans="2:12" ht="15.9">
      <c r="B14" s="167" t="s">
        <v>141</v>
      </c>
      <c r="C14" s="168"/>
      <c r="D14" s="168">
        <f>D12+D13</f>
        <v>-160652.88477484486</v>
      </c>
      <c r="E14" s="168">
        <f t="shared" ref="E14:L14" si="2">E12+E13</f>
        <v>111408.06403559842</v>
      </c>
      <c r="F14" s="168">
        <f t="shared" si="2"/>
        <v>134549.65013504776</v>
      </c>
      <c r="G14" s="168">
        <f t="shared" si="2"/>
        <v>-37966.999999999942</v>
      </c>
      <c r="H14" s="168">
        <f t="shared" si="2"/>
        <v>-26509.489484477788</v>
      </c>
      <c r="I14" s="168">
        <f t="shared" si="2"/>
        <v>57103.080649447802</v>
      </c>
      <c r="J14" s="168">
        <f t="shared" si="2"/>
        <v>50158.684729030007</v>
      </c>
      <c r="K14" s="168">
        <f t="shared" si="2"/>
        <v>48254.8648311242</v>
      </c>
      <c r="L14" s="170">
        <f t="shared" si="2"/>
        <v>48418.420578078658</v>
      </c>
    </row>
    <row r="15" spans="2:12">
      <c r="B15" s="164" t="s">
        <v>142</v>
      </c>
      <c r="C15" s="127"/>
      <c r="D15" s="128">
        <f>-'Adj. balance sheet'!AE40</f>
        <v>253936.17060419847</v>
      </c>
      <c r="E15" s="128">
        <f>-'Adj. balance sheet'!AF40</f>
        <v>93286.285829353845</v>
      </c>
      <c r="F15" s="128">
        <f>-'Adj. balance sheet'!AG40</f>
        <v>204691.34986495232</v>
      </c>
      <c r="G15" s="128">
        <f>-'Adj. balance sheet'!AH40</f>
        <v>339241</v>
      </c>
      <c r="H15" s="128">
        <f>-'Adj. balance sheet'!AI40</f>
        <v>301276</v>
      </c>
      <c r="I15" s="128">
        <f>-'Adj. balance sheet'!AJ40</f>
        <v>274764.51051552244</v>
      </c>
      <c r="J15" s="128">
        <f>-'Adj. balance sheet'!AK40</f>
        <v>331867.59116497042</v>
      </c>
      <c r="K15" s="128">
        <f>-'Adj. balance sheet'!AL40</f>
        <v>382026.27589400049</v>
      </c>
      <c r="L15" s="129">
        <f>-'Adj. balance sheet'!AM40</f>
        <v>430281.14072512422</v>
      </c>
    </row>
    <row r="16" spans="2:12">
      <c r="B16" s="165" t="s">
        <v>143</v>
      </c>
      <c r="C16" s="128"/>
      <c r="D16" s="128">
        <f t="shared" ref="D16:L16" si="3">D14</f>
        <v>-160652.88477484486</v>
      </c>
      <c r="E16" s="128">
        <f t="shared" si="3"/>
        <v>111408.06403559842</v>
      </c>
      <c r="F16" s="128">
        <f t="shared" si="3"/>
        <v>134549.65013504776</v>
      </c>
      <c r="G16" s="128">
        <f t="shared" si="3"/>
        <v>-37966.999999999942</v>
      </c>
      <c r="H16" s="146">
        <f t="shared" si="3"/>
        <v>-26509.489484477788</v>
      </c>
      <c r="I16" s="128">
        <f t="shared" si="3"/>
        <v>57103.080649447802</v>
      </c>
      <c r="J16" s="128">
        <f t="shared" si="3"/>
        <v>50158.684729030007</v>
      </c>
      <c r="K16" s="128">
        <f t="shared" si="3"/>
        <v>48254.8648311242</v>
      </c>
      <c r="L16" s="129">
        <f t="shared" si="3"/>
        <v>48418.420578078658</v>
      </c>
    </row>
    <row r="17" spans="2:12" ht="15.9">
      <c r="B17" s="167" t="s">
        <v>144</v>
      </c>
      <c r="C17" s="169"/>
      <c r="D17" s="168">
        <f>D15+D16</f>
        <v>93283.285829353612</v>
      </c>
      <c r="E17" s="168">
        <f t="shared" ref="E17:L17" si="4">E15+E16</f>
        <v>204694.34986495227</v>
      </c>
      <c r="F17" s="168">
        <f t="shared" si="4"/>
        <v>339241.00000000012</v>
      </c>
      <c r="G17" s="168">
        <f t="shared" si="4"/>
        <v>301274.00000000006</v>
      </c>
      <c r="H17" s="172">
        <f t="shared" si="4"/>
        <v>274766.51051552221</v>
      </c>
      <c r="I17" s="168">
        <f t="shared" si="4"/>
        <v>331867.59116497025</v>
      </c>
      <c r="J17" s="168">
        <f t="shared" si="4"/>
        <v>382026.27589400043</v>
      </c>
      <c r="K17" s="168">
        <f t="shared" si="4"/>
        <v>430281.14072512469</v>
      </c>
      <c r="L17" s="170">
        <f t="shared" si="4"/>
        <v>478699.56130320288</v>
      </c>
    </row>
    <row r="19" spans="2:12" ht="15.9">
      <c r="B19" s="117"/>
      <c r="C19" s="117"/>
      <c r="D19" s="117"/>
      <c r="E19" s="117"/>
      <c r="F19" s="117"/>
      <c r="G19" s="117"/>
      <c r="H19" s="6"/>
      <c r="I19" s="6"/>
    </row>
    <row r="20" spans="2:12" ht="15.9">
      <c r="B20" s="117"/>
      <c r="C20" s="600"/>
      <c r="D20" s="600"/>
      <c r="E20" s="600"/>
      <c r="F20" s="600"/>
      <c r="G20" s="600"/>
      <c r="H20" s="6"/>
      <c r="I20" s="6"/>
    </row>
    <row r="21" spans="2:12">
      <c r="B21" s="55"/>
      <c r="C21" s="55"/>
      <c r="D21" s="55"/>
      <c r="E21" s="55"/>
      <c r="F21" s="55"/>
      <c r="G21" s="55"/>
      <c r="H21" s="55"/>
      <c r="I21" s="55"/>
    </row>
    <row r="22" spans="2:12">
      <c r="B22" s="55"/>
      <c r="C22" s="55"/>
      <c r="D22" s="55"/>
      <c r="E22" s="55"/>
      <c r="F22" s="55"/>
      <c r="G22" s="55"/>
      <c r="H22" s="55"/>
      <c r="I22" s="55"/>
    </row>
    <row r="23" spans="2:12">
      <c r="B23" s="55"/>
      <c r="C23" s="55"/>
      <c r="D23" s="55"/>
      <c r="E23" s="55"/>
      <c r="F23" s="55"/>
      <c r="G23" s="55"/>
      <c r="H23" s="55"/>
      <c r="I23" s="55"/>
    </row>
    <row r="24" spans="2:12">
      <c r="B24" s="55"/>
      <c r="C24" s="55"/>
      <c r="D24" s="55"/>
      <c r="E24" s="55"/>
      <c r="F24" s="55"/>
      <c r="G24" s="55"/>
      <c r="H24" s="55"/>
      <c r="I24" s="55"/>
    </row>
    <row r="25" spans="2:12">
      <c r="B25" s="55"/>
      <c r="C25" s="55"/>
      <c r="D25" s="55"/>
      <c r="E25" s="55"/>
      <c r="F25" s="55"/>
      <c r="G25" s="55"/>
      <c r="H25" s="55"/>
      <c r="I25" s="55"/>
    </row>
    <row r="26" spans="2:12">
      <c r="B26" s="55"/>
      <c r="C26" s="55"/>
      <c r="D26" s="55"/>
      <c r="E26" s="55"/>
      <c r="F26" s="55"/>
      <c r="G26" s="55"/>
      <c r="H26" s="55"/>
      <c r="I26" s="5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opLeftCell="T1" zoomScale="81" zoomScaleNormal="125" workbookViewId="0">
      <selection activeCell="I27" sqref="I27:N36"/>
    </sheetView>
  </sheetViews>
  <sheetFormatPr defaultColWidth="10.84375" defaultRowHeight="14.6"/>
  <cols>
    <col min="2" max="2" width="44.3046875" customWidth="1"/>
    <col min="3" max="3" width="23.84375" customWidth="1"/>
    <col min="4" max="4" width="25.84375" customWidth="1"/>
    <col min="5" max="5" width="23.84375" customWidth="1"/>
    <col min="6" max="6" width="21" customWidth="1"/>
    <col min="7" max="7" width="20.69140625" customWidth="1"/>
    <col min="8" max="8" width="16.4609375" customWidth="1"/>
    <col min="9" max="9" width="19.69140625" customWidth="1"/>
    <col min="10" max="10" width="17.69140625" customWidth="1"/>
    <col min="11" max="11" width="19" customWidth="1"/>
    <col min="12" max="12" width="18.4609375" customWidth="1"/>
    <col min="20" max="20" width="21.4609375" bestFit="1" customWidth="1"/>
  </cols>
  <sheetData>
    <row r="2" spans="2:16">
      <c r="H2" s="6"/>
      <c r="I2" s="6"/>
      <c r="J2" s="6"/>
      <c r="K2" s="6"/>
      <c r="L2" s="6"/>
      <c r="M2" s="6"/>
      <c r="N2" s="6"/>
      <c r="O2" s="6"/>
      <c r="P2" s="6"/>
    </row>
    <row r="3" spans="2:16" ht="15.9">
      <c r="B3" s="692" t="s">
        <v>146</v>
      </c>
      <c r="C3" s="693"/>
      <c r="D3" s="693"/>
      <c r="E3" s="693"/>
      <c r="F3" s="693"/>
      <c r="G3" s="693"/>
      <c r="H3" s="603"/>
      <c r="I3" s="16" t="s">
        <v>224</v>
      </c>
      <c r="J3" s="16">
        <v>2016</v>
      </c>
      <c r="K3" s="16">
        <v>2017</v>
      </c>
      <c r="L3" s="16">
        <v>2018</v>
      </c>
      <c r="M3" s="16">
        <v>2019</v>
      </c>
      <c r="N3" s="16">
        <v>2020</v>
      </c>
      <c r="O3" s="6"/>
      <c r="P3" s="6"/>
    </row>
    <row r="4" spans="2:16" ht="15.9">
      <c r="B4" s="609" t="s">
        <v>147</v>
      </c>
      <c r="C4" s="610">
        <v>2016</v>
      </c>
      <c r="D4" s="610">
        <v>2017</v>
      </c>
      <c r="E4" s="610">
        <v>2018</v>
      </c>
      <c r="F4" s="611">
        <v>2019</v>
      </c>
      <c r="G4" s="610">
        <v>2020</v>
      </c>
      <c r="H4" s="602"/>
      <c r="I4" s="659" t="s">
        <v>346</v>
      </c>
      <c r="J4" s="47">
        <f>' Adj. income statement'!K20/'Adj. balance sheet'!C24</f>
        <v>3.3652988314586157E-2</v>
      </c>
      <c r="K4" s="47">
        <f>' Adj. income statement'!L20/'Adj. balance sheet'!D24</f>
        <v>3.7540249742786878E-2</v>
      </c>
      <c r="L4" s="47">
        <f>' Adj. income statement'!M20/'Adj. balance sheet'!E24</f>
        <v>4.6114692123705996E-2</v>
      </c>
      <c r="M4" s="47">
        <f>' Adj. income statement'!N20/'Adj. balance sheet'!F24</f>
        <v>6.0010856444159585E-2</v>
      </c>
      <c r="N4" s="47">
        <f>' Adj. income statement'!O20/'Adj. balance sheet'!G24</f>
        <v>0.1027716248645357</v>
      </c>
      <c r="O4" s="6"/>
      <c r="P4" s="6"/>
    </row>
    <row r="5" spans="2:16">
      <c r="B5" s="29" t="s">
        <v>148</v>
      </c>
      <c r="C5" s="612"/>
      <c r="D5" s="612">
        <f>-('Cash flow'!D13/' Adj. income statement'!L20)</f>
        <v>0.83397677663244008</v>
      </c>
      <c r="E5" s="612">
        <f>-('Cash flow'!E13/' Adj. income statement'!M20)</f>
        <v>0.45533457149628798</v>
      </c>
      <c r="F5" s="612">
        <f>-('Cash flow'!F13/' Adj. income statement'!N20)</f>
        <v>0.53385821594968175</v>
      </c>
      <c r="G5" s="613">
        <f>-('Cash flow'!G13/' Adj. income statement'!O20)</f>
        <v>0.9032847791472548</v>
      </c>
      <c r="H5" s="263"/>
      <c r="I5" s="659" t="s">
        <v>345</v>
      </c>
      <c r="J5" s="47">
        <f>16380/461090</f>
        <v>3.5524517989980263E-2</v>
      </c>
      <c r="K5" s="47">
        <f>12735/437166</f>
        <v>2.9130810721785316E-2</v>
      </c>
      <c r="L5" s="47">
        <f>28794/483613</f>
        <v>5.9539342408082493E-2</v>
      </c>
      <c r="M5" s="47">
        <f>8678/391201</f>
        <v>2.2182969879933845E-2</v>
      </c>
      <c r="N5" s="47"/>
      <c r="O5" s="6"/>
      <c r="P5" s="6"/>
    </row>
    <row r="6" spans="2:16">
      <c r="B6" s="93" t="s">
        <v>149</v>
      </c>
      <c r="C6" s="106">
        <f>' Adj. income statement'!D26</f>
        <v>0</v>
      </c>
      <c r="D6" s="106">
        <f>' Adj. income statement'!E26</f>
        <v>0</v>
      </c>
      <c r="E6" s="106">
        <f>' Adj. income statement'!F26</f>
        <v>0</v>
      </c>
      <c r="F6" s="106">
        <f>' Adj. income statement'!G26</f>
        <v>0</v>
      </c>
      <c r="G6" s="107">
        <f>' Adj. income statement'!H26</f>
        <v>0</v>
      </c>
      <c r="H6" s="604"/>
      <c r="O6" s="6"/>
      <c r="P6" s="6"/>
    </row>
    <row r="7" spans="2:16">
      <c r="B7" s="93" t="s">
        <v>150</v>
      </c>
      <c r="C7" s="94">
        <f>' Adj. income statement'!K16/'Adj. balance sheet'!AE33</f>
        <v>0.13920480834350424</v>
      </c>
      <c r="D7" s="94">
        <f>' Adj. income statement'!L16/'Adj. balance sheet'!AF33</f>
        <v>0.14276541784667593</v>
      </c>
      <c r="E7" s="94">
        <f>' Adj. income statement'!M16/'Adj. balance sheet'!AG33</f>
        <v>0.15782533357745365</v>
      </c>
      <c r="F7" s="94">
        <f>' Adj. income statement'!N16/'Adj. balance sheet'!AH33</f>
        <v>0.20856779181349394</v>
      </c>
      <c r="G7" s="95">
        <f>' Adj. income statement'!O16/'Adj. balance sheet'!AI33</f>
        <v>0.31932868535481568</v>
      </c>
      <c r="H7" s="263"/>
      <c r="I7" s="16" t="s">
        <v>150</v>
      </c>
      <c r="J7" s="16">
        <v>2016</v>
      </c>
      <c r="K7" s="16">
        <v>2017</v>
      </c>
      <c r="L7" s="16">
        <v>2018</v>
      </c>
      <c r="M7" s="16">
        <v>2019</v>
      </c>
      <c r="N7" s="16">
        <v>2020</v>
      </c>
      <c r="O7" s="6"/>
      <c r="P7" s="6"/>
    </row>
    <row r="8" spans="2:16">
      <c r="B8" s="93" t="s">
        <v>151</v>
      </c>
      <c r="C8" s="94">
        <f>' Adj. income statement'!K16/'Adj. balance sheet'!AE23</f>
        <v>6.5161208417003055E-2</v>
      </c>
      <c r="D8" s="94">
        <f>' Adj. income statement'!L16/'Adj. balance sheet'!AF23</f>
        <v>6.5205458710088024E-2</v>
      </c>
      <c r="E8" s="94">
        <f>' Adj. income statement'!M16/'Adj. balance sheet'!AG23</f>
        <v>7.9305257690929026E-2</v>
      </c>
      <c r="F8" s="94">
        <f>' Adj. income statement'!N16/'Adj. balance sheet'!AH23</f>
        <v>9.8221690482361484E-2</v>
      </c>
      <c r="G8" s="95">
        <f>' Adj. income statement'!O16/'Adj. balance sheet'!AI23</f>
        <v>0.15794265453264011</v>
      </c>
      <c r="H8" s="263"/>
      <c r="I8" s="659" t="s">
        <v>346</v>
      </c>
      <c r="J8" s="47">
        <f>C7</f>
        <v>0.13920480834350424</v>
      </c>
      <c r="K8" s="47">
        <f>D7</f>
        <v>0.14276541784667593</v>
      </c>
      <c r="L8" s="47">
        <f>E7</f>
        <v>0.15782533357745365</v>
      </c>
      <c r="M8" s="47">
        <f>F7</f>
        <v>0.20856779181349394</v>
      </c>
      <c r="N8" s="47">
        <f>G7</f>
        <v>0.31932868535481568</v>
      </c>
      <c r="O8" s="6"/>
      <c r="P8" s="6"/>
    </row>
    <row r="9" spans="2:16">
      <c r="B9" s="75" t="s">
        <v>152</v>
      </c>
      <c r="C9" s="247"/>
      <c r="D9" s="247"/>
      <c r="E9" s="247">
        <f>('Cash flow'!E13-'Cash flow'!D13)/'Cash flow'!D13</f>
        <v>-0.31445943208324001</v>
      </c>
      <c r="F9" s="247">
        <f>('Cash flow'!F13-'Cash flow'!E13)/'Cash flow'!E13</f>
        <v>0.85744577286218548</v>
      </c>
      <c r="G9" s="253">
        <f>('Cash flow'!G13-'Cash flow'!F13)/'Cash flow'!F13</f>
        <v>1.8973840374979465</v>
      </c>
      <c r="H9" s="263"/>
      <c r="I9" s="659" t="s">
        <v>345</v>
      </c>
      <c r="J9" s="47">
        <f>21322/258708</f>
        <v>8.2417242605563032E-2</v>
      </c>
      <c r="K9" s="47">
        <f>15507/311904</f>
        <v>4.9717220683287162E-2</v>
      </c>
      <c r="L9" s="47">
        <f>28744/344630</f>
        <v>8.3405391289208722E-2</v>
      </c>
      <c r="M9" s="47">
        <f>10518/256159</f>
        <v>4.1060435120374453E-2</v>
      </c>
      <c r="N9" s="47"/>
      <c r="O9" s="6"/>
      <c r="P9" s="6"/>
    </row>
    <row r="10" spans="2:16">
      <c r="H10" s="6"/>
      <c r="O10" s="6"/>
      <c r="P10" s="6"/>
    </row>
    <row r="11" spans="2:16">
      <c r="B11" s="681" t="s">
        <v>146</v>
      </c>
      <c r="C11" s="683"/>
      <c r="D11" s="683"/>
      <c r="E11" s="683"/>
      <c r="F11" s="683"/>
      <c r="G11" s="682"/>
      <c r="H11" s="121"/>
      <c r="I11" s="16" t="s">
        <v>151</v>
      </c>
      <c r="J11" s="16">
        <v>2016</v>
      </c>
      <c r="K11" s="16">
        <v>2017</v>
      </c>
      <c r="L11" s="16">
        <v>2018</v>
      </c>
      <c r="M11" s="16">
        <v>2019</v>
      </c>
      <c r="N11" s="16">
        <v>2020</v>
      </c>
      <c r="O11" s="6"/>
      <c r="P11" s="6"/>
    </row>
    <row r="12" spans="2:16" ht="15.9">
      <c r="B12" s="101"/>
      <c r="C12" s="614">
        <v>2016</v>
      </c>
      <c r="D12" s="614">
        <v>2017</v>
      </c>
      <c r="E12" s="614">
        <v>2018</v>
      </c>
      <c r="F12" s="614">
        <v>2019</v>
      </c>
      <c r="G12" s="615">
        <v>2020</v>
      </c>
      <c r="H12" s="602"/>
      <c r="I12" s="659" t="s">
        <v>346</v>
      </c>
      <c r="J12" s="54">
        <f>C8</f>
        <v>6.5161208417003055E-2</v>
      </c>
      <c r="K12" s="54">
        <f>D8</f>
        <v>6.5205458710088024E-2</v>
      </c>
      <c r="L12" s="54">
        <f>E8</f>
        <v>7.9305257690929026E-2</v>
      </c>
      <c r="M12" s="54">
        <f>F8</f>
        <v>9.8221690482361484E-2</v>
      </c>
      <c r="N12" s="54">
        <f>G8</f>
        <v>0.15794265453264011</v>
      </c>
      <c r="O12" s="6"/>
      <c r="P12" s="6"/>
    </row>
    <row r="13" spans="2:16">
      <c r="B13" s="93" t="s">
        <v>153</v>
      </c>
      <c r="C13" s="104">
        <v>1.3299999999999999E-2</v>
      </c>
      <c r="D13" s="104">
        <v>1.6400000000000001E-2</v>
      </c>
      <c r="E13" s="104">
        <v>1.8800000000000001E-2</v>
      </c>
      <c r="F13" s="104">
        <v>1.49E-2</v>
      </c>
      <c r="G13" s="105">
        <v>8.2000000000000007E-3</v>
      </c>
      <c r="H13" s="6"/>
      <c r="I13" s="659" t="s">
        <v>345</v>
      </c>
      <c r="J13" s="54">
        <f>21322/169730</f>
        <v>0.1256230483709421</v>
      </c>
      <c r="K13" s="54">
        <f>15507/210398</f>
        <v>7.3703172083384824E-2</v>
      </c>
      <c r="L13" s="54">
        <f>28744/228305</f>
        <v>0.12590175423227701</v>
      </c>
      <c r="M13" s="54">
        <f>10518/236892</f>
        <v>4.4399979737601944E-2</v>
      </c>
      <c r="N13" s="17"/>
      <c r="O13" s="6"/>
      <c r="P13" s="6"/>
    </row>
    <row r="14" spans="2:16">
      <c r="B14" s="93" t="s">
        <v>154</v>
      </c>
      <c r="C14" s="616">
        <v>4.9000000000000002E-2</v>
      </c>
      <c r="D14" s="616">
        <v>0.05</v>
      </c>
      <c r="E14" s="616">
        <v>0.05</v>
      </c>
      <c r="F14" s="616">
        <v>4.9000000000000002E-2</v>
      </c>
      <c r="G14" s="110">
        <v>4.8000000000000001E-2</v>
      </c>
      <c r="H14" s="605"/>
      <c r="I14" s="659" t="s">
        <v>348</v>
      </c>
      <c r="J14" s="54">
        <f>'Cost of capital'!C9</f>
        <v>4.3696640831466613E-2</v>
      </c>
      <c r="K14" s="54">
        <f>'Cost of capital'!D9</f>
        <v>4.3203904043198668E-2</v>
      </c>
      <c r="L14" s="54">
        <f>'Cost of capital'!E9</f>
        <v>4.5187858105752932E-2</v>
      </c>
      <c r="M14" s="54">
        <f>'Cost of capital'!F9</f>
        <v>4.3819703647836439E-2</v>
      </c>
      <c r="N14" s="54">
        <f>'Cost of capital'!G9</f>
        <v>4.4846238729767444E-2</v>
      </c>
      <c r="O14" s="6"/>
      <c r="P14" s="6"/>
    </row>
    <row r="15" spans="2:16">
      <c r="B15" s="93"/>
      <c r="C15" s="104"/>
      <c r="D15" s="104"/>
      <c r="E15" s="104"/>
      <c r="F15" s="104"/>
      <c r="G15" s="105"/>
      <c r="H15" s="400"/>
      <c r="J15" s="54"/>
      <c r="K15" s="54"/>
      <c r="L15" s="54"/>
      <c r="M15" s="54"/>
      <c r="N15" s="17"/>
      <c r="O15" s="6"/>
      <c r="P15" s="6"/>
    </row>
    <row r="16" spans="2:16">
      <c r="B16" s="75" t="s">
        <v>155</v>
      </c>
      <c r="C16" s="617">
        <f>'Cost of capital'!$C$15</f>
        <v>1.22</v>
      </c>
      <c r="D16" s="617">
        <f>'Cost of capital'!$C$15</f>
        <v>1.22</v>
      </c>
      <c r="E16" s="617">
        <f>'Cost of capital'!$C$15</f>
        <v>1.22</v>
      </c>
      <c r="F16" s="617">
        <f>'Cost of capital'!$C$15</f>
        <v>1.22</v>
      </c>
      <c r="G16" s="618">
        <f>'Cost of capital'!$C$15</f>
        <v>1.22</v>
      </c>
      <c r="H16" s="606"/>
      <c r="J16" s="54"/>
      <c r="K16" s="54"/>
      <c r="L16" s="54"/>
      <c r="M16" s="54"/>
      <c r="N16" s="17"/>
      <c r="O16" s="6"/>
      <c r="P16" s="6"/>
    </row>
    <row r="17" spans="1:16">
      <c r="B17" s="15"/>
      <c r="C17" s="43"/>
      <c r="D17" s="43"/>
      <c r="E17" s="43"/>
      <c r="F17" s="43"/>
      <c r="G17" s="43"/>
      <c r="H17" s="605"/>
      <c r="O17" s="6"/>
      <c r="P17" s="6"/>
    </row>
    <row r="18" spans="1:16">
      <c r="H18" s="6"/>
      <c r="I18" s="16" t="s">
        <v>225</v>
      </c>
      <c r="J18" s="16">
        <v>2016</v>
      </c>
      <c r="K18" s="16">
        <v>2017</v>
      </c>
      <c r="L18" s="16">
        <v>2018</v>
      </c>
      <c r="M18" s="16">
        <v>2019</v>
      </c>
      <c r="N18" s="16">
        <v>2020</v>
      </c>
      <c r="O18" s="6"/>
      <c r="P18" s="6"/>
    </row>
    <row r="19" spans="1:16">
      <c r="H19" s="6"/>
      <c r="I19" s="659" t="s">
        <v>346</v>
      </c>
      <c r="J19" s="92">
        <f>'Adj. balance sheet'!C23/'Adj. balance sheet'!J28</f>
        <v>1.136305186527476</v>
      </c>
      <c r="K19" s="92">
        <f>'Adj. balance sheet'!D23/'Adj. balance sheet'!K28</f>
        <v>0.90473718339631071</v>
      </c>
      <c r="L19" s="92">
        <f>'Adj. balance sheet'!E23/'Adj. balance sheet'!L28</f>
        <v>1.0287255097091641</v>
      </c>
      <c r="M19" s="92">
        <f>'Adj. balance sheet'!F23/'Adj. balance sheet'!M28</f>
        <v>0.95135382405448543</v>
      </c>
      <c r="N19" s="92">
        <f>'Adj. balance sheet'!G23/'Adj. balance sheet'!N28</f>
        <v>0.90870604376160324</v>
      </c>
      <c r="O19" s="6"/>
      <c r="P19" s="6"/>
    </row>
    <row r="20" spans="1:16">
      <c r="H20" s="6"/>
      <c r="I20" s="659" t="s">
        <v>345</v>
      </c>
      <c r="J20" s="92">
        <v>1.76</v>
      </c>
      <c r="K20" s="92">
        <v>2.71</v>
      </c>
      <c r="L20" s="92">
        <v>2.76</v>
      </c>
      <c r="M20" s="92">
        <v>2.5499999999999998</v>
      </c>
      <c r="N20" s="92"/>
      <c r="O20" s="6"/>
      <c r="P20" s="6"/>
    </row>
    <row r="22" spans="1:16">
      <c r="B22" s="55"/>
      <c r="C22" s="55"/>
      <c r="D22" s="55"/>
      <c r="E22" s="55"/>
      <c r="F22" s="55"/>
      <c r="G22" s="55"/>
      <c r="H22" s="55"/>
      <c r="I22" s="16" t="s">
        <v>226</v>
      </c>
      <c r="J22" s="16">
        <v>2016</v>
      </c>
      <c r="K22" s="16">
        <v>2017</v>
      </c>
      <c r="L22" s="16">
        <v>2018</v>
      </c>
      <c r="M22" s="16">
        <v>2019</v>
      </c>
      <c r="N22" s="16">
        <v>2020</v>
      </c>
    </row>
    <row r="23" spans="1:16">
      <c r="A23" s="32"/>
      <c r="B23" s="6"/>
      <c r="C23" s="6"/>
      <c r="D23" s="6"/>
      <c r="E23" s="6"/>
      <c r="F23" s="6"/>
      <c r="G23" s="6"/>
      <c r="H23" s="6"/>
      <c r="I23" s="659" t="s">
        <v>346</v>
      </c>
      <c r="J23" s="42">
        <f>'Adj. balance sheet'!J30/'Adj. balance sheet'!J11</f>
        <v>1.9614466523090588</v>
      </c>
      <c r="K23" s="42">
        <f>'Adj. balance sheet'!K30/'Adj. balance sheet'!K11</f>
        <v>1.8365686323975499</v>
      </c>
      <c r="L23" s="42">
        <f>'Adj. balance sheet'!L30/'Adj. balance sheet'!L11</f>
        <v>1.7025836521591446</v>
      </c>
      <c r="M23" s="42">
        <f>'Adj. balance sheet'!M30/'Adj. balance sheet'!M11</f>
        <v>2.0128164665642463</v>
      </c>
      <c r="N23" s="42">
        <f>'Adj. balance sheet'!N30/'Adj. balance sheet'!N11</f>
        <v>1.9249798033261833</v>
      </c>
    </row>
    <row r="24" spans="1:16" ht="15.9">
      <c r="A24" s="32"/>
      <c r="B24" s="117"/>
      <c r="C24" s="117"/>
      <c r="D24" s="117"/>
      <c r="E24" s="117"/>
      <c r="F24" s="117"/>
      <c r="G24" s="117"/>
      <c r="H24" s="6"/>
      <c r="I24" s="659" t="s">
        <v>345</v>
      </c>
      <c r="J24" s="42">
        <f>202382/258708</f>
        <v>0.7822796357283115</v>
      </c>
      <c r="K24" s="42">
        <f>125262/311904</f>
        <v>0.40160433979686055</v>
      </c>
      <c r="L24" s="42">
        <f>138983/344630</f>
        <v>0.40328178046020369</v>
      </c>
      <c r="M24" s="42">
        <f>135042/256159</f>
        <v>0.52718038405833878</v>
      </c>
    </row>
    <row r="25" spans="1:16" ht="15.9">
      <c r="A25" s="32"/>
      <c r="B25" s="117"/>
      <c r="C25" s="604"/>
      <c r="D25" s="607"/>
      <c r="E25" s="607"/>
      <c r="F25" s="607"/>
      <c r="G25" s="607"/>
      <c r="H25" s="6"/>
      <c r="I25" s="659" t="s">
        <v>347</v>
      </c>
      <c r="J25" s="42">
        <f>'Balance sheet'!J30/'Balance sheet'!J11</f>
        <v>1.0980831933209085</v>
      </c>
      <c r="K25" s="42">
        <f>'Balance sheet'!K30/'Balance sheet'!K11</f>
        <v>0.99400303971660731</v>
      </c>
      <c r="L25" s="42">
        <f>'Balance sheet'!L30/'Balance sheet'!L11</f>
        <v>0.91896758648448185</v>
      </c>
      <c r="M25" s="42">
        <f>'Balance sheet'!M30/'Balance sheet'!M11</f>
        <v>2.0128164665642463</v>
      </c>
      <c r="N25" s="42">
        <f>'Balance sheet'!N30/'Balance sheet'!N11</f>
        <v>1.9249798033261833</v>
      </c>
    </row>
    <row r="26" spans="1:16" ht="15.9">
      <c r="A26" s="32"/>
      <c r="B26" s="117"/>
      <c r="C26" s="601"/>
      <c r="D26" s="601"/>
      <c r="E26" s="601"/>
      <c r="F26" s="601"/>
      <c r="G26" s="601"/>
      <c r="H26" s="6"/>
    </row>
    <row r="27" spans="1:16" ht="15.9">
      <c r="A27" s="32"/>
      <c r="B27" s="117"/>
      <c r="C27" s="608"/>
      <c r="D27" s="608"/>
      <c r="E27" s="608"/>
      <c r="F27" s="608"/>
      <c r="G27" s="608"/>
      <c r="H27" s="6"/>
      <c r="I27" s="101" t="s">
        <v>223</v>
      </c>
      <c r="J27" s="102">
        <v>2016</v>
      </c>
      <c r="K27" s="102">
        <v>2017</v>
      </c>
      <c r="L27" s="102">
        <v>2018</v>
      </c>
      <c r="M27" s="102">
        <v>2019</v>
      </c>
      <c r="N27" s="103">
        <v>2020</v>
      </c>
    </row>
    <row r="28" spans="1:16">
      <c r="A28" s="32"/>
      <c r="B28" s="32"/>
      <c r="C28" s="32"/>
      <c r="D28" s="32"/>
      <c r="E28" s="32"/>
      <c r="F28" s="32"/>
      <c r="G28" s="32"/>
      <c r="H28" s="32"/>
      <c r="I28" s="93" t="s">
        <v>224</v>
      </c>
      <c r="J28" s="104">
        <f>J4</f>
        <v>3.3652988314586157E-2</v>
      </c>
      <c r="K28" s="104">
        <f>K4</f>
        <v>3.7540249742786878E-2</v>
      </c>
      <c r="L28" s="104">
        <f>L4</f>
        <v>4.6114692123705996E-2</v>
      </c>
      <c r="M28" s="104">
        <f>M4</f>
        <v>6.0010856444159585E-2</v>
      </c>
      <c r="N28" s="105">
        <f>N4</f>
        <v>0.1027716248645357</v>
      </c>
    </row>
    <row r="29" spans="1:16">
      <c r="A29" s="32"/>
      <c r="B29" s="32"/>
      <c r="C29" s="32"/>
      <c r="D29" s="32"/>
      <c r="E29" s="32"/>
      <c r="F29" s="32"/>
      <c r="G29" s="32"/>
      <c r="H29" s="32"/>
      <c r="I29" s="98"/>
      <c r="J29" s="99"/>
      <c r="K29" s="99"/>
      <c r="L29" s="99"/>
      <c r="M29" s="99"/>
      <c r="N29" s="100"/>
    </row>
    <row r="30" spans="1:16">
      <c r="I30" s="93" t="s">
        <v>150</v>
      </c>
      <c r="J30" s="104">
        <f>J8</f>
        <v>0.13920480834350424</v>
      </c>
      <c r="K30" s="104">
        <f>K8</f>
        <v>0.14276541784667593</v>
      </c>
      <c r="L30" s="104">
        <f>L8</f>
        <v>0.15782533357745365</v>
      </c>
      <c r="M30" s="104">
        <f>M8</f>
        <v>0.20856779181349394</v>
      </c>
      <c r="N30" s="105">
        <f>N8</f>
        <v>0.31932868535481568</v>
      </c>
    </row>
    <row r="31" spans="1:16">
      <c r="I31" s="98"/>
      <c r="J31" s="99"/>
      <c r="K31" s="99"/>
      <c r="L31" s="99"/>
      <c r="M31" s="99"/>
      <c r="N31" s="100"/>
    </row>
    <row r="32" spans="1:16">
      <c r="I32" s="93" t="s">
        <v>151</v>
      </c>
      <c r="J32" s="104">
        <f>J12</f>
        <v>6.5161208417003055E-2</v>
      </c>
      <c r="K32" s="104">
        <f>K12</f>
        <v>6.5205458710088024E-2</v>
      </c>
      <c r="L32" s="104">
        <f>L12</f>
        <v>7.9305257690929026E-2</v>
      </c>
      <c r="M32" s="104">
        <f>M12</f>
        <v>9.8221690482361484E-2</v>
      </c>
      <c r="N32" s="105">
        <f>N12</f>
        <v>0.15794265453264011</v>
      </c>
    </row>
    <row r="33" spans="9:14">
      <c r="I33" s="98"/>
      <c r="J33" s="99"/>
      <c r="K33" s="99"/>
      <c r="L33" s="99"/>
      <c r="M33" s="99"/>
      <c r="N33" s="100"/>
    </row>
    <row r="34" spans="9:14">
      <c r="I34" s="93" t="s">
        <v>225</v>
      </c>
      <c r="J34" s="106">
        <f>J19</f>
        <v>1.136305186527476</v>
      </c>
      <c r="K34" s="106">
        <f>K19</f>
        <v>0.90473718339631071</v>
      </c>
      <c r="L34" s="106">
        <f>L19</f>
        <v>1.0287255097091641</v>
      </c>
      <c r="M34" s="106">
        <f>M19</f>
        <v>0.95135382405448543</v>
      </c>
      <c r="N34" s="107">
        <f>N19</f>
        <v>0.90870604376160324</v>
      </c>
    </row>
    <row r="35" spans="9:14">
      <c r="I35" s="98"/>
      <c r="J35" s="99"/>
      <c r="K35" s="99"/>
      <c r="L35" s="99"/>
      <c r="M35" s="99"/>
      <c r="N35" s="100"/>
    </row>
    <row r="36" spans="9:14">
      <c r="I36" s="75" t="s">
        <v>226</v>
      </c>
      <c r="J36" s="96">
        <f>J23</f>
        <v>1.9614466523090588</v>
      </c>
      <c r="K36" s="96">
        <f t="shared" ref="K36:N36" si="0">K23</f>
        <v>1.8365686323975499</v>
      </c>
      <c r="L36" s="96">
        <f t="shared" si="0"/>
        <v>1.7025836521591446</v>
      </c>
      <c r="M36" s="96">
        <f t="shared" si="0"/>
        <v>2.0128164665642463</v>
      </c>
      <c r="N36" s="97">
        <f t="shared" si="0"/>
        <v>1.9249798033261833</v>
      </c>
    </row>
  </sheetData>
  <mergeCells count="2">
    <mergeCell ref="B3:G3"/>
    <mergeCell ref="B11:G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zoomScale="58" zoomScaleNormal="55" workbookViewId="0">
      <selection activeCell="F18" sqref="F18"/>
    </sheetView>
  </sheetViews>
  <sheetFormatPr defaultColWidth="10.84375" defaultRowHeight="14.6"/>
  <cols>
    <col min="2" max="2" width="28.84375" customWidth="1"/>
    <col min="3" max="4" width="14.4609375" customWidth="1"/>
    <col min="5" max="5" width="15.15234375" customWidth="1"/>
    <col min="6" max="6" width="15.3046875" customWidth="1"/>
    <col min="7" max="8" width="14.84375" customWidth="1"/>
    <col min="9" max="9" width="14.4609375" customWidth="1"/>
    <col min="10" max="10" width="14.3046875" customWidth="1"/>
    <col min="11" max="11" width="15" customWidth="1"/>
    <col min="12" max="12" width="13.15234375" customWidth="1"/>
  </cols>
  <sheetData>
    <row r="2" spans="1:12">
      <c r="B2" s="633" t="s">
        <v>340</v>
      </c>
      <c r="C2" s="694" t="s">
        <v>156</v>
      </c>
      <c r="D2" s="694"/>
      <c r="E2" s="694"/>
      <c r="F2" s="694"/>
      <c r="G2" s="694"/>
      <c r="H2" s="694"/>
      <c r="I2" s="694"/>
      <c r="J2" s="694"/>
      <c r="K2" s="694"/>
      <c r="L2" s="634"/>
    </row>
    <row r="3" spans="1:12" ht="15.9">
      <c r="B3" s="629" t="s">
        <v>147</v>
      </c>
      <c r="C3" s="630">
        <v>2016</v>
      </c>
      <c r="D3" s="630">
        <v>2017</v>
      </c>
      <c r="E3" s="630">
        <v>2018</v>
      </c>
      <c r="F3" s="630">
        <v>2019</v>
      </c>
      <c r="G3" s="630">
        <v>2020</v>
      </c>
      <c r="H3" s="631">
        <v>2021</v>
      </c>
      <c r="I3" s="631">
        <v>2022</v>
      </c>
      <c r="J3" s="631">
        <v>2023</v>
      </c>
      <c r="K3" s="631">
        <v>2024</v>
      </c>
      <c r="L3" s="632">
        <v>2025</v>
      </c>
    </row>
    <row r="4" spans="1:12">
      <c r="B4" s="628" t="s">
        <v>54</v>
      </c>
      <c r="C4" s="622">
        <f>'Adj. balance sheet'!AE43</f>
        <v>1095834.2407940365</v>
      </c>
      <c r="D4" s="622">
        <f>'Adj. balance sheet'!AF43</f>
        <v>1167738.4357367831</v>
      </c>
      <c r="E4" s="622">
        <f>'Adj. balance sheet'!AG43</f>
        <v>1042798.615438363</v>
      </c>
      <c r="F4" s="622">
        <f>'Adj. balance sheet'!AH43</f>
        <v>1292136</v>
      </c>
      <c r="G4" s="622">
        <f>'Adj. balance sheet'!AI43</f>
        <v>1210425</v>
      </c>
      <c r="H4" s="622">
        <f>'Adj. balance sheet'!AJ43</f>
        <v>1235127.0358510113</v>
      </c>
      <c r="I4" s="622">
        <f>'Adj. balance sheet'!AK43</f>
        <v>1243971.2978758868</v>
      </c>
      <c r="J4" s="622">
        <f>'Adj. balance sheet'!AL43</f>
        <v>1202839.6704950158</v>
      </c>
      <c r="K4" s="622">
        <f>'Adj. balance sheet'!AM43</f>
        <v>1187832.9156873957</v>
      </c>
      <c r="L4" s="623">
        <f>'Adj. balance sheet'!AN43</f>
        <v>1173862.3002909916</v>
      </c>
    </row>
    <row r="5" spans="1:12">
      <c r="B5" s="628" t="s">
        <v>157</v>
      </c>
      <c r="C5" s="622">
        <f>'Adj. balance sheet'!AE33</f>
        <v>964376.17060419847</v>
      </c>
      <c r="D5" s="622">
        <f>'Adj. balance sheet'!AF33</f>
        <v>981732.28582935384</v>
      </c>
      <c r="E5" s="622">
        <f>'Adj. balance sheet'!AG33</f>
        <v>1053226.3498649523</v>
      </c>
      <c r="F5" s="622">
        <f>'Adj. balance sheet'!AH33</f>
        <v>1150161</v>
      </c>
      <c r="G5" s="622">
        <f>'Adj. balance sheet'!AI33</f>
        <v>1184601</v>
      </c>
      <c r="H5" s="622">
        <f>'Adj. balance sheet'!AJ33</f>
        <v>1240569.6667541999</v>
      </c>
      <c r="I5" s="622">
        <f>'Adj. balance sheet'!AK33</f>
        <v>1297767.9130946132</v>
      </c>
      <c r="J5" s="622">
        <f>'Adj. balance sheet'!AL33</f>
        <v>1354656.7941421631</v>
      </c>
      <c r="K5" s="622">
        <f>'Adj. balance sheet'!AM33</f>
        <v>1411944.9204038004</v>
      </c>
      <c r="L5" s="623">
        <f>'Adj. balance sheet'!AN33</f>
        <v>1467945.1193653406</v>
      </c>
    </row>
    <row r="6" spans="1:12">
      <c r="B6" s="628" t="s">
        <v>158</v>
      </c>
      <c r="C6" s="104">
        <v>0.03</v>
      </c>
      <c r="D6" s="104">
        <v>0.03</v>
      </c>
      <c r="E6" s="104">
        <v>0.03</v>
      </c>
      <c r="F6" s="104">
        <v>0.03</v>
      </c>
      <c r="G6" s="104">
        <v>0.03</v>
      </c>
      <c r="H6" s="104">
        <v>0.03</v>
      </c>
      <c r="I6" s="104">
        <f>H6</f>
        <v>0.03</v>
      </c>
      <c r="J6" s="104">
        <f t="shared" ref="J6:L6" si="0">I6</f>
        <v>0.03</v>
      </c>
      <c r="K6" s="104">
        <f t="shared" si="0"/>
        <v>0.03</v>
      </c>
      <c r="L6" s="105">
        <f t="shared" si="0"/>
        <v>0.03</v>
      </c>
    </row>
    <row r="7" spans="1:12">
      <c r="B7" s="628" t="s">
        <v>159</v>
      </c>
      <c r="C7" s="624">
        <f>C16</f>
        <v>6.676E-2</v>
      </c>
      <c r="D7" s="624">
        <f>C7</f>
        <v>6.676E-2</v>
      </c>
      <c r="E7" s="624">
        <f t="shared" ref="E7:G7" si="1">D7</f>
        <v>6.676E-2</v>
      </c>
      <c r="F7" s="624">
        <f t="shared" si="1"/>
        <v>6.676E-2</v>
      </c>
      <c r="G7" s="624">
        <f t="shared" si="1"/>
        <v>6.676E-2</v>
      </c>
      <c r="H7" s="624">
        <f t="shared" ref="H7" si="2">G7</f>
        <v>6.676E-2</v>
      </c>
      <c r="I7" s="624">
        <f t="shared" ref="I7" si="3">H7</f>
        <v>6.676E-2</v>
      </c>
      <c r="J7" s="624">
        <f t="shared" ref="J7" si="4">I7</f>
        <v>6.676E-2</v>
      </c>
      <c r="K7" s="624">
        <f t="shared" ref="K7" si="5">J7</f>
        <v>6.676E-2</v>
      </c>
      <c r="L7" s="625">
        <f t="shared" ref="L7" si="6">K7</f>
        <v>6.676E-2</v>
      </c>
    </row>
    <row r="8" spans="1:12">
      <c r="B8" s="628" t="s">
        <v>160</v>
      </c>
      <c r="C8" s="626">
        <f>' Adj. income statement'!K39</f>
        <v>0.22</v>
      </c>
      <c r="D8" s="626">
        <f>' Adj. income statement'!L39</f>
        <v>0.22</v>
      </c>
      <c r="E8" s="626">
        <f>' Adj. income statement'!M39</f>
        <v>0.22</v>
      </c>
      <c r="F8" s="626">
        <f>' Adj. income statement'!N39</f>
        <v>0.22</v>
      </c>
      <c r="G8" s="626">
        <f>' Adj. income statement'!O39</f>
        <v>0.22</v>
      </c>
      <c r="H8" s="626">
        <f>' Adj. income statement'!P39</f>
        <v>0.22</v>
      </c>
      <c r="I8" s="626">
        <f>' Adj. income statement'!Q39</f>
        <v>0.22</v>
      </c>
      <c r="J8" s="626">
        <f>' Adj. income statement'!R39</f>
        <v>0.22</v>
      </c>
      <c r="K8" s="626">
        <f>' Adj. income statement'!S39</f>
        <v>0.22</v>
      </c>
      <c r="L8" s="627">
        <f>' Adj. income statement'!T39</f>
        <v>0.22</v>
      </c>
    </row>
    <row r="9" spans="1:12">
      <c r="B9" s="619" t="s">
        <v>161</v>
      </c>
      <c r="C9" s="620">
        <f>(C4/(C4+C5))*C6*(1-C8)+(C5/(C4+C5)*C7)</f>
        <v>4.3696640831466613E-2</v>
      </c>
      <c r="D9" s="620">
        <f t="shared" ref="D9:L9" si="7">(D4/(D4+D5))*D6*(1-D8)+(D5/(D4+D5)*D7)</f>
        <v>4.3203904043198668E-2</v>
      </c>
      <c r="E9" s="620">
        <f t="shared" si="7"/>
        <v>4.5187858105752932E-2</v>
      </c>
      <c r="F9" s="620">
        <f t="shared" si="7"/>
        <v>4.3819703647836439E-2</v>
      </c>
      <c r="G9" s="620">
        <f t="shared" si="7"/>
        <v>4.4846238729767444E-2</v>
      </c>
      <c r="H9" s="620">
        <f t="shared" si="7"/>
        <v>4.5127661831054246E-2</v>
      </c>
      <c r="I9" s="620">
        <f t="shared" si="7"/>
        <v>4.5538863211814981E-2</v>
      </c>
      <c r="J9" s="620">
        <f t="shared" si="7"/>
        <v>4.6366959839898386E-2</v>
      </c>
      <c r="K9" s="620">
        <f>(K4/(K4+K5))*K6*(1-K8)+(K5/(K4+K5)*K7)</f>
        <v>4.6948909025533066E-2</v>
      </c>
      <c r="L9" s="621">
        <f t="shared" si="7"/>
        <v>4.7493391479671632E-2</v>
      </c>
    </row>
    <row r="10" spans="1:1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B11" s="11"/>
      <c r="C11" s="11"/>
      <c r="D11" s="14"/>
      <c r="E11" s="15"/>
      <c r="F11" s="15"/>
      <c r="G11" s="15"/>
      <c r="H11" s="15"/>
      <c r="I11" s="15"/>
      <c r="J11" s="15"/>
      <c r="K11" s="15"/>
      <c r="L11" s="15"/>
    </row>
    <row r="12" spans="1:12">
      <c r="A12" s="11"/>
      <c r="B12" s="112" t="s">
        <v>162</v>
      </c>
      <c r="C12" s="113">
        <v>2020</v>
      </c>
      <c r="D12" s="14"/>
      <c r="E12" s="44"/>
      <c r="F12" s="15"/>
      <c r="G12" s="15"/>
      <c r="H12" s="15"/>
      <c r="I12" s="15"/>
      <c r="J12" s="15"/>
      <c r="K12" s="15"/>
      <c r="L12" s="15"/>
    </row>
    <row r="13" spans="1:12">
      <c r="A13" s="11"/>
      <c r="B13" s="108" t="s">
        <v>163</v>
      </c>
      <c r="C13" s="109">
        <v>8.2000000000000007E-3</v>
      </c>
      <c r="D13" s="13"/>
      <c r="E13" s="53"/>
      <c r="F13" s="15"/>
      <c r="G13" s="15"/>
      <c r="H13" s="15"/>
      <c r="I13" s="15"/>
      <c r="J13" s="15"/>
      <c r="K13" s="15"/>
      <c r="L13" s="15"/>
    </row>
    <row r="14" spans="1:12">
      <c r="A14" s="11"/>
      <c r="B14" s="108" t="s">
        <v>164</v>
      </c>
      <c r="C14" s="110">
        <f>Ratios!G14</f>
        <v>4.8000000000000001E-2</v>
      </c>
      <c r="D14" s="14"/>
      <c r="E14" s="44"/>
      <c r="F14" s="15"/>
      <c r="G14" s="15"/>
      <c r="H14" s="15"/>
      <c r="I14" s="15"/>
      <c r="J14" s="15"/>
      <c r="K14" s="15"/>
      <c r="L14" s="15"/>
    </row>
    <row r="15" spans="1:12">
      <c r="A15" s="11"/>
      <c r="B15" s="108" t="s">
        <v>155</v>
      </c>
      <c r="C15" s="111">
        <v>1.22</v>
      </c>
      <c r="D15" s="14"/>
      <c r="E15" s="15"/>
      <c r="F15" s="15"/>
      <c r="G15" s="15"/>
      <c r="H15" s="15"/>
      <c r="I15" s="15"/>
      <c r="J15" s="15"/>
      <c r="K15" s="15"/>
      <c r="L15" s="15"/>
    </row>
    <row r="16" spans="1:12">
      <c r="A16" s="11"/>
      <c r="B16" s="114"/>
      <c r="C16" s="115">
        <f>C13+C15*(C14)</f>
        <v>6.676E-2</v>
      </c>
      <c r="D16" s="14"/>
      <c r="E16" s="15"/>
      <c r="F16" s="15"/>
      <c r="G16" s="15"/>
      <c r="H16" s="15"/>
      <c r="I16" s="15"/>
      <c r="J16" s="15"/>
      <c r="K16" s="15"/>
      <c r="L16" s="15"/>
    </row>
    <row r="17" spans="1:12">
      <c r="A17" s="11"/>
      <c r="B17" s="13"/>
      <c r="C17" s="11"/>
      <c r="D17" s="14"/>
      <c r="E17" s="15"/>
      <c r="F17" s="15"/>
      <c r="G17" s="15"/>
      <c r="H17" s="15"/>
      <c r="I17" s="15"/>
      <c r="J17" s="15"/>
      <c r="K17" s="15"/>
      <c r="L17" s="15"/>
    </row>
    <row r="18" spans="1:12">
      <c r="A18" s="11"/>
      <c r="B18" s="11"/>
      <c r="C18" s="11"/>
      <c r="D18" s="11"/>
    </row>
    <row r="19" spans="1:12">
      <c r="A19" s="11"/>
    </row>
    <row r="21" spans="1:12">
      <c r="E21" s="54"/>
    </row>
    <row r="23" spans="1:12">
      <c r="D23" s="47"/>
    </row>
  </sheetData>
  <mergeCells count="1">
    <mergeCell ref="C2:K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topLeftCell="K1" zoomScale="75" workbookViewId="0">
      <selection activeCell="L16" sqref="L16:R21"/>
    </sheetView>
  </sheetViews>
  <sheetFormatPr defaultColWidth="10.84375" defaultRowHeight="14.6"/>
  <cols>
    <col min="3" max="3" width="35" bestFit="1" customWidth="1"/>
    <col min="4" max="4" width="20.15234375" customWidth="1"/>
    <col min="5" max="7" width="13.3046875" bestFit="1" customWidth="1"/>
    <col min="8" max="8" width="14.84375" bestFit="1" customWidth="1"/>
    <col min="9" max="9" width="11.4609375" bestFit="1" customWidth="1"/>
    <col min="10" max="10" width="13.84375" customWidth="1"/>
    <col min="11" max="11" width="15.4609375" customWidth="1"/>
    <col min="12" max="12" width="26.69140625" customWidth="1"/>
    <col min="13" max="13" width="18" customWidth="1"/>
    <col min="14" max="14" width="16.84375" customWidth="1"/>
    <col min="15" max="15" width="16.4609375" customWidth="1"/>
    <col min="16" max="16" width="17.15234375" customWidth="1"/>
    <col min="17" max="17" width="15" customWidth="1"/>
    <col min="18" max="18" width="12.84375" customWidth="1"/>
  </cols>
  <sheetData>
    <row r="1" spans="1:19">
      <c r="B1" s="6"/>
      <c r="C1" s="6"/>
      <c r="D1" s="6"/>
      <c r="E1" s="6"/>
      <c r="F1" s="6"/>
      <c r="G1" s="6"/>
      <c r="H1" s="6"/>
      <c r="I1" s="6"/>
      <c r="J1" s="32"/>
    </row>
    <row r="2" spans="1:19">
      <c r="B2" s="6"/>
      <c r="C2" s="698"/>
      <c r="D2" s="698"/>
      <c r="E2" s="698"/>
      <c r="F2" s="698"/>
      <c r="G2" s="698"/>
      <c r="H2" s="698"/>
      <c r="I2" s="698"/>
      <c r="J2" s="32"/>
      <c r="K2" s="32"/>
      <c r="L2" s="352"/>
      <c r="M2" s="352"/>
      <c r="N2" s="352"/>
      <c r="O2" s="352"/>
      <c r="P2" s="352"/>
      <c r="Q2" s="352"/>
      <c r="R2" s="352"/>
      <c r="S2" s="173"/>
    </row>
    <row r="3" spans="1:19">
      <c r="B3" s="6"/>
      <c r="C3" s="23"/>
      <c r="D3" s="367"/>
      <c r="E3" s="698"/>
      <c r="F3" s="698"/>
      <c r="G3" s="698"/>
      <c r="H3" s="698"/>
      <c r="I3" s="698"/>
      <c r="J3" s="32"/>
      <c r="K3" s="32"/>
      <c r="L3" s="353"/>
      <c r="M3" s="173"/>
      <c r="N3" s="354"/>
      <c r="O3" s="354"/>
      <c r="P3" s="354"/>
      <c r="Q3" s="354"/>
      <c r="R3" s="354"/>
      <c r="S3" s="173"/>
    </row>
    <row r="4" spans="1:19">
      <c r="B4" s="6"/>
      <c r="C4" s="23"/>
      <c r="D4" s="367"/>
      <c r="E4" s="367"/>
      <c r="F4" s="367"/>
      <c r="G4" s="367"/>
      <c r="H4" s="367"/>
      <c r="I4" s="367"/>
      <c r="J4" s="32"/>
      <c r="K4" s="32"/>
      <c r="L4" s="355"/>
      <c r="M4" s="356"/>
      <c r="N4" s="357"/>
      <c r="O4" s="357"/>
      <c r="P4" s="357"/>
      <c r="Q4" s="357"/>
      <c r="R4" s="357"/>
      <c r="S4" s="173"/>
    </row>
    <row r="5" spans="1:19">
      <c r="B5" s="6"/>
      <c r="C5" s="23"/>
      <c r="D5" s="365"/>
      <c r="E5" s="77"/>
      <c r="F5" s="77"/>
      <c r="G5" s="77"/>
      <c r="H5" s="77"/>
      <c r="I5" s="77"/>
      <c r="J5" s="32"/>
      <c r="K5" s="32"/>
      <c r="L5" s="353"/>
      <c r="M5" s="173"/>
      <c r="N5" s="354"/>
      <c r="O5" s="354"/>
      <c r="P5" s="354"/>
      <c r="Q5" s="354"/>
      <c r="R5" s="354"/>
      <c r="S5" s="173"/>
    </row>
    <row r="6" spans="1:19">
      <c r="B6" s="6"/>
      <c r="C6" s="23"/>
      <c r="D6" s="365"/>
      <c r="E6" s="363"/>
      <c r="F6" s="363"/>
      <c r="G6" s="363"/>
      <c r="H6" s="363"/>
      <c r="I6" s="363"/>
      <c r="J6" s="32"/>
      <c r="K6" s="32"/>
      <c r="L6" s="356"/>
      <c r="M6" s="356"/>
      <c r="N6" s="358"/>
      <c r="O6" s="358"/>
      <c r="P6" s="358"/>
      <c r="Q6" s="358"/>
      <c r="R6" s="358"/>
      <c r="S6" s="173"/>
    </row>
    <row r="7" spans="1:19">
      <c r="B7" s="6"/>
      <c r="C7" s="23"/>
      <c r="D7" s="365"/>
      <c r="E7" s="364"/>
      <c r="F7" s="364"/>
      <c r="G7" s="364"/>
      <c r="H7" s="364"/>
      <c r="I7" s="364"/>
      <c r="J7" s="32"/>
      <c r="K7" s="32"/>
      <c r="L7" s="353"/>
      <c r="M7" s="173"/>
      <c r="N7" s="359"/>
      <c r="O7" s="359"/>
      <c r="P7" s="359"/>
      <c r="Q7" s="359"/>
      <c r="R7" s="359"/>
      <c r="S7" s="173"/>
    </row>
    <row r="8" spans="1:19">
      <c r="B8" s="6"/>
      <c r="C8" s="23"/>
      <c r="D8" s="365"/>
      <c r="E8" s="365"/>
      <c r="F8" s="365"/>
      <c r="G8" s="365"/>
      <c r="H8" s="77"/>
      <c r="I8" s="365"/>
      <c r="J8" s="32"/>
      <c r="K8" s="32"/>
      <c r="L8" s="356"/>
      <c r="M8" s="356"/>
      <c r="N8" s="356"/>
      <c r="O8" s="356"/>
      <c r="P8" s="356"/>
      <c r="Q8" s="356"/>
      <c r="R8" s="356"/>
      <c r="S8" s="173"/>
    </row>
    <row r="9" spans="1:19">
      <c r="B9" s="6"/>
      <c r="C9" s="23"/>
      <c r="D9" s="365"/>
      <c r="E9" s="365"/>
      <c r="F9" s="365"/>
      <c r="G9" s="365"/>
      <c r="H9" s="77"/>
      <c r="I9" s="365"/>
      <c r="J9" s="32"/>
      <c r="K9" s="32"/>
      <c r="L9" s="353"/>
      <c r="M9" s="173"/>
      <c r="N9" s="173"/>
      <c r="O9" s="173"/>
      <c r="P9" s="173"/>
      <c r="Q9" s="360"/>
      <c r="R9" s="173"/>
      <c r="S9" s="173"/>
    </row>
    <row r="10" spans="1:19">
      <c r="B10" s="6"/>
      <c r="C10" s="23"/>
      <c r="D10" s="365"/>
      <c r="E10" s="366"/>
      <c r="F10" s="366"/>
      <c r="G10" s="366"/>
      <c r="H10" s="366"/>
      <c r="I10" s="368"/>
      <c r="J10" s="32"/>
      <c r="K10" s="32"/>
      <c r="L10" s="356"/>
      <c r="M10" s="356"/>
      <c r="N10" s="356"/>
      <c r="O10" s="356"/>
      <c r="P10" s="356"/>
      <c r="Q10" s="361"/>
      <c r="R10" s="356"/>
      <c r="S10" s="173"/>
    </row>
    <row r="11" spans="1:19">
      <c r="B11" s="6"/>
      <c r="C11" s="23"/>
      <c r="D11" s="369"/>
      <c r="E11" s="365"/>
      <c r="F11" s="365"/>
      <c r="G11" s="365"/>
      <c r="H11" s="365"/>
      <c r="I11" s="365"/>
      <c r="J11" s="32"/>
      <c r="K11" s="32"/>
      <c r="L11" s="353"/>
      <c r="M11" s="173"/>
      <c r="N11" s="359"/>
      <c r="O11" s="359"/>
      <c r="P11" s="359"/>
      <c r="Q11" s="359"/>
      <c r="R11" s="173"/>
      <c r="S11" s="173"/>
    </row>
    <row r="12" spans="1:19" ht="15.9">
      <c r="A12" s="55"/>
      <c r="B12" s="6"/>
      <c r="C12" s="119"/>
      <c r="D12" s="6"/>
      <c r="E12" s="6"/>
      <c r="F12" s="6"/>
      <c r="G12" s="6"/>
      <c r="H12" s="6"/>
      <c r="I12" s="6"/>
      <c r="J12" s="6"/>
      <c r="K12" s="32"/>
      <c r="L12" s="352"/>
      <c r="M12" s="362"/>
      <c r="N12" s="356"/>
      <c r="O12" s="356"/>
      <c r="P12" s="356"/>
      <c r="Q12" s="356"/>
      <c r="R12" s="356"/>
      <c r="S12" s="173"/>
    </row>
    <row r="13" spans="1:19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32"/>
      <c r="L13" s="32"/>
      <c r="M13" s="32"/>
      <c r="N13" s="32"/>
      <c r="O13" s="32"/>
      <c r="P13" s="32"/>
      <c r="Q13" s="32"/>
      <c r="R13" s="32"/>
      <c r="S13" s="32"/>
    </row>
    <row r="14" spans="1:19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9" ht="15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9">
      <c r="A16" s="55"/>
      <c r="B16" s="55"/>
      <c r="C16" s="681" t="s">
        <v>136</v>
      </c>
      <c r="D16" s="683"/>
      <c r="E16" s="683"/>
      <c r="F16" s="683"/>
      <c r="G16" s="683"/>
      <c r="H16" s="683"/>
      <c r="I16" s="682"/>
      <c r="J16" s="55"/>
      <c r="L16" s="665" t="s">
        <v>354</v>
      </c>
      <c r="M16" s="336" t="s">
        <v>260</v>
      </c>
      <c r="N16" s="337" t="s">
        <v>261</v>
      </c>
      <c r="O16" s="336" t="s">
        <v>262</v>
      </c>
      <c r="P16" s="336" t="s">
        <v>264</v>
      </c>
      <c r="Q16" s="338" t="s">
        <v>256</v>
      </c>
      <c r="R16" s="339" t="s">
        <v>157</v>
      </c>
    </row>
    <row r="17" spans="1:18">
      <c r="A17" s="55"/>
      <c r="B17" s="55"/>
      <c r="C17" s="98"/>
      <c r="D17" s="181"/>
      <c r="E17" s="696" t="s">
        <v>165</v>
      </c>
      <c r="F17" s="696"/>
      <c r="G17" s="696"/>
      <c r="H17" s="696"/>
      <c r="I17" s="697"/>
      <c r="J17" s="55"/>
      <c r="L17" s="318" t="s">
        <v>257</v>
      </c>
      <c r="M17" s="340">
        <v>19.399999999999999</v>
      </c>
      <c r="N17" s="340">
        <v>9.9</v>
      </c>
      <c r="O17" s="340">
        <v>13.67</v>
      </c>
      <c r="P17" s="340">
        <v>13.64</v>
      </c>
      <c r="Q17" s="340">
        <f>AVERAGE(M17:P17)</f>
        <v>14.1525</v>
      </c>
      <c r="R17" s="331">
        <f>Q17*' Adj. income statement'!O20</f>
        <v>5039662.7924999995</v>
      </c>
    </row>
    <row r="18" spans="1:18">
      <c r="A18" s="55"/>
      <c r="B18" s="55"/>
      <c r="C18" s="114"/>
      <c r="D18" s="182">
        <v>0</v>
      </c>
      <c r="E18" s="182">
        <v>1</v>
      </c>
      <c r="F18" s="182">
        <v>2</v>
      </c>
      <c r="G18" s="182">
        <v>3</v>
      </c>
      <c r="H18" s="182">
        <v>4</v>
      </c>
      <c r="I18" s="183">
        <v>5</v>
      </c>
      <c r="J18" s="55"/>
      <c r="L18" s="341" t="s">
        <v>258</v>
      </c>
      <c r="M18" s="371">
        <v>1.31</v>
      </c>
      <c r="N18" s="371">
        <v>3.87</v>
      </c>
      <c r="O18" s="371">
        <v>2.71</v>
      </c>
      <c r="P18" s="371">
        <v>4.1399999999999997</v>
      </c>
      <c r="Q18" s="371">
        <f>AVERAGE(M18:P18)</f>
        <v>3.0074999999999998</v>
      </c>
      <c r="R18" s="342">
        <f>Q18*'Adj. balance sheet'!AI33</f>
        <v>3562687.5074999998</v>
      </c>
    </row>
    <row r="19" spans="1:18">
      <c r="C19" s="176" t="s">
        <v>136</v>
      </c>
      <c r="D19" s="177"/>
      <c r="E19" s="184">
        <f>'Cash flow'!H8</f>
        <v>226232.44116578798</v>
      </c>
      <c r="F19" s="184">
        <f>'Cash flow'!I8</f>
        <v>244567.66833677742</v>
      </c>
      <c r="G19" s="184">
        <f>'Cash flow'!J8</f>
        <v>294525.5290710713</v>
      </c>
      <c r="H19" s="184">
        <f>'Cash flow'!K8</f>
        <v>269387.92110417027</v>
      </c>
      <c r="I19" s="185">
        <f>'Cash flow'!L8</f>
        <v>263504.93061756372</v>
      </c>
      <c r="L19" s="343" t="s">
        <v>259</v>
      </c>
      <c r="M19" s="96">
        <v>11.97</v>
      </c>
      <c r="N19" s="96">
        <v>9.07</v>
      </c>
      <c r="O19" s="96">
        <v>8.73</v>
      </c>
      <c r="P19" s="96">
        <v>10.46</v>
      </c>
      <c r="Q19" s="96">
        <f>AVERAGE(M19:P19)</f>
        <v>10.057500000000001</v>
      </c>
      <c r="R19" s="344">
        <f>Q19*' Adj. income statement'!O10</f>
        <v>8283045.2175000012</v>
      </c>
    </row>
    <row r="20" spans="1:18">
      <c r="C20" s="176" t="s">
        <v>161</v>
      </c>
      <c r="D20" s="177"/>
      <c r="E20" s="382">
        <f>'Cost of capital'!H9</f>
        <v>4.5127661831054246E-2</v>
      </c>
      <c r="F20" s="382">
        <f>'Cost of capital'!I9</f>
        <v>4.5538863211814981E-2</v>
      </c>
      <c r="G20" s="382">
        <f>'Cost of capital'!J9</f>
        <v>4.6366959839898386E-2</v>
      </c>
      <c r="H20" s="382">
        <f>'Cost of capital'!K9</f>
        <v>4.6948909025533066E-2</v>
      </c>
      <c r="I20" s="109">
        <f>'Cost of capital'!L9</f>
        <v>4.7493391479671632E-2</v>
      </c>
      <c r="L20" s="345" t="s">
        <v>171</v>
      </c>
      <c r="M20" s="346"/>
      <c r="N20" s="346"/>
      <c r="O20" s="346"/>
      <c r="P20" s="346"/>
      <c r="Q20" s="346"/>
      <c r="R20" s="347">
        <f>AVERAGE(R17:R19)</f>
        <v>5628465.1724999994</v>
      </c>
    </row>
    <row r="21" spans="1:18" ht="15" thickBot="1">
      <c r="C21" s="176" t="s">
        <v>166</v>
      </c>
      <c r="D21" s="178"/>
      <c r="E21" s="186">
        <f>1/(1+E20)^(E18)</f>
        <v>0.95682090956047317</v>
      </c>
      <c r="F21" s="186">
        <f t="shared" ref="F21:I21" si="0">1/(1+F20)^F18</f>
        <v>0.91478627321846351</v>
      </c>
      <c r="G21" s="186">
        <f t="shared" si="0"/>
        <v>0.87286674209924964</v>
      </c>
      <c r="H21" s="186">
        <f t="shared" si="0"/>
        <v>0.83233478538065964</v>
      </c>
      <c r="I21" s="111">
        <f t="shared" si="0"/>
        <v>0.79294586978480275</v>
      </c>
      <c r="L21" s="348" t="s">
        <v>172</v>
      </c>
      <c r="M21" s="349"/>
      <c r="N21" s="349"/>
      <c r="O21" s="349"/>
      <c r="P21" s="349"/>
      <c r="Q21" s="349"/>
      <c r="R21" s="350">
        <f>(R20*1000)/M28</f>
        <v>138.478108969033</v>
      </c>
    </row>
    <row r="22" spans="1:18">
      <c r="C22" s="176" t="s">
        <v>272</v>
      </c>
      <c r="D22" s="178"/>
      <c r="E22" s="187"/>
      <c r="F22" s="187"/>
      <c r="G22" s="187"/>
      <c r="H22" s="187">
        <f>I19/(I20-' Adj. income statement'!T34)</f>
        <v>7028036.6810890464</v>
      </c>
      <c r="I22" s="179"/>
    </row>
    <row r="23" spans="1:18">
      <c r="C23" s="176" t="s">
        <v>271</v>
      </c>
      <c r="D23" s="178"/>
      <c r="E23" s="187"/>
      <c r="F23" s="187"/>
      <c r="G23" s="187"/>
      <c r="H23" s="187">
        <f>H21*H22</f>
        <v>5849679.4026016546</v>
      </c>
      <c r="I23" s="179"/>
    </row>
    <row r="24" spans="1:18">
      <c r="C24" s="176" t="s">
        <v>273</v>
      </c>
      <c r="D24" s="178"/>
      <c r="E24" s="187">
        <f>E19*E21</f>
        <v>216463.93012833549</v>
      </c>
      <c r="F24" s="187">
        <f t="shared" ref="F24:H24" si="1">F19*F21</f>
        <v>223727.14586752985</v>
      </c>
      <c r="G24" s="187">
        <f t="shared" si="1"/>
        <v>257081.53902532384</v>
      </c>
      <c r="H24" s="187">
        <f t="shared" si="1"/>
        <v>224220.93749638164</v>
      </c>
      <c r="I24" s="179"/>
    </row>
    <row r="25" spans="1:18">
      <c r="C25" s="176" t="s">
        <v>270</v>
      </c>
      <c r="D25" s="180">
        <f>E24+F24+G24+H24+H23</f>
        <v>6771172.9551192252</v>
      </c>
      <c r="E25" s="127"/>
      <c r="F25" s="187"/>
      <c r="G25" s="187"/>
      <c r="H25" s="187"/>
      <c r="I25" s="179"/>
    </row>
    <row r="26" spans="1:18">
      <c r="C26" s="176" t="s">
        <v>54</v>
      </c>
      <c r="D26" s="178">
        <f>'Adj. balance sheet'!AI43</f>
        <v>1210425</v>
      </c>
      <c r="E26" s="187"/>
      <c r="F26" s="187"/>
      <c r="G26" s="187"/>
      <c r="H26" s="187"/>
      <c r="I26" s="179"/>
      <c r="L26" s="55"/>
    </row>
    <row r="27" spans="1:18">
      <c r="C27" s="194" t="s">
        <v>274</v>
      </c>
      <c r="D27" s="191">
        <f>D25-D26</f>
        <v>5560747.9551192252</v>
      </c>
      <c r="E27" s="192"/>
      <c r="F27" s="192"/>
      <c r="G27" s="192"/>
      <c r="H27" s="192"/>
      <c r="I27" s="193"/>
      <c r="L27" s="55"/>
    </row>
    <row r="28" spans="1:18">
      <c r="C28" s="385" t="s">
        <v>172</v>
      </c>
      <c r="D28" s="386">
        <f>(D27*1000)/M28</f>
        <v>136.81205047526259</v>
      </c>
      <c r="L28" s="385" t="s">
        <v>205</v>
      </c>
      <c r="M28" s="388">
        <v>40645162</v>
      </c>
      <c r="O28" s="16" t="s">
        <v>279</v>
      </c>
      <c r="Q28" s="16" t="s">
        <v>269</v>
      </c>
    </row>
    <row r="29" spans="1:18">
      <c r="L29" s="194" t="s">
        <v>221</v>
      </c>
      <c r="M29" s="395">
        <f>(D27*1000)/M28</f>
        <v>136.81205047526259</v>
      </c>
      <c r="O29">
        <v>95.4</v>
      </c>
      <c r="P29" s="469" t="s">
        <v>136</v>
      </c>
      <c r="Q29" s="47">
        <f>(M29-O29)/O29</f>
        <v>0.43408857940526818</v>
      </c>
    </row>
    <row r="30" spans="1:18">
      <c r="L30" s="390" t="s">
        <v>222</v>
      </c>
      <c r="M30" s="396">
        <f>(D46*1000)/M28</f>
        <v>88.313285343781857</v>
      </c>
      <c r="O30" s="351"/>
      <c r="P30" s="469" t="s">
        <v>167</v>
      </c>
      <c r="Q30" s="47">
        <f>(M30-O29)/O29</f>
        <v>-7.4284220715074928E-2</v>
      </c>
    </row>
    <row r="31" spans="1:18">
      <c r="M31" s="42"/>
      <c r="O31" s="351"/>
      <c r="P31" s="469" t="s">
        <v>268</v>
      </c>
      <c r="Q31" s="47">
        <f>(M32-O29)/O29</f>
        <v>0.45155250491648841</v>
      </c>
    </row>
    <row r="32" spans="1:18">
      <c r="C32" s="695" t="s">
        <v>167</v>
      </c>
      <c r="D32" s="683"/>
      <c r="E32" s="683"/>
      <c r="F32" s="683"/>
      <c r="G32" s="683"/>
      <c r="H32" s="683"/>
      <c r="I32" s="682"/>
      <c r="L32" s="391" t="s">
        <v>263</v>
      </c>
      <c r="M32" s="397">
        <f>R21</f>
        <v>138.478108969033</v>
      </c>
      <c r="N32" s="47"/>
      <c r="O32" s="387"/>
      <c r="P32" s="394"/>
    </row>
    <row r="33" spans="2:15">
      <c r="C33" s="98"/>
      <c r="D33" s="181"/>
      <c r="E33" s="696" t="s">
        <v>165</v>
      </c>
      <c r="F33" s="696"/>
      <c r="G33" s="696"/>
      <c r="H33" s="696"/>
      <c r="I33" s="697"/>
      <c r="L33" s="392"/>
      <c r="M33" s="389"/>
      <c r="O33" s="394"/>
    </row>
    <row r="34" spans="2:15">
      <c r="C34" s="114"/>
      <c r="D34" s="182">
        <v>0</v>
      </c>
      <c r="E34" s="182">
        <v>1</v>
      </c>
      <c r="F34" s="182">
        <v>2</v>
      </c>
      <c r="G34" s="182">
        <v>3</v>
      </c>
      <c r="H34" s="182">
        <v>4</v>
      </c>
      <c r="I34" s="183">
        <v>5</v>
      </c>
      <c r="L34" s="385" t="s">
        <v>227</v>
      </c>
      <c r="M34" s="393">
        <f>AVERAGE(M29:M32)</f>
        <v>121.20114826269248</v>
      </c>
      <c r="O34" s="394"/>
    </row>
    <row r="35" spans="2:15">
      <c r="C35" s="93" t="s">
        <v>12</v>
      </c>
      <c r="D35" s="190"/>
      <c r="E35" s="184">
        <f>' Adj. income statement'!P16</f>
        <v>306901.14377099939</v>
      </c>
      <c r="F35" s="184">
        <f>' Adj. income statement'!Q16</f>
        <v>310610.17670206632</v>
      </c>
      <c r="G35" s="184">
        <f>' Adj. income statement'!R16</f>
        <v>310282.78273775033</v>
      </c>
      <c r="H35" s="184">
        <f>' Adj. income statement'!S16</f>
        <v>311669.29255818704</v>
      </c>
      <c r="I35" s="185">
        <f>' Adj. income statement'!T16</f>
        <v>305534.51418269984</v>
      </c>
      <c r="L35" s="55"/>
      <c r="O35" s="47">
        <f>(M29-M32)/M32</f>
        <v>-1.2031204832115215E-2</v>
      </c>
    </row>
    <row r="36" spans="2:15">
      <c r="B36" s="55"/>
      <c r="C36" s="93" t="s">
        <v>161</v>
      </c>
      <c r="D36" s="177"/>
      <c r="E36" s="382">
        <f>E20</f>
        <v>4.5127661831054246E-2</v>
      </c>
      <c r="F36" s="382">
        <f>F20</f>
        <v>4.5538863211814981E-2</v>
      </c>
      <c r="G36" s="382">
        <f>G20</f>
        <v>4.6366959839898386E-2</v>
      </c>
      <c r="H36" s="382">
        <f>H20</f>
        <v>4.6948909025533066E-2</v>
      </c>
      <c r="I36" s="109">
        <f>I20</f>
        <v>4.7493391479671632E-2</v>
      </c>
      <c r="L36" s="92"/>
      <c r="M36" s="351"/>
      <c r="N36" s="351"/>
    </row>
    <row r="37" spans="2:15">
      <c r="B37" s="55"/>
      <c r="C37" s="93" t="s">
        <v>168</v>
      </c>
      <c r="D37" s="177"/>
      <c r="E37" s="184">
        <f>'Adj. balance sheet'!AI23</f>
        <v>2395028</v>
      </c>
      <c r="F37" s="184">
        <f>'Adj. balance sheet'!AJ23</f>
        <v>2475696.7026052112</v>
      </c>
      <c r="G37" s="184">
        <f>'Adj. balance sheet'!AK23</f>
        <v>2541739.2109705</v>
      </c>
      <c r="H37" s="184">
        <f>'Adj. balance sheet'!AL23</f>
        <v>2557496.4646371789</v>
      </c>
      <c r="I37" s="185">
        <f>'Adj. balance sheet'!AM23</f>
        <v>2599777.8360911962</v>
      </c>
      <c r="L37" s="46"/>
      <c r="M37" s="45">
        <f>M29-M32</f>
        <v>-1.6660584937704073</v>
      </c>
    </row>
    <row r="38" spans="2:15">
      <c r="B38" s="55"/>
      <c r="C38" s="93" t="s">
        <v>169</v>
      </c>
      <c r="D38" s="177"/>
      <c r="E38" s="196">
        <f>E36*E37</f>
        <v>108082.0136599062</v>
      </c>
      <c r="F38" s="196">
        <f t="shared" ref="F38:I38" si="2">F36*F37</f>
        <v>112740.4134938801</v>
      </c>
      <c r="G38" s="196">
        <f t="shared" si="2"/>
        <v>117852.71991856418</v>
      </c>
      <c r="H38" s="196">
        <f t="shared" si="2"/>
        <v>120071.66885137335</v>
      </c>
      <c r="I38" s="188">
        <f t="shared" si="2"/>
        <v>123472.26652965277</v>
      </c>
      <c r="L38" s="47"/>
    </row>
    <row r="39" spans="2:15">
      <c r="B39" s="55"/>
      <c r="C39" s="93" t="s">
        <v>167</v>
      </c>
      <c r="D39" s="177"/>
      <c r="E39" s="184">
        <f>E35-E38</f>
        <v>198819.1301110932</v>
      </c>
      <c r="F39" s="184">
        <f t="shared" ref="F39:H39" si="3">F35-F38</f>
        <v>197869.76320818622</v>
      </c>
      <c r="G39" s="184">
        <f t="shared" si="3"/>
        <v>192430.06281918613</v>
      </c>
      <c r="H39" s="184">
        <f t="shared" si="3"/>
        <v>191597.62370681367</v>
      </c>
      <c r="I39" s="185">
        <f>I35-I38</f>
        <v>182062.24765304709</v>
      </c>
      <c r="L39" s="54"/>
    </row>
    <row r="40" spans="2:15">
      <c r="B40" s="55"/>
      <c r="C40" s="93" t="s">
        <v>170</v>
      </c>
      <c r="D40" s="177"/>
      <c r="E40" s="197">
        <f>1/(1+E36)^E34</f>
        <v>0.95682090956047317</v>
      </c>
      <c r="F40" s="197">
        <f t="shared" ref="F40:I40" si="4">1/(1+F36)^F34</f>
        <v>0.91478627321846351</v>
      </c>
      <c r="G40" s="197">
        <f>1/(1+G36)^G34</f>
        <v>0.87286674209924964</v>
      </c>
      <c r="H40" s="197">
        <f t="shared" si="4"/>
        <v>0.83233478538065964</v>
      </c>
      <c r="I40" s="189">
        <f t="shared" si="4"/>
        <v>0.79294586978480275</v>
      </c>
    </row>
    <row r="41" spans="2:15">
      <c r="B41" s="55"/>
      <c r="C41" s="93" t="s">
        <v>275</v>
      </c>
      <c r="D41" s="178"/>
      <c r="E41" s="187"/>
      <c r="F41" s="187"/>
      <c r="G41" s="187"/>
      <c r="H41" s="187">
        <f>I39/(H36-' Adj. income statement'!T34)</f>
        <v>4927405.2321067266</v>
      </c>
      <c r="I41" s="179"/>
    </row>
    <row r="42" spans="2:15">
      <c r="B42" s="55"/>
      <c r="C42" s="93" t="s">
        <v>276</v>
      </c>
      <c r="D42" s="178"/>
      <c r="E42" s="187"/>
      <c r="F42" s="187"/>
      <c r="G42" s="187"/>
      <c r="H42" s="187">
        <f>H41*H40</f>
        <v>4101250.7763490919</v>
      </c>
      <c r="I42" s="179"/>
    </row>
    <row r="43" spans="2:15">
      <c r="B43" s="55"/>
      <c r="C43" s="93" t="s">
        <v>277</v>
      </c>
      <c r="D43" s="178"/>
      <c r="E43" s="187">
        <f>E39*E40</f>
        <v>190234.30091091825</v>
      </c>
      <c r="F43" s="187">
        <f t="shared" ref="F43:H43" si="5">F39*F40</f>
        <v>181008.54326783653</v>
      </c>
      <c r="G43" s="187">
        <f>G39*G40</f>
        <v>167965.80201493695</v>
      </c>
      <c r="H43" s="187">
        <f t="shared" si="5"/>
        <v>159473.36700745515</v>
      </c>
      <c r="I43" s="179"/>
    </row>
    <row r="44" spans="2:15">
      <c r="B44" s="55"/>
      <c r="C44" s="93" t="s">
        <v>270</v>
      </c>
      <c r="D44" s="180">
        <f>E43+F43+G43+H43+H42</f>
        <v>4799932.7895502392</v>
      </c>
      <c r="E44" s="127"/>
      <c r="F44" s="187"/>
      <c r="G44" s="187"/>
      <c r="H44" s="187"/>
      <c r="I44" s="179"/>
    </row>
    <row r="45" spans="2:15">
      <c r="B45" s="55"/>
      <c r="C45" s="93" t="s">
        <v>54</v>
      </c>
      <c r="D45" s="178">
        <f>D26</f>
        <v>1210425</v>
      </c>
      <c r="E45" s="127"/>
      <c r="F45" s="187"/>
      <c r="G45" s="187"/>
      <c r="H45" s="187"/>
      <c r="I45" s="179"/>
    </row>
    <row r="46" spans="2:15">
      <c r="B46" s="55"/>
      <c r="C46" s="114" t="s">
        <v>278</v>
      </c>
      <c r="D46" s="191">
        <f>D44-D45</f>
        <v>3589507.7895502392</v>
      </c>
      <c r="E46" s="161"/>
      <c r="F46" s="192"/>
      <c r="G46" s="192"/>
      <c r="H46" s="192"/>
      <c r="I46" s="193"/>
    </row>
    <row r="47" spans="2:15">
      <c r="B47" s="55"/>
      <c r="C47" s="385" t="s">
        <v>267</v>
      </c>
      <c r="D47" s="386">
        <f>(D46*1000)/M28</f>
        <v>88.313285343781857</v>
      </c>
    </row>
    <row r="48" spans="2:15">
      <c r="B48" s="55"/>
    </row>
    <row r="49" spans="2:10">
      <c r="B49" s="6"/>
      <c r="C49" s="6"/>
      <c r="D49" s="6"/>
      <c r="E49" s="6"/>
      <c r="F49" s="6"/>
      <c r="G49" s="6"/>
      <c r="H49" s="6"/>
      <c r="I49" s="6"/>
      <c r="J49" s="6"/>
    </row>
    <row r="50" spans="2:10">
      <c r="B50" s="6"/>
      <c r="C50" s="398"/>
      <c r="D50" s="398"/>
      <c r="E50" s="398"/>
      <c r="F50" s="398"/>
      <c r="G50" s="398"/>
      <c r="H50" s="398"/>
      <c r="I50" s="398"/>
      <c r="J50" s="6"/>
    </row>
    <row r="51" spans="2:10">
      <c r="B51" s="6"/>
      <c r="C51" s="6"/>
      <c r="D51" s="6"/>
      <c r="E51" s="6"/>
      <c r="F51" s="6"/>
      <c r="G51" s="6"/>
      <c r="H51" s="6"/>
      <c r="I51" s="6"/>
      <c r="J51" s="6"/>
    </row>
    <row r="52" spans="2:10">
      <c r="B52" s="6"/>
      <c r="C52" s="398"/>
      <c r="D52" s="398"/>
      <c r="E52" s="399"/>
      <c r="F52" s="399"/>
      <c r="G52" s="399"/>
      <c r="H52" s="399"/>
      <c r="I52" s="399"/>
      <c r="J52" s="6"/>
    </row>
    <row r="53" spans="2:10">
      <c r="B53" s="6"/>
      <c r="C53" s="6"/>
      <c r="D53" s="6"/>
      <c r="E53" s="400"/>
      <c r="F53" s="400"/>
      <c r="G53" s="400"/>
      <c r="H53" s="400"/>
      <c r="I53" s="400"/>
      <c r="J53" s="6"/>
    </row>
    <row r="54" spans="2:10">
      <c r="B54" s="6"/>
      <c r="C54" s="398"/>
      <c r="D54" s="398"/>
      <c r="E54" s="398"/>
      <c r="F54" s="398"/>
      <c r="G54" s="398"/>
      <c r="H54" s="398"/>
      <c r="I54" s="398"/>
      <c r="J54" s="6"/>
    </row>
    <row r="55" spans="2:10">
      <c r="B55" s="6"/>
      <c r="C55" s="6"/>
      <c r="D55" s="6"/>
      <c r="E55" s="6"/>
      <c r="F55" s="6"/>
      <c r="G55" s="6"/>
      <c r="H55" s="401"/>
      <c r="I55" s="6"/>
      <c r="J55" s="6"/>
    </row>
    <row r="56" spans="2:10">
      <c r="B56" s="6"/>
      <c r="C56" s="398"/>
      <c r="D56" s="398"/>
      <c r="E56" s="398"/>
      <c r="F56" s="398"/>
      <c r="G56" s="398"/>
      <c r="H56" s="399"/>
      <c r="I56" s="398"/>
      <c r="J56" s="6"/>
    </row>
    <row r="57" spans="2:10">
      <c r="B57" s="6"/>
      <c r="C57" s="6"/>
      <c r="D57" s="6"/>
      <c r="E57" s="401"/>
      <c r="F57" s="401"/>
      <c r="G57" s="401"/>
      <c r="H57" s="401"/>
      <c r="I57" s="6"/>
      <c r="J57" s="6"/>
    </row>
    <row r="58" spans="2:10">
      <c r="B58" s="6"/>
      <c r="C58" s="398"/>
      <c r="D58" s="399"/>
      <c r="E58" s="398"/>
      <c r="F58" s="398"/>
      <c r="G58" s="398"/>
      <c r="H58" s="398"/>
      <c r="I58" s="398"/>
      <c r="J58" s="6"/>
    </row>
    <row r="59" spans="2:10">
      <c r="B59" s="6"/>
      <c r="C59" s="23"/>
      <c r="D59" s="372"/>
      <c r="E59" s="372"/>
      <c r="F59" s="372"/>
      <c r="G59" s="6"/>
      <c r="H59" s="6"/>
      <c r="I59" s="6"/>
      <c r="J59" s="6"/>
    </row>
    <row r="60" spans="2:10">
      <c r="B60" s="6"/>
      <c r="C60" s="173"/>
      <c r="D60" s="373"/>
      <c r="E60" s="374"/>
      <c r="F60" s="375"/>
      <c r="G60" s="6"/>
      <c r="H60" s="6"/>
      <c r="I60" s="6"/>
      <c r="J60" s="6"/>
    </row>
    <row r="61" spans="2:10">
      <c r="B61" s="6"/>
      <c r="C61" s="173"/>
      <c r="D61" s="373"/>
      <c r="E61" s="374"/>
      <c r="F61" s="375"/>
      <c r="G61" s="6"/>
      <c r="H61" s="6"/>
      <c r="I61" s="6"/>
      <c r="J61" s="6"/>
    </row>
    <row r="62" spans="2:10">
      <c r="B62" s="6"/>
      <c r="C62" s="173"/>
      <c r="D62" s="373"/>
      <c r="E62" s="374"/>
      <c r="F62" s="375"/>
      <c r="G62" s="6"/>
      <c r="H62" s="6"/>
      <c r="I62" s="6"/>
      <c r="J62" s="6"/>
    </row>
    <row r="63" spans="2:10">
      <c r="B63" s="6"/>
      <c r="C63" s="376"/>
      <c r="D63" s="377"/>
      <c r="E63" s="378"/>
      <c r="F63" s="375"/>
      <c r="G63" s="6"/>
      <c r="H63" s="6"/>
      <c r="I63" s="6"/>
      <c r="J63" s="6"/>
    </row>
    <row r="64" spans="2:10">
      <c r="B64" s="6"/>
      <c r="C64" s="376"/>
      <c r="D64" s="377"/>
      <c r="E64" s="378"/>
      <c r="F64" s="379"/>
      <c r="G64" s="6"/>
      <c r="H64" s="6"/>
      <c r="I64" s="6"/>
      <c r="J64" s="6"/>
    </row>
    <row r="65" spans="2:8">
      <c r="B65" s="6"/>
      <c r="C65" s="23"/>
      <c r="D65" s="377"/>
      <c r="E65" s="6"/>
      <c r="F65" s="6"/>
      <c r="G65" s="6"/>
      <c r="H65" s="55"/>
    </row>
    <row r="66" spans="2:8">
      <c r="B66" s="6"/>
      <c r="C66" s="23"/>
      <c r="D66" s="380"/>
      <c r="E66" s="6"/>
      <c r="F66" s="6"/>
      <c r="G66" s="6"/>
      <c r="H66" s="55"/>
    </row>
    <row r="67" spans="2:8">
      <c r="B67" s="6"/>
      <c r="C67" s="23"/>
      <c r="D67" s="381"/>
      <c r="E67" s="6"/>
      <c r="F67" s="6"/>
      <c r="G67" s="6"/>
      <c r="H67" s="55"/>
    </row>
    <row r="68" spans="2:8">
      <c r="B68" s="6"/>
      <c r="C68" s="23"/>
      <c r="D68" s="372"/>
      <c r="E68" s="6"/>
      <c r="F68" s="6"/>
      <c r="G68" s="6"/>
      <c r="H68" s="55"/>
    </row>
    <row r="69" spans="2:8" ht="15.9">
      <c r="B69" s="6"/>
      <c r="C69" s="119"/>
      <c r="D69" s="119"/>
      <c r="E69" s="6"/>
      <c r="F69" s="6"/>
      <c r="G69" s="6"/>
      <c r="H69" s="55"/>
    </row>
    <row r="70" spans="2:8">
      <c r="B70" s="6"/>
      <c r="C70" s="6"/>
      <c r="D70" s="6"/>
      <c r="E70" s="6"/>
      <c r="F70" s="6"/>
      <c r="G70" s="6"/>
      <c r="H70" s="55"/>
    </row>
    <row r="71" spans="2:8">
      <c r="B71" s="6"/>
      <c r="C71" s="6"/>
      <c r="D71" s="6"/>
      <c r="E71" s="6"/>
      <c r="F71" s="6"/>
      <c r="G71" s="6"/>
      <c r="H71" s="55"/>
    </row>
    <row r="72" spans="2:8">
      <c r="B72" s="6"/>
      <c r="C72" s="6"/>
      <c r="D72" s="6"/>
      <c r="E72" s="6"/>
      <c r="F72" s="6"/>
      <c r="G72" s="6"/>
      <c r="H72" s="55"/>
    </row>
    <row r="73" spans="2:8">
      <c r="B73" s="55"/>
      <c r="C73" s="55"/>
      <c r="D73" s="55"/>
      <c r="E73" s="55"/>
      <c r="F73" s="55"/>
      <c r="G73" s="55"/>
      <c r="H73" s="55"/>
    </row>
  </sheetData>
  <mergeCells count="6">
    <mergeCell ref="C32:I32"/>
    <mergeCell ref="E33:I33"/>
    <mergeCell ref="E17:I17"/>
    <mergeCell ref="C2:I2"/>
    <mergeCell ref="E3:I3"/>
    <mergeCell ref="C16:I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69"/>
  <sheetViews>
    <sheetView showGridLines="0" topLeftCell="A39" zoomScale="75" workbookViewId="0">
      <selection activeCell="F90" sqref="F90"/>
    </sheetView>
  </sheetViews>
  <sheetFormatPr defaultColWidth="11.07421875" defaultRowHeight="14.6"/>
  <cols>
    <col min="3" max="3" width="35.84375" bestFit="1" customWidth="1"/>
    <col min="4" max="4" width="15.3046875" customWidth="1"/>
    <col min="5" max="5" width="13.3046875" bestFit="1" customWidth="1"/>
    <col min="6" max="6" width="16.15234375" customWidth="1"/>
    <col min="7" max="7" width="14.15234375" customWidth="1"/>
    <col min="8" max="8" width="13.4609375" customWidth="1"/>
    <col min="9" max="9" width="13.15234375" customWidth="1"/>
    <col min="10" max="10" width="13" customWidth="1"/>
    <col min="11" max="11" width="13.69140625" customWidth="1"/>
    <col min="12" max="12" width="13" customWidth="1"/>
    <col min="13" max="13" width="14.69140625" customWidth="1"/>
  </cols>
  <sheetData>
    <row r="4" spans="3:16">
      <c r="C4" s="669" t="s">
        <v>265</v>
      </c>
      <c r="D4" s="670"/>
      <c r="E4" s="670" t="s">
        <v>239</v>
      </c>
      <c r="F4" s="670"/>
      <c r="G4" s="670" t="s">
        <v>240</v>
      </c>
      <c r="H4" s="670"/>
      <c r="I4" s="670"/>
      <c r="J4" s="670"/>
      <c r="K4" s="670" t="s">
        <v>241</v>
      </c>
      <c r="L4" s="670"/>
      <c r="M4" s="671"/>
    </row>
    <row r="5" spans="3:16">
      <c r="C5" s="705"/>
      <c r="D5" s="699"/>
      <c r="E5" s="699"/>
      <c r="F5" s="699"/>
      <c r="G5" s="699"/>
      <c r="H5" s="699"/>
      <c r="I5" s="699"/>
      <c r="J5" s="699"/>
      <c r="K5" s="699"/>
      <c r="L5" s="699"/>
      <c r="M5" s="700"/>
      <c r="O5" s="305"/>
      <c r="P5" s="306"/>
    </row>
    <row r="6" spans="3:16">
      <c r="C6" s="147"/>
      <c r="D6" s="706" t="s">
        <v>235</v>
      </c>
      <c r="E6" s="99" t="s">
        <v>161</v>
      </c>
      <c r="F6" s="99"/>
      <c r="G6" s="99"/>
      <c r="H6" s="99"/>
      <c r="I6" s="99"/>
      <c r="J6" s="99"/>
      <c r="K6" s="99"/>
      <c r="L6" s="99"/>
      <c r="M6" s="100"/>
      <c r="O6" s="151" t="s">
        <v>242</v>
      </c>
      <c r="P6" s="307">
        <f>'Cash flow'!L8</f>
        <v>263504.93061756372</v>
      </c>
    </row>
    <row r="7" spans="3:16">
      <c r="C7" s="147"/>
      <c r="D7" s="706"/>
      <c r="E7" s="294">
        <v>0.03</v>
      </c>
      <c r="F7" s="294">
        <v>0.04</v>
      </c>
      <c r="G7" s="299">
        <f>'PV-valuation'!I20</f>
        <v>4.7493391479671632E-2</v>
      </c>
      <c r="H7" s="294">
        <v>0.05</v>
      </c>
      <c r="I7" s="294">
        <v>0.06</v>
      </c>
      <c r="J7" s="294">
        <v>7.0000000000000007E-2</v>
      </c>
      <c r="K7" s="294">
        <v>0.08</v>
      </c>
      <c r="L7" s="294">
        <v>0.09</v>
      </c>
      <c r="M7" s="295">
        <v>0.1</v>
      </c>
    </row>
    <row r="8" spans="3:16">
      <c r="C8" s="707" t="s">
        <v>237</v>
      </c>
      <c r="D8" s="296">
        <v>-0.02</v>
      </c>
      <c r="E8" s="297">
        <f t="shared" ref="E8:M17" si="0">$P$6/(E$7-$D8)</f>
        <v>5270098.6123512741</v>
      </c>
      <c r="F8" s="297">
        <f t="shared" si="0"/>
        <v>4391748.8436260624</v>
      </c>
      <c r="G8" s="297">
        <f t="shared" si="0"/>
        <v>3904158.9826898663</v>
      </c>
      <c r="H8" s="297">
        <f t="shared" si="0"/>
        <v>3764356.1516794814</v>
      </c>
      <c r="I8" s="297">
        <f t="shared" si="0"/>
        <v>3293811.6327195466</v>
      </c>
      <c r="J8" s="297">
        <f t="shared" si="0"/>
        <v>2927832.5624173745</v>
      </c>
      <c r="K8" s="297">
        <f t="shared" si="0"/>
        <v>2635049.3061756371</v>
      </c>
      <c r="L8" s="297">
        <f t="shared" si="0"/>
        <v>2395499.3692505793</v>
      </c>
      <c r="M8" s="298">
        <f t="shared" si="0"/>
        <v>2195874.4218130307</v>
      </c>
    </row>
    <row r="9" spans="3:16">
      <c r="C9" s="707"/>
      <c r="D9" s="296">
        <v>-1.4999999999999999E-2</v>
      </c>
      <c r="E9" s="297">
        <f t="shared" si="0"/>
        <v>5855665.1248347498</v>
      </c>
      <c r="F9" s="297">
        <f t="shared" si="0"/>
        <v>4790998.7385011585</v>
      </c>
      <c r="G9" s="297">
        <f t="shared" si="0"/>
        <v>4216524.7297112811</v>
      </c>
      <c r="H9" s="297">
        <f t="shared" si="0"/>
        <v>4053922.0095009799</v>
      </c>
      <c r="I9" s="297">
        <f t="shared" si="0"/>
        <v>3513399.0749008497</v>
      </c>
      <c r="J9" s="297">
        <f t="shared" si="0"/>
        <v>3100058.0072654551</v>
      </c>
      <c r="K9" s="297">
        <f t="shared" si="0"/>
        <v>2773736.1117638284</v>
      </c>
      <c r="L9" s="297">
        <f t="shared" si="0"/>
        <v>2509570.7677863212</v>
      </c>
      <c r="M9" s="298">
        <f t="shared" si="0"/>
        <v>2291347.2227614233</v>
      </c>
      <c r="P9" s="55"/>
    </row>
    <row r="10" spans="3:16">
      <c r="C10" s="707"/>
      <c r="D10" s="296">
        <v>-0.01</v>
      </c>
      <c r="E10" s="297">
        <f t="shared" si="0"/>
        <v>6587623.2654390931</v>
      </c>
      <c r="F10" s="297">
        <f t="shared" si="0"/>
        <v>5270098.6123512741</v>
      </c>
      <c r="G10" s="297">
        <f t="shared" si="0"/>
        <v>4583221.1987482617</v>
      </c>
      <c r="H10" s="297">
        <f t="shared" si="0"/>
        <v>4391748.8436260615</v>
      </c>
      <c r="I10" s="297">
        <f t="shared" si="0"/>
        <v>3764356.1516794818</v>
      </c>
      <c r="J10" s="297">
        <f t="shared" si="0"/>
        <v>3293811.6327195466</v>
      </c>
      <c r="K10" s="297">
        <f t="shared" si="0"/>
        <v>2927832.5624173749</v>
      </c>
      <c r="L10" s="297">
        <f t="shared" si="0"/>
        <v>2635049.3061756375</v>
      </c>
      <c r="M10" s="298">
        <f t="shared" si="0"/>
        <v>2395499.3692505793</v>
      </c>
      <c r="P10" s="55"/>
    </row>
    <row r="11" spans="3:16">
      <c r="C11" s="707"/>
      <c r="D11" s="296">
        <v>-5.0000000000000001E-3</v>
      </c>
      <c r="E11" s="297">
        <f t="shared" si="0"/>
        <v>7528712.3033589637</v>
      </c>
      <c r="F11" s="297">
        <f t="shared" si="0"/>
        <v>5855665.1248347498</v>
      </c>
      <c r="G11" s="297">
        <f t="shared" si="0"/>
        <v>5019773.4074699199</v>
      </c>
      <c r="H11" s="297">
        <f t="shared" si="0"/>
        <v>4790998.7385011585</v>
      </c>
      <c r="I11" s="297">
        <f t="shared" si="0"/>
        <v>4053922.0095009799</v>
      </c>
      <c r="J11" s="297">
        <f t="shared" si="0"/>
        <v>3513399.0749008493</v>
      </c>
      <c r="K11" s="297">
        <f t="shared" si="0"/>
        <v>3100058.0072654551</v>
      </c>
      <c r="L11" s="297">
        <f t="shared" si="0"/>
        <v>2773736.1117638284</v>
      </c>
      <c r="M11" s="298">
        <f t="shared" si="0"/>
        <v>2509570.7677863208</v>
      </c>
      <c r="P11" s="55"/>
    </row>
    <row r="12" spans="3:16" ht="15" thickBot="1">
      <c r="C12" s="707"/>
      <c r="D12" s="296">
        <v>0</v>
      </c>
      <c r="E12" s="297">
        <f t="shared" si="0"/>
        <v>8783497.6872521248</v>
      </c>
      <c r="F12" s="297">
        <f t="shared" si="0"/>
        <v>6587623.2654390931</v>
      </c>
      <c r="G12" s="297">
        <f t="shared" si="0"/>
        <v>5548244.1326673934</v>
      </c>
      <c r="H12" s="297">
        <f t="shared" si="0"/>
        <v>5270098.6123512741</v>
      </c>
      <c r="I12" s="297">
        <f t="shared" si="0"/>
        <v>4391748.8436260624</v>
      </c>
      <c r="J12" s="297">
        <f t="shared" si="0"/>
        <v>3764356.1516794814</v>
      </c>
      <c r="K12" s="297">
        <f t="shared" si="0"/>
        <v>3293811.6327195466</v>
      </c>
      <c r="L12" s="297">
        <f t="shared" si="0"/>
        <v>2927832.5624173749</v>
      </c>
      <c r="M12" s="298">
        <f t="shared" si="0"/>
        <v>2635049.3061756371</v>
      </c>
    </row>
    <row r="13" spans="3:16" ht="15" thickBot="1">
      <c r="C13" s="708" t="s">
        <v>236</v>
      </c>
      <c r="D13" s="299">
        <v>0.01</v>
      </c>
      <c r="E13" s="300">
        <f t="shared" si="0"/>
        <v>13175246.530878188</v>
      </c>
      <c r="F13" s="300">
        <f t="shared" si="0"/>
        <v>8783497.6872521248</v>
      </c>
      <c r="G13" s="308">
        <f t="shared" si="0"/>
        <v>7028036.6810890464</v>
      </c>
      <c r="H13" s="300">
        <f t="shared" si="0"/>
        <v>6587623.2654390931</v>
      </c>
      <c r="I13" s="300">
        <f t="shared" si="0"/>
        <v>5270098.612351275</v>
      </c>
      <c r="J13" s="300">
        <f t="shared" si="0"/>
        <v>4391748.8436260615</v>
      </c>
      <c r="K13" s="300">
        <f t="shared" si="0"/>
        <v>3764356.1516794814</v>
      </c>
      <c r="L13" s="300">
        <f t="shared" si="0"/>
        <v>3293811.6327195466</v>
      </c>
      <c r="M13" s="301">
        <f t="shared" si="0"/>
        <v>2927832.5624173745</v>
      </c>
    </row>
    <row r="14" spans="3:16">
      <c r="C14" s="708"/>
      <c r="D14" s="299">
        <v>1.2500000000000001E-2</v>
      </c>
      <c r="E14" s="300">
        <f t="shared" si="0"/>
        <v>15057424.606717927</v>
      </c>
      <c r="F14" s="300">
        <f t="shared" si="0"/>
        <v>9581997.4770023171</v>
      </c>
      <c r="G14" s="300">
        <f t="shared" si="0"/>
        <v>7530134.1046248414</v>
      </c>
      <c r="H14" s="300">
        <f t="shared" si="0"/>
        <v>7026798.1498016985</v>
      </c>
      <c r="I14" s="300">
        <f t="shared" si="0"/>
        <v>5547472.2235276569</v>
      </c>
      <c r="J14" s="300">
        <f t="shared" si="0"/>
        <v>4582694.4455228467</v>
      </c>
      <c r="K14" s="300">
        <f t="shared" si="0"/>
        <v>3903776.7498898325</v>
      </c>
      <c r="L14" s="300">
        <f t="shared" si="0"/>
        <v>3400063.6208717898</v>
      </c>
      <c r="M14" s="301">
        <f t="shared" si="0"/>
        <v>3011484.921343585</v>
      </c>
    </row>
    <row r="15" spans="3:16">
      <c r="C15" s="708"/>
      <c r="D15" s="299">
        <v>1.4999999999999999E-2</v>
      </c>
      <c r="E15" s="300">
        <f t="shared" si="0"/>
        <v>17566995.37450425</v>
      </c>
      <c r="F15" s="300">
        <f t="shared" si="0"/>
        <v>10540197.224702548</v>
      </c>
      <c r="G15" s="300">
        <f t="shared" si="0"/>
        <v>8109492.9959039968</v>
      </c>
      <c r="H15" s="300">
        <f t="shared" si="0"/>
        <v>7528712.3033589628</v>
      </c>
      <c r="I15" s="300">
        <f t="shared" si="0"/>
        <v>5855665.1248347498</v>
      </c>
      <c r="J15" s="300">
        <f t="shared" si="0"/>
        <v>4790998.7385011576</v>
      </c>
      <c r="K15" s="300">
        <f t="shared" si="0"/>
        <v>4053922.0095009799</v>
      </c>
      <c r="L15" s="300">
        <f t="shared" si="0"/>
        <v>3513399.0749008497</v>
      </c>
      <c r="M15" s="301">
        <f t="shared" si="0"/>
        <v>3100058.0072654551</v>
      </c>
    </row>
    <row r="16" spans="3:16">
      <c r="C16" s="708"/>
      <c r="D16" s="299">
        <v>0.02</v>
      </c>
      <c r="E16" s="300">
        <f t="shared" si="0"/>
        <v>26350493.061756376</v>
      </c>
      <c r="F16" s="300">
        <f t="shared" si="0"/>
        <v>13175246.530878186</v>
      </c>
      <c r="G16" s="300">
        <f t="shared" si="0"/>
        <v>9584300.6786702517</v>
      </c>
      <c r="H16" s="300">
        <f t="shared" si="0"/>
        <v>8783497.6872521229</v>
      </c>
      <c r="I16" s="300">
        <f t="shared" si="0"/>
        <v>6587623.265439094</v>
      </c>
      <c r="J16" s="300">
        <f t="shared" si="0"/>
        <v>5270098.6123512741</v>
      </c>
      <c r="K16" s="300">
        <f t="shared" si="0"/>
        <v>4391748.8436260624</v>
      </c>
      <c r="L16" s="300">
        <f t="shared" si="0"/>
        <v>3764356.1516794818</v>
      </c>
      <c r="M16" s="301">
        <f t="shared" si="0"/>
        <v>3293811.6327195466</v>
      </c>
    </row>
    <row r="17" spans="3:13">
      <c r="C17" s="708"/>
      <c r="D17" s="299">
        <v>2.5000000000000001E-2</v>
      </c>
      <c r="E17" s="300">
        <f t="shared" si="0"/>
        <v>52700986.123512767</v>
      </c>
      <c r="F17" s="300">
        <f t="shared" si="0"/>
        <v>17566995.37450425</v>
      </c>
      <c r="G17" s="300">
        <f t="shared" si="0"/>
        <v>11714771.0186659</v>
      </c>
      <c r="H17" s="300">
        <f t="shared" si="0"/>
        <v>10540197.224702548</v>
      </c>
      <c r="I17" s="300">
        <f t="shared" si="0"/>
        <v>7528712.3033589637</v>
      </c>
      <c r="J17" s="300">
        <f t="shared" si="0"/>
        <v>5855665.1248347489</v>
      </c>
      <c r="K17" s="300">
        <f t="shared" si="0"/>
        <v>4790998.7385011585</v>
      </c>
      <c r="L17" s="300">
        <f t="shared" si="0"/>
        <v>4053922.0095009799</v>
      </c>
      <c r="M17" s="301">
        <f t="shared" si="0"/>
        <v>3513399.0749008493</v>
      </c>
    </row>
    <row r="18" spans="3:13">
      <c r="C18" s="707" t="s">
        <v>238</v>
      </c>
      <c r="D18" s="296">
        <v>0.03</v>
      </c>
      <c r="E18" s="384" t="s">
        <v>266</v>
      </c>
      <c r="F18" s="297">
        <f t="shared" ref="F18:M19" si="1">$P$6/(F$7-$D18)</f>
        <v>26350493.061756365</v>
      </c>
      <c r="G18" s="297">
        <f t="shared" si="1"/>
        <v>15063112.886015968</v>
      </c>
      <c r="H18" s="297">
        <f t="shared" si="1"/>
        <v>13175246.530878183</v>
      </c>
      <c r="I18" s="297">
        <f t="shared" si="1"/>
        <v>8783497.6872521248</v>
      </c>
      <c r="J18" s="297">
        <f t="shared" si="1"/>
        <v>6587623.2654390913</v>
      </c>
      <c r="K18" s="297">
        <f t="shared" si="1"/>
        <v>5270098.6123512741</v>
      </c>
      <c r="L18" s="297">
        <f t="shared" si="1"/>
        <v>4391748.8436260624</v>
      </c>
      <c r="M18" s="298">
        <f t="shared" si="1"/>
        <v>3764356.1516794814</v>
      </c>
    </row>
    <row r="19" spans="3:13">
      <c r="C19" s="707"/>
      <c r="D19" s="296">
        <v>3.5000000000000003E-2</v>
      </c>
      <c r="E19" s="297">
        <f>$P$6/(E$7-$D19)</f>
        <v>-52700986.1235127</v>
      </c>
      <c r="F19" s="297">
        <f t="shared" si="1"/>
        <v>52700986.123512767</v>
      </c>
      <c r="G19" s="297">
        <f t="shared" si="1"/>
        <v>21091545.161801782</v>
      </c>
      <c r="H19" s="297">
        <f t="shared" si="1"/>
        <v>17566995.37450425</v>
      </c>
      <c r="I19" s="297">
        <f t="shared" si="1"/>
        <v>10540197.224702552</v>
      </c>
      <c r="J19" s="297">
        <f t="shared" si="1"/>
        <v>7528712.3033589628</v>
      </c>
      <c r="K19" s="297">
        <f t="shared" si="1"/>
        <v>5855665.1248347498</v>
      </c>
      <c r="L19" s="297">
        <f t="shared" si="1"/>
        <v>4790998.7385011595</v>
      </c>
      <c r="M19" s="298">
        <f t="shared" si="1"/>
        <v>4053922.0095009799</v>
      </c>
    </row>
    <row r="20" spans="3:13">
      <c r="C20" s="709"/>
      <c r="D20" s="302">
        <v>0.04</v>
      </c>
      <c r="E20" s="303">
        <f>$P$6/(E$7-$D20)</f>
        <v>-26350493.061756365</v>
      </c>
      <c r="F20" s="383" t="s">
        <v>266</v>
      </c>
      <c r="G20" s="303">
        <f t="shared" ref="G20:M20" si="2">$P$6/(G$7-$D20)</f>
        <v>35164975.87673223</v>
      </c>
      <c r="H20" s="303">
        <f t="shared" si="2"/>
        <v>26350493.061756365</v>
      </c>
      <c r="I20" s="303">
        <f t="shared" si="2"/>
        <v>13175246.530878188</v>
      </c>
      <c r="J20" s="303">
        <f t="shared" si="2"/>
        <v>8783497.6872521229</v>
      </c>
      <c r="K20" s="303">
        <f t="shared" si="2"/>
        <v>6587623.2654390931</v>
      </c>
      <c r="L20" s="303">
        <f t="shared" si="2"/>
        <v>5270098.612351275</v>
      </c>
      <c r="M20" s="304">
        <f t="shared" si="2"/>
        <v>4391748.8436260615</v>
      </c>
    </row>
    <row r="23" spans="3:13" ht="15" thickBot="1"/>
    <row r="24" spans="3:13" ht="16" customHeight="1" thickBot="1">
      <c r="C24" s="701" t="s">
        <v>253</v>
      </c>
      <c r="D24" s="704" t="s">
        <v>243</v>
      </c>
      <c r="E24" s="704"/>
      <c r="F24" s="704"/>
      <c r="G24" s="704"/>
      <c r="H24" s="309" t="s">
        <v>254</v>
      </c>
    </row>
    <row r="25" spans="3:13">
      <c r="C25" s="702"/>
      <c r="D25" s="310">
        <v>1</v>
      </c>
      <c r="E25" s="311">
        <v>2</v>
      </c>
      <c r="F25" s="311">
        <v>3</v>
      </c>
      <c r="G25" s="311">
        <v>4</v>
      </c>
      <c r="H25" s="312">
        <v>5</v>
      </c>
      <c r="I25" s="293"/>
      <c r="J25" s="293"/>
    </row>
    <row r="26" spans="3:13" ht="15" thickBot="1">
      <c r="C26" s="703"/>
      <c r="D26" s="313">
        <v>2021</v>
      </c>
      <c r="E26" s="314">
        <v>2022</v>
      </c>
      <c r="F26" s="314">
        <v>2023</v>
      </c>
      <c r="G26" s="314">
        <v>2024</v>
      </c>
      <c r="H26" s="315">
        <v>2025</v>
      </c>
    </row>
    <row r="27" spans="3:13">
      <c r="C27" s="319" t="s">
        <v>136</v>
      </c>
      <c r="D27" s="323">
        <f>'Cash flow'!H8</f>
        <v>226232.44116578798</v>
      </c>
      <c r="E27" s="324">
        <f>'Cash flow'!I8</f>
        <v>244567.66833677742</v>
      </c>
      <c r="F27" s="324">
        <f>'Cash flow'!J8</f>
        <v>294525.5290710713</v>
      </c>
      <c r="G27" s="324">
        <f>'Cash flow'!K8</f>
        <v>269387.92110417027</v>
      </c>
      <c r="H27" s="325">
        <f>'Cash flow'!L8</f>
        <v>263504.93061756372</v>
      </c>
    </row>
    <row r="28" spans="3:13">
      <c r="C28" s="333" t="s">
        <v>247</v>
      </c>
      <c r="D28" s="326">
        <f>1/(1+$D$36)^D25</f>
        <v>0.9174311926605504</v>
      </c>
      <c r="E28" s="327">
        <f>1/(1+$D$36)^E25</f>
        <v>0.84167999326655996</v>
      </c>
      <c r="F28" s="327">
        <f>1/(1+$D$36)^F25</f>
        <v>0.77218348006106419</v>
      </c>
      <c r="G28" s="327">
        <f>1/(1+$D$36)^G25</f>
        <v>0.7084252110651964</v>
      </c>
      <c r="H28" s="328">
        <f>1/(1+$D$36)^H25</f>
        <v>0.64993138629834524</v>
      </c>
    </row>
    <row r="29" spans="3:13">
      <c r="C29" s="333" t="s">
        <v>254</v>
      </c>
      <c r="D29" s="329"/>
      <c r="E29" s="330"/>
      <c r="F29" s="330"/>
      <c r="G29" s="330">
        <f>H27/(D36-D37)</f>
        <v>2395499.3692505793</v>
      </c>
      <c r="H29" s="331"/>
    </row>
    <row r="30" spans="3:13">
      <c r="C30" s="333" t="s">
        <v>255</v>
      </c>
      <c r="D30" s="329"/>
      <c r="E30" s="330"/>
      <c r="F30" s="330"/>
      <c r="G30" s="330">
        <f>G29*G28</f>
        <v>1697032.1462678865</v>
      </c>
      <c r="H30" s="331"/>
    </row>
    <row r="31" spans="3:13">
      <c r="C31" s="333" t="s">
        <v>245</v>
      </c>
      <c r="D31" s="329">
        <f>D27*D28</f>
        <v>207552.69831723667</v>
      </c>
      <c r="E31" s="330">
        <f>E27*E28</f>
        <v>205847.7134389171</v>
      </c>
      <c r="F31" s="330">
        <f>F27*F28</f>
        <v>227427.74800492596</v>
      </c>
      <c r="G31" s="330">
        <f>G27*G28</f>
        <v>190841.1948666363</v>
      </c>
      <c r="H31" s="331"/>
    </row>
    <row r="32" spans="3:13">
      <c r="C32" s="333" t="s">
        <v>250</v>
      </c>
      <c r="D32" s="329">
        <f>D31+E31+F31+G31+G30</f>
        <v>2528701.5008956026</v>
      </c>
      <c r="E32" s="330"/>
      <c r="F32" s="330"/>
      <c r="G32" s="330"/>
      <c r="H32" s="331"/>
    </row>
    <row r="33" spans="3:8">
      <c r="C33" s="333" t="s">
        <v>249</v>
      </c>
      <c r="D33" s="329">
        <f>D32-'Adj. balance sheet'!AI43</f>
        <v>1318276.5008956026</v>
      </c>
      <c r="E33" s="330"/>
      <c r="F33" s="330"/>
      <c r="G33" s="330"/>
      <c r="H33" s="331"/>
    </row>
    <row r="34" spans="3:8" ht="15" thickBot="1">
      <c r="C34" s="333" t="s">
        <v>244</v>
      </c>
      <c r="D34" s="329">
        <f>'PV-valuation'!M28</f>
        <v>40645162</v>
      </c>
      <c r="E34" s="330"/>
      <c r="F34" s="330"/>
      <c r="G34" s="330"/>
      <c r="H34" s="331"/>
    </row>
    <row r="35" spans="3:8" ht="15" thickBot="1">
      <c r="C35" s="334" t="s">
        <v>246</v>
      </c>
      <c r="D35" s="317">
        <f>(D33*1000)/D34</f>
        <v>32.43378636049237</v>
      </c>
      <c r="E35" s="314"/>
      <c r="F35" s="314"/>
      <c r="G35" s="314"/>
      <c r="H35" s="315"/>
    </row>
    <row r="36" spans="3:8">
      <c r="C36" s="319" t="s">
        <v>161</v>
      </c>
      <c r="D36" s="370">
        <f>L7</f>
        <v>0.09</v>
      </c>
      <c r="E36" s="127"/>
      <c r="F36" s="127"/>
      <c r="G36" s="127"/>
      <c r="H36" s="320"/>
    </row>
    <row r="37" spans="3:8" ht="15" thickBot="1">
      <c r="C37" s="321" t="s">
        <v>248</v>
      </c>
      <c r="D37" s="332">
        <f>D8</f>
        <v>-0.02</v>
      </c>
      <c r="E37" s="314"/>
      <c r="F37" s="314"/>
      <c r="G37" s="314"/>
      <c r="H37" s="315"/>
    </row>
    <row r="39" spans="3:8" ht="15" thickBot="1"/>
    <row r="40" spans="3:8" ht="15" thickBot="1">
      <c r="C40" s="701" t="s">
        <v>251</v>
      </c>
      <c r="D40" s="704" t="s">
        <v>243</v>
      </c>
      <c r="E40" s="704"/>
      <c r="F40" s="704"/>
      <c r="G40" s="704"/>
      <c r="H40" s="309" t="s">
        <v>254</v>
      </c>
    </row>
    <row r="41" spans="3:8">
      <c r="C41" s="702"/>
      <c r="D41" s="310">
        <v>1</v>
      </c>
      <c r="E41" s="311">
        <v>2</v>
      </c>
      <c r="F41" s="311">
        <v>3</v>
      </c>
      <c r="G41" s="311">
        <v>4</v>
      </c>
      <c r="H41" s="312">
        <v>5</v>
      </c>
    </row>
    <row r="42" spans="3:8" ht="15" thickBot="1">
      <c r="C42" s="703"/>
      <c r="D42" s="313">
        <v>2021</v>
      </c>
      <c r="E42" s="314">
        <v>2022</v>
      </c>
      <c r="F42" s="314">
        <v>2023</v>
      </c>
      <c r="G42" s="314">
        <v>2024</v>
      </c>
      <c r="H42" s="315">
        <v>2025</v>
      </c>
    </row>
    <row r="43" spans="3:8">
      <c r="C43" s="310" t="s">
        <v>136</v>
      </c>
      <c r="D43" s="323">
        <f>D27</f>
        <v>226232.44116578798</v>
      </c>
      <c r="E43" s="324">
        <f t="shared" ref="E43:H43" si="3">E27</f>
        <v>244567.66833677742</v>
      </c>
      <c r="F43" s="324">
        <f t="shared" si="3"/>
        <v>294525.5290710713</v>
      </c>
      <c r="G43" s="324">
        <f t="shared" si="3"/>
        <v>269387.92110417027</v>
      </c>
      <c r="H43" s="325">
        <f t="shared" si="3"/>
        <v>263504.93061756372</v>
      </c>
    </row>
    <row r="44" spans="3:8">
      <c r="C44" s="318" t="s">
        <v>247</v>
      </c>
      <c r="D44" s="326">
        <f>'PV-valuation'!E21</f>
        <v>0.95682090956047317</v>
      </c>
      <c r="E44" s="327">
        <f>'PV-valuation'!F21</f>
        <v>0.91478627321846351</v>
      </c>
      <c r="F44" s="327">
        <f>'PV-valuation'!G21</f>
        <v>0.87286674209924964</v>
      </c>
      <c r="G44" s="327">
        <f>'PV-valuation'!H21</f>
        <v>0.83233478538065964</v>
      </c>
      <c r="H44" s="328">
        <f>'PV-valuation'!I21</f>
        <v>0.79294586978480275</v>
      </c>
    </row>
    <row r="45" spans="3:8">
      <c r="C45" s="318" t="s">
        <v>254</v>
      </c>
      <c r="D45" s="329"/>
      <c r="E45" s="330"/>
      <c r="F45" s="330"/>
      <c r="G45" s="330">
        <f>H43/(D52-D53)</f>
        <v>7028036.6810890464</v>
      </c>
      <c r="H45" s="331"/>
    </row>
    <row r="46" spans="3:8">
      <c r="C46" s="318" t="s">
        <v>255</v>
      </c>
      <c r="D46" s="329"/>
      <c r="E46" s="330"/>
      <c r="F46" s="330"/>
      <c r="G46" s="330">
        <f>G45*G44</f>
        <v>5849679.4026016546</v>
      </c>
      <c r="H46" s="331"/>
    </row>
    <row r="47" spans="3:8">
      <c r="C47" s="318" t="s">
        <v>245</v>
      </c>
      <c r="D47" s="329">
        <f>D43*D44</f>
        <v>216463.93012833549</v>
      </c>
      <c r="E47" s="330">
        <f>E43*E44</f>
        <v>223727.14586752985</v>
      </c>
      <c r="F47" s="330">
        <f>F43*F44</f>
        <v>257081.53902532384</v>
      </c>
      <c r="G47" s="330">
        <f>G43*G44</f>
        <v>224220.93749638164</v>
      </c>
      <c r="H47" s="331"/>
    </row>
    <row r="48" spans="3:8">
      <c r="C48" s="318" t="s">
        <v>250</v>
      </c>
      <c r="D48" s="329">
        <f>D47+E47+F47+G47+G46</f>
        <v>6771172.9551192252</v>
      </c>
      <c r="E48" s="330"/>
      <c r="F48" s="330"/>
      <c r="G48" s="330"/>
      <c r="H48" s="331"/>
    </row>
    <row r="49" spans="3:8">
      <c r="C49" s="318" t="s">
        <v>249</v>
      </c>
      <c r="D49" s="329">
        <f>D48-'Adj. balance sheet'!$AI$43</f>
        <v>5560747.9551192252</v>
      </c>
      <c r="E49" s="330"/>
      <c r="F49" s="330"/>
      <c r="G49" s="330"/>
      <c r="H49" s="331"/>
    </row>
    <row r="50" spans="3:8" ht="15" thickBot="1">
      <c r="C50" s="318" t="s">
        <v>244</v>
      </c>
      <c r="D50" s="329">
        <f>D34</f>
        <v>40645162</v>
      </c>
      <c r="E50" s="330"/>
      <c r="F50" s="330"/>
      <c r="G50" s="330"/>
      <c r="H50" s="331"/>
    </row>
    <row r="51" spans="3:8" ht="15" thickBot="1">
      <c r="C51" s="316" t="s">
        <v>246</v>
      </c>
      <c r="D51" s="317">
        <f>(D49*1000)/D50</f>
        <v>136.81205047526259</v>
      </c>
      <c r="E51" s="314"/>
      <c r="F51" s="314"/>
      <c r="G51" s="314"/>
      <c r="H51" s="315"/>
    </row>
    <row r="52" spans="3:8">
      <c r="C52" s="319" t="s">
        <v>161</v>
      </c>
      <c r="D52" s="104">
        <f>G7</f>
        <v>4.7493391479671632E-2</v>
      </c>
      <c r="E52" s="127"/>
      <c r="F52" s="127"/>
      <c r="G52" s="127"/>
      <c r="H52" s="320"/>
    </row>
    <row r="53" spans="3:8" ht="15" thickBot="1">
      <c r="C53" s="321" t="s">
        <v>248</v>
      </c>
      <c r="D53" s="322">
        <f>D13</f>
        <v>0.01</v>
      </c>
      <c r="E53" s="314"/>
      <c r="F53" s="314"/>
      <c r="G53" s="314"/>
      <c r="H53" s="315"/>
    </row>
    <row r="55" spans="3:8" ht="15" thickBot="1"/>
    <row r="56" spans="3:8" ht="15" thickBot="1">
      <c r="C56" s="701" t="s">
        <v>252</v>
      </c>
      <c r="D56" s="704" t="s">
        <v>243</v>
      </c>
      <c r="E56" s="704"/>
      <c r="F56" s="704"/>
      <c r="G56" s="704"/>
      <c r="H56" s="309" t="s">
        <v>254</v>
      </c>
    </row>
    <row r="57" spans="3:8">
      <c r="C57" s="702"/>
      <c r="D57" s="310">
        <v>1</v>
      </c>
      <c r="E57" s="311">
        <v>2</v>
      </c>
      <c r="F57" s="311">
        <v>3</v>
      </c>
      <c r="G57" s="311">
        <v>4</v>
      </c>
      <c r="H57" s="312">
        <v>5</v>
      </c>
    </row>
    <row r="58" spans="3:8" ht="15" thickBot="1">
      <c r="C58" s="703"/>
      <c r="D58" s="318">
        <v>2021</v>
      </c>
      <c r="E58" s="127">
        <v>2022</v>
      </c>
      <c r="F58" s="127">
        <v>2023</v>
      </c>
      <c r="G58" s="127">
        <v>2024</v>
      </c>
      <c r="H58" s="320">
        <v>2025</v>
      </c>
    </row>
    <row r="59" spans="3:8">
      <c r="C59" s="310" t="s">
        <v>136</v>
      </c>
      <c r="D59" s="323">
        <f>D27</f>
        <v>226232.44116578798</v>
      </c>
      <c r="E59" s="324">
        <f t="shared" ref="E59:H59" si="4">E27</f>
        <v>244567.66833677742</v>
      </c>
      <c r="F59" s="324">
        <f t="shared" si="4"/>
        <v>294525.5290710713</v>
      </c>
      <c r="G59" s="324">
        <f t="shared" si="4"/>
        <v>269387.92110417027</v>
      </c>
      <c r="H59" s="325">
        <f t="shared" si="4"/>
        <v>263504.93061756372</v>
      </c>
    </row>
    <row r="60" spans="3:8">
      <c r="C60" s="318" t="s">
        <v>247</v>
      </c>
      <c r="D60" s="326">
        <f>1/(1+$D$68)^D57</f>
        <v>0.96153846153846145</v>
      </c>
      <c r="E60" s="327">
        <f t="shared" ref="E60:H60" si="5">1/(1+$D$68)^E57</f>
        <v>0.92455621301775137</v>
      </c>
      <c r="F60" s="327">
        <f t="shared" si="5"/>
        <v>0.88899635867091487</v>
      </c>
      <c r="G60" s="327">
        <f>1/(1+$D$68)^G57</f>
        <v>0.85480419102972571</v>
      </c>
      <c r="H60" s="328">
        <f t="shared" si="5"/>
        <v>0.82192710675935154</v>
      </c>
    </row>
    <row r="61" spans="3:8">
      <c r="C61" s="318" t="s">
        <v>254</v>
      </c>
      <c r="D61" s="329"/>
      <c r="E61" s="330"/>
      <c r="F61" s="330"/>
      <c r="G61" s="330">
        <f>H59/(D68-D69)</f>
        <v>26350493.061756365</v>
      </c>
      <c r="H61" s="331"/>
    </row>
    <row r="62" spans="3:8">
      <c r="C62" s="318" t="s">
        <v>255</v>
      </c>
      <c r="D62" s="329"/>
      <c r="E62" s="330"/>
      <c r="F62" s="330"/>
      <c r="G62" s="330">
        <f>G61*G60</f>
        <v>22524511.904889051</v>
      </c>
      <c r="H62" s="331"/>
    </row>
    <row r="63" spans="3:8">
      <c r="C63" s="318" t="s">
        <v>245</v>
      </c>
      <c r="D63" s="329">
        <f>D59*D60</f>
        <v>217531.19342864226</v>
      </c>
      <c r="E63" s="330">
        <f>E59*E60</f>
        <v>226116.55726403237</v>
      </c>
      <c r="F63" s="330">
        <f>F59*F60</f>
        <v>261832.12287980708</v>
      </c>
      <c r="G63" s="330">
        <f>G59*G60</f>
        <v>230273.92397262983</v>
      </c>
      <c r="H63" s="331"/>
    </row>
    <row r="64" spans="3:8">
      <c r="C64" s="318" t="s">
        <v>250</v>
      </c>
      <c r="D64" s="329">
        <f>D63+E63+F63+G63+G62</f>
        <v>23460265.702434164</v>
      </c>
      <c r="E64" s="330"/>
      <c r="F64" s="330"/>
      <c r="G64" s="330"/>
      <c r="H64" s="331"/>
    </row>
    <row r="65" spans="3:8">
      <c r="C65" s="318" t="s">
        <v>249</v>
      </c>
      <c r="D65" s="329">
        <f>D64-'Adj. balance sheet'!AI43</f>
        <v>22249840.702434164</v>
      </c>
      <c r="E65" s="330"/>
      <c r="F65" s="330"/>
      <c r="G65" s="330"/>
      <c r="H65" s="331"/>
    </row>
    <row r="66" spans="3:8" ht="15" thickBot="1">
      <c r="C66" s="318" t="s">
        <v>244</v>
      </c>
      <c r="D66" s="329">
        <f>D50</f>
        <v>40645162</v>
      </c>
      <c r="E66" s="330"/>
      <c r="F66" s="330"/>
      <c r="G66" s="330"/>
      <c r="H66" s="331"/>
    </row>
    <row r="67" spans="3:8" ht="15" thickBot="1">
      <c r="C67" s="316" t="s">
        <v>246</v>
      </c>
      <c r="D67" s="317">
        <f>(D65*1000)/D66</f>
        <v>547.41670613673932</v>
      </c>
      <c r="E67" s="314"/>
      <c r="F67" s="314"/>
      <c r="G67" s="314"/>
      <c r="H67" s="315"/>
    </row>
    <row r="68" spans="3:8">
      <c r="C68" s="319" t="s">
        <v>161</v>
      </c>
      <c r="D68" s="104">
        <f>F7</f>
        <v>0.04</v>
      </c>
      <c r="E68" s="127"/>
      <c r="F68" s="127"/>
      <c r="G68" s="127"/>
      <c r="H68" s="320"/>
    </row>
    <row r="69" spans="3:8" ht="15" thickBot="1">
      <c r="C69" s="321" t="s">
        <v>248</v>
      </c>
      <c r="D69" s="335">
        <f>D18</f>
        <v>0.03</v>
      </c>
      <c r="E69" s="314"/>
      <c r="F69" s="314"/>
      <c r="G69" s="314"/>
      <c r="H69" s="315"/>
    </row>
  </sheetData>
  <mergeCells count="14">
    <mergeCell ref="C40:C42"/>
    <mergeCell ref="D40:G40"/>
    <mergeCell ref="C56:C58"/>
    <mergeCell ref="D56:G56"/>
    <mergeCell ref="G4:J5"/>
    <mergeCell ref="K4:M5"/>
    <mergeCell ref="C24:C26"/>
    <mergeCell ref="D24:G24"/>
    <mergeCell ref="C4:D5"/>
    <mergeCell ref="D6:D7"/>
    <mergeCell ref="C8:C12"/>
    <mergeCell ref="C13:C17"/>
    <mergeCell ref="C18:C20"/>
    <mergeCell ref="E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Income statement</vt:lpstr>
      <vt:lpstr> Adj. income statement</vt:lpstr>
      <vt:lpstr>Balance sheet</vt:lpstr>
      <vt:lpstr>Adj. balance sheet</vt:lpstr>
      <vt:lpstr>Cash flow</vt:lpstr>
      <vt:lpstr>Ratios</vt:lpstr>
      <vt:lpstr>Cost of capital</vt:lpstr>
      <vt:lpstr>PV-valuation</vt:lpstr>
      <vt:lpstr>Sensitivitesanalyse</vt:lpstr>
      <vt:lpstr>Beta</vt:lpstr>
      <vt:lpstr>Monte Carlo</vt:lpstr>
      <vt:lpstr>Monte Carlo Histo</vt:lpstr>
      <vt:lpstr>Kredittanalyse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</dc:creator>
  <cp:lastModifiedBy>Wilhelmsen, Lise Marie</cp:lastModifiedBy>
  <dcterms:created xsi:type="dcterms:W3CDTF">2021-02-08T10:49:57Z</dcterms:created>
  <dcterms:modified xsi:type="dcterms:W3CDTF">2021-11-29T09:27:18Z</dcterms:modified>
</cp:coreProperties>
</file>