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an/Documents/BI/Msc in Business/"/>
    </mc:Choice>
  </mc:AlternateContent>
  <xr:revisionPtr revIDLastSave="0" documentId="13_ncr:1_{6B9B3E1A-C638-5F4F-9D55-BFDF5B33A6AF}" xr6:coauthVersionLast="43" xr6:coauthVersionMax="43" xr10:uidLastSave="{00000000-0000-0000-0000-000000000000}"/>
  <bookViews>
    <workbookView xWindow="0" yWindow="460" windowWidth="25520" windowHeight="14480" xr2:uid="{3BE1CF15-1C1C-5847-9FDB-46AADE0B91B1}"/>
  </bookViews>
  <sheets>
    <sheet name="Current Situation" sheetId="2" r:id="rId1"/>
    <sheet name="Future Situation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3" i="3" l="1"/>
  <c r="B14" i="3" s="1"/>
  <c r="F23" i="3"/>
  <c r="F24" i="3" s="1"/>
  <c r="F45" i="2"/>
  <c r="F47" i="2" s="1"/>
  <c r="F40" i="2"/>
  <c r="F38" i="2"/>
  <c r="F39" i="2"/>
  <c r="B18" i="3" l="1"/>
  <c r="F23" i="2" l="1"/>
  <c r="F25" i="2" s="1"/>
  <c r="F15" i="3" l="1"/>
  <c r="B20" i="3"/>
  <c r="B21" i="3" s="1"/>
  <c r="I7" i="2"/>
  <c r="F6" i="3"/>
  <c r="F7" i="3" s="1"/>
  <c r="F8" i="3" s="1"/>
  <c r="C8" i="3"/>
  <c r="C7" i="3"/>
  <c r="F13" i="2"/>
  <c r="F14" i="2" s="1"/>
  <c r="I8" i="2"/>
  <c r="F7" i="2"/>
  <c r="F33" i="2" l="1"/>
  <c r="F34" i="2" s="1"/>
  <c r="I9" i="2"/>
</calcChain>
</file>

<file path=xl/sharedStrings.xml><?xml version="1.0" encoding="utf-8"?>
<sst xmlns="http://schemas.openxmlformats.org/spreadsheetml/2006/main" count="121" uniqueCount="90">
  <si>
    <t xml:space="preserve">Current Situation </t>
  </si>
  <si>
    <t>Transportation</t>
  </si>
  <si>
    <t>Yearly salary per driver</t>
  </si>
  <si>
    <t>Total salary cost per year</t>
  </si>
  <si>
    <t>Salary cost</t>
  </si>
  <si>
    <t>Cost per trip</t>
  </si>
  <si>
    <t>General information</t>
  </si>
  <si>
    <t>Yearly distance travelled (KM)</t>
  </si>
  <si>
    <t>Number of litres (petrol)</t>
  </si>
  <si>
    <t>Cost per km</t>
  </si>
  <si>
    <t>Distance between hospitals</t>
  </si>
  <si>
    <t>3 KM</t>
  </si>
  <si>
    <t>Yearly petrol cost</t>
  </si>
  <si>
    <t>Cost per km =</t>
  </si>
  <si>
    <t>Samples</t>
  </si>
  <si>
    <t>Elektiv-samples (yearly)</t>
  </si>
  <si>
    <t>Øyeblikkelig Hjelp-samples (yearly)</t>
  </si>
  <si>
    <t>Elektiv samples (06:00-15:00 each day)</t>
  </si>
  <si>
    <t>Emissions</t>
  </si>
  <si>
    <t>CO2 emissions</t>
  </si>
  <si>
    <t>tonne</t>
  </si>
  <si>
    <t>Time of day</t>
  </si>
  <si>
    <t xml:space="preserve">Below 1000 </t>
  </si>
  <si>
    <t>Below 1000</t>
  </si>
  <si>
    <t>ca. 1000</t>
  </si>
  <si>
    <t>Money spent on taxi transport</t>
  </si>
  <si>
    <t>Taxi-transport</t>
  </si>
  <si>
    <t>Number of taxis</t>
  </si>
  <si>
    <t>Unknown</t>
  </si>
  <si>
    <t>Yearly trips</t>
  </si>
  <si>
    <t>Daily trips</t>
  </si>
  <si>
    <t xml:space="preserve">Future Situation </t>
  </si>
  <si>
    <t>1,75 KM</t>
  </si>
  <si>
    <t>Cost per trip (8KM)</t>
  </si>
  <si>
    <t>Estimated infrastructure cost</t>
  </si>
  <si>
    <t xml:space="preserve">Cost per KM </t>
  </si>
  <si>
    <t>Cost per trip =</t>
  </si>
  <si>
    <t>Salaries</t>
  </si>
  <si>
    <t>Estimated new salary cost</t>
  </si>
  <si>
    <t>Infrastructure</t>
  </si>
  <si>
    <t>Distance travelled (KM)</t>
  </si>
  <si>
    <t xml:space="preserve">CHARTS </t>
  </si>
  <si>
    <t>Misidentification of biological samples</t>
  </si>
  <si>
    <t>Identity mistakes of all samples taken</t>
  </si>
  <si>
    <t>Number of biological material samples at OUH (yearly)</t>
  </si>
  <si>
    <t>= Number of affected samples</t>
  </si>
  <si>
    <t>Faults that occur before analysis (%)</t>
  </si>
  <si>
    <t>Cost per trip (if 8KM)*</t>
  </si>
  <si>
    <t>*Based on Drone delivery models for healthcare (Scott &amp; Scott, 2017), and Up in the Air: A Global Estimate of Non-Violent Drone Use 2009-2015 (Choi-Fitzpatrick et al., 2016)</t>
  </si>
  <si>
    <t>CHARTS</t>
  </si>
  <si>
    <t>Petrol cost per litre*</t>
  </si>
  <si>
    <t>General information from OUH documents</t>
  </si>
  <si>
    <t>Personnel cost</t>
  </si>
  <si>
    <t xml:space="preserve">Salary costs related to handling and analysis </t>
  </si>
  <si>
    <t>* Circle K (2019)</t>
  </si>
  <si>
    <t>Cut in identification mistakes</t>
  </si>
  <si>
    <t>Number of mistakes</t>
  </si>
  <si>
    <t>Cut %</t>
  </si>
  <si>
    <t>Reduced number of misidentified samples</t>
  </si>
  <si>
    <t>Identification mistakes with UAVs</t>
  </si>
  <si>
    <t xml:space="preserve">Radioactive Isotopes </t>
  </si>
  <si>
    <t xml:space="preserve">Production cost per unit NOK: </t>
  </si>
  <si>
    <t>Production amount for one treatment</t>
  </si>
  <si>
    <t xml:space="preserve">PET-scan for one person </t>
  </si>
  <si>
    <t>Number of scans today</t>
  </si>
  <si>
    <t>Total production cost today</t>
  </si>
  <si>
    <t>The cost of RI-production is a parameter given by OUH</t>
  </si>
  <si>
    <t>We assume that all productions have to be made with three times the amount to treat one person (based on a statement from OUH)</t>
  </si>
  <si>
    <t>Total salary costs for drivers</t>
  </si>
  <si>
    <t xml:space="preserve">Personnel: </t>
  </si>
  <si>
    <t>Transportation cost of total costs</t>
  </si>
  <si>
    <t>Total costs (personnel, taxi, petrol)</t>
  </si>
  <si>
    <t>Transportation costs (drivers, taxi, petrol)</t>
  </si>
  <si>
    <t xml:space="preserve">Transportation costs in % of total costs </t>
  </si>
  <si>
    <t>Source: Pedersen (2018)</t>
  </si>
  <si>
    <t>Average CO2-emission of a car: 150 (Vegvesen, 2019)</t>
  </si>
  <si>
    <t>Assuming that all of OUH's vehicles uses gasoline</t>
  </si>
  <si>
    <t>Number of analysis misidentified before analysis at OUH (yearly)</t>
  </si>
  <si>
    <t>Cut in personnel costs</t>
  </si>
  <si>
    <t>Yearly salaries personnel</t>
  </si>
  <si>
    <t>Estimated UAV infrastructure cost (US dollars)</t>
  </si>
  <si>
    <t>1 USD = 8.68 NOK (11.jun 2019)</t>
  </si>
  <si>
    <t>Complete infrastructure** (NOK)</t>
  </si>
  <si>
    <t>Based on Drone delivery models for healthcare (Scott &amp; Scott, 2017), and Up in the Air: A Global Estimate of Non-Violent Drone Use 2009-2015 (Choi-Fitzpatrick et al., 2016)</t>
  </si>
  <si>
    <t>**50 base stations, 150 drones (400 km infrastructure)</t>
  </si>
  <si>
    <t>*(Aftenposten, 2019)</t>
  </si>
  <si>
    <t>1 USD = 8.68 NOK (11.jun 2019)*</t>
  </si>
  <si>
    <t>Based on report by Krogstad, Hafstad, Patrono, Saastad, and Flesland (2014)</t>
  </si>
  <si>
    <t xml:space="preserve">Based on OUH documents </t>
  </si>
  <si>
    <t>Saved salary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</si>
</sst>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0.0"/>
    <numFmt numFmtId="165" formatCode="0.0\ %"/>
  </numFmts>
  <fonts count="1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8"/>
      <color theme="1"/>
      <name val="Calibri (Brødtekst)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u/>
      <sz val="12"/>
      <color theme="1"/>
      <name val="Calibri (Brødtekst)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 (Brødtekst)"/>
    </font>
    <font>
      <i/>
      <sz val="10"/>
      <color theme="1"/>
      <name val="Calibri (Brødtekst)"/>
    </font>
    <font>
      <b/>
      <u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3" fillId="0" borderId="0" xfId="0" applyFont="1"/>
    <xf numFmtId="44" fontId="0" fillId="0" borderId="0" xfId="2" applyFont="1"/>
    <xf numFmtId="44" fontId="0" fillId="0" borderId="0" xfId="0" applyNumberFormat="1"/>
    <xf numFmtId="0" fontId="0" fillId="0" borderId="1" xfId="0" applyBorder="1"/>
    <xf numFmtId="44" fontId="0" fillId="0" borderId="1" xfId="2" applyFont="1" applyBorder="1"/>
    <xf numFmtId="0" fontId="0" fillId="0" borderId="2" xfId="0" applyBorder="1"/>
    <xf numFmtId="44" fontId="0" fillId="0" borderId="2" xfId="0" applyNumberFormat="1" applyBorder="1"/>
    <xf numFmtId="0" fontId="4" fillId="0" borderId="1" xfId="0" applyFont="1" applyBorder="1"/>
    <xf numFmtId="0" fontId="0" fillId="0" borderId="0" xfId="0" applyBorder="1"/>
    <xf numFmtId="0" fontId="6" fillId="0" borderId="0" xfId="0" applyFont="1"/>
    <xf numFmtId="0" fontId="9" fillId="0" borderId="0" xfId="0" applyFont="1" applyBorder="1"/>
    <xf numFmtId="164" fontId="0" fillId="0" borderId="0" xfId="0" applyNumberFormat="1"/>
    <xf numFmtId="1" fontId="0" fillId="0" borderId="0" xfId="0" applyNumberFormat="1"/>
    <xf numFmtId="0" fontId="11" fillId="0" borderId="0" xfId="0" applyFont="1"/>
    <xf numFmtId="0" fontId="6" fillId="0" borderId="4" xfId="0" applyFont="1" applyBorder="1"/>
    <xf numFmtId="0" fontId="0" fillId="0" borderId="5" xfId="0" applyBorder="1"/>
    <xf numFmtId="0" fontId="7" fillId="0" borderId="5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6" fillId="0" borderId="6" xfId="0" applyFont="1" applyBorder="1"/>
    <xf numFmtId="44" fontId="0" fillId="0" borderId="0" xfId="2" applyFont="1" applyBorder="1"/>
    <xf numFmtId="1" fontId="0" fillId="0" borderId="0" xfId="0" applyNumberFormat="1" applyBorder="1"/>
    <xf numFmtId="164" fontId="0" fillId="0" borderId="0" xfId="0" applyNumberFormat="1" applyBorder="1"/>
    <xf numFmtId="0" fontId="0" fillId="0" borderId="10" xfId="0" applyBorder="1"/>
    <xf numFmtId="0" fontId="4" fillId="0" borderId="11" xfId="0" applyFont="1" applyBorder="1"/>
    <xf numFmtId="0" fontId="0" fillId="0" borderId="12" xfId="0" applyBorder="1"/>
    <xf numFmtId="0" fontId="0" fillId="0" borderId="13" xfId="0" applyBorder="1"/>
    <xf numFmtId="0" fontId="2" fillId="0" borderId="6" xfId="0" applyFont="1" applyBorder="1"/>
    <xf numFmtId="0" fontId="0" fillId="0" borderId="7" xfId="0" applyBorder="1" applyAlignment="1">
      <alignment horizontal="right"/>
    </xf>
    <xf numFmtId="44" fontId="0" fillId="0" borderId="7" xfId="2" applyFont="1" applyBorder="1"/>
    <xf numFmtId="44" fontId="0" fillId="0" borderId="10" xfId="2" applyFont="1" applyFill="1" applyBorder="1"/>
    <xf numFmtId="0" fontId="8" fillId="0" borderId="8" xfId="0" applyFont="1" applyBorder="1" applyAlignment="1">
      <alignment horizontal="center"/>
    </xf>
    <xf numFmtId="0" fontId="0" fillId="0" borderId="10" xfId="0" applyBorder="1" applyAlignment="1">
      <alignment horizontal="center"/>
    </xf>
    <xf numFmtId="20" fontId="8" fillId="0" borderId="6" xfId="0" applyNumberFormat="1" applyFont="1" applyBorder="1"/>
    <xf numFmtId="0" fontId="8" fillId="0" borderId="7" xfId="0" applyFont="1" applyBorder="1"/>
    <xf numFmtId="20" fontId="0" fillId="0" borderId="6" xfId="0" applyNumberFormat="1" applyBorder="1"/>
    <xf numFmtId="20" fontId="0" fillId="0" borderId="8" xfId="0" applyNumberFormat="1" applyBorder="1"/>
    <xf numFmtId="0" fontId="0" fillId="0" borderId="11" xfId="0" applyBorder="1"/>
    <xf numFmtId="0" fontId="0" fillId="0" borderId="3" xfId="0" applyBorder="1"/>
    <xf numFmtId="0" fontId="0" fillId="0" borderId="14" xfId="0" applyBorder="1"/>
    <xf numFmtId="9" fontId="0" fillId="0" borderId="14" xfId="3" applyFont="1" applyBorder="1"/>
    <xf numFmtId="0" fontId="0" fillId="0" borderId="15" xfId="0" applyBorder="1"/>
    <xf numFmtId="49" fontId="0" fillId="0" borderId="11" xfId="0" applyNumberFormat="1" applyBorder="1"/>
    <xf numFmtId="9" fontId="0" fillId="0" borderId="14" xfId="0" applyNumberFormat="1" applyBorder="1"/>
    <xf numFmtId="0" fontId="0" fillId="0" borderId="16" xfId="0" applyBorder="1"/>
    <xf numFmtId="0" fontId="0" fillId="0" borderId="17" xfId="0" applyBorder="1"/>
    <xf numFmtId="10" fontId="0" fillId="0" borderId="0" xfId="3" applyNumberFormat="1" applyFont="1"/>
    <xf numFmtId="0" fontId="5" fillId="0" borderId="0" xfId="0" applyFont="1"/>
    <xf numFmtId="9" fontId="0" fillId="0" borderId="0" xfId="3" applyFont="1" applyBorder="1"/>
    <xf numFmtId="165" fontId="0" fillId="0" borderId="0" xfId="3" applyNumberFormat="1" applyFont="1"/>
    <xf numFmtId="0" fontId="12" fillId="0" borderId="0" xfId="0" applyFont="1"/>
    <xf numFmtId="0" fontId="0" fillId="0" borderId="4" xfId="0" applyBorder="1"/>
    <xf numFmtId="0" fontId="0" fillId="0" borderId="8" xfId="0" applyFill="1" applyBorder="1"/>
    <xf numFmtId="0" fontId="0" fillId="0" borderId="9" xfId="0" applyFill="1" applyBorder="1"/>
    <xf numFmtId="0" fontId="7" fillId="0" borderId="6" xfId="0" applyFont="1" applyBorder="1"/>
    <xf numFmtId="44" fontId="0" fillId="0" borderId="14" xfId="2" applyFont="1" applyBorder="1"/>
    <xf numFmtId="44" fontId="0" fillId="0" borderId="15" xfId="2" applyFont="1" applyBorder="1"/>
    <xf numFmtId="44" fontId="0" fillId="0" borderId="18" xfId="2" applyNumberFormat="1" applyFont="1" applyBorder="1"/>
    <xf numFmtId="44" fontId="0" fillId="0" borderId="14" xfId="2" applyFont="1" applyFill="1" applyBorder="1"/>
    <xf numFmtId="44" fontId="0" fillId="0" borderId="15" xfId="0" applyNumberFormat="1" applyBorder="1"/>
    <xf numFmtId="44" fontId="0" fillId="0" borderId="18" xfId="0" applyNumberFormat="1" applyBorder="1"/>
    <xf numFmtId="44" fontId="0" fillId="0" borderId="14" xfId="0" applyNumberFormat="1" applyBorder="1"/>
    <xf numFmtId="0" fontId="10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44" fontId="0" fillId="0" borderId="18" xfId="2" applyFont="1" applyBorder="1"/>
    <xf numFmtId="43" fontId="0" fillId="0" borderId="14" xfId="1" applyFont="1" applyBorder="1"/>
    <xf numFmtId="43" fontId="0" fillId="0" borderId="18" xfId="0" applyNumberFormat="1" applyBorder="1"/>
    <xf numFmtId="0" fontId="13" fillId="0" borderId="0" xfId="0" applyFont="1"/>
    <xf numFmtId="44" fontId="0" fillId="0" borderId="19" xfId="2" applyFont="1" applyBorder="1"/>
    <xf numFmtId="43" fontId="0" fillId="0" borderId="15" xfId="1" applyFont="1" applyBorder="1"/>
    <xf numFmtId="0" fontId="11" fillId="0" borderId="6" xfId="0" applyFont="1" applyBorder="1" applyAlignment="1">
      <alignment wrapText="1"/>
    </xf>
    <xf numFmtId="0" fontId="11" fillId="0" borderId="8" xfId="0" applyFont="1" applyBorder="1" applyAlignment="1">
      <alignment wrapText="1"/>
    </xf>
    <xf numFmtId="165" fontId="0" fillId="0" borderId="15" xfId="3" applyNumberFormat="1" applyFont="1" applyBorder="1"/>
    <xf numFmtId="44" fontId="0" fillId="0" borderId="19" xfId="0" applyNumberFormat="1" applyBorder="1"/>
    <xf numFmtId="9" fontId="0" fillId="0" borderId="15" xfId="3" applyNumberFormat="1" applyFont="1" applyBorder="1"/>
    <xf numFmtId="0" fontId="0" fillId="0" borderId="19" xfId="0" applyBorder="1"/>
    <xf numFmtId="0" fontId="11" fillId="0" borderId="15" xfId="0" applyFont="1" applyBorder="1"/>
    <xf numFmtId="0" fontId="0" fillId="0" borderId="18" xfId="0" applyBorder="1"/>
    <xf numFmtId="0" fontId="0" fillId="0" borderId="20" xfId="0" applyBorder="1"/>
    <xf numFmtId="0" fontId="0" fillId="0" borderId="20" xfId="0" applyFill="1" applyBorder="1"/>
    <xf numFmtId="44" fontId="0" fillId="0" borderId="6" xfId="0" applyNumberFormat="1" applyBorder="1"/>
    <xf numFmtId="0" fontId="2" fillId="0" borderId="4" xfId="0" applyFont="1" applyBorder="1"/>
    <xf numFmtId="44" fontId="0" fillId="0" borderId="1" xfId="0" applyNumberFormat="1" applyBorder="1"/>
    <xf numFmtId="0" fontId="0" fillId="0" borderId="1" xfId="2" applyNumberFormat="1" applyFont="1" applyBorder="1"/>
    <xf numFmtId="44" fontId="0" fillId="0" borderId="2" xfId="2" applyFont="1" applyBorder="1"/>
    <xf numFmtId="0" fontId="0" fillId="0" borderId="14" xfId="0" applyBorder="1" applyAlignment="1">
      <alignment horizontal="right"/>
    </xf>
  </cellXfs>
  <cellStyles count="4">
    <cellStyle name="Komma" xfId="1" builtinId="3"/>
    <cellStyle name="Normal" xfId="0" builtinId="0"/>
    <cellStyle name="Prosent" xfId="3" builtinId="5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1113366</xdr:colOff>
      <xdr:row>51</xdr:row>
      <xdr:rowOff>25400</xdr:rowOff>
    </xdr:from>
    <xdr:to>
      <xdr:col>2</xdr:col>
      <xdr:colOff>794601</xdr:colOff>
      <xdr:row>66</xdr:row>
      <xdr:rowOff>2336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8738872-71F7-954A-8499-CF632D7111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366" y="10411178"/>
          <a:ext cx="3364235" cy="29402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66</xdr:row>
      <xdr:rowOff>136326</xdr:rowOff>
    </xdr:from>
    <xdr:to>
      <xdr:col>2</xdr:col>
      <xdr:colOff>1140179</xdr:colOff>
      <xdr:row>78</xdr:row>
      <xdr:rowOff>0</xdr:rowOff>
    </xdr:to>
    <xdr:pic>
      <xdr:nvPicPr>
        <xdr:cNvPr id="6" name="Bilde 5" descr="https://lh4.googleusercontent.com/HCNCgo6K7UzTt41HaLbpDaBUTxPaRVIoYx16Gq7WNy7Hh02KqVRtZIpSCoEDxWGGQIm79qjXZei7H2AZSIR3gsu6u2jjzSMBGmMNoHWbeZguOQELMvWgzWyMT4J8I5M2Wuf8rdpH">
          <a:extLst>
            <a:ext uri="{FF2B5EF4-FFF2-40B4-BE49-F238E27FC236}">
              <a16:creationId xmlns:a16="http://schemas.microsoft.com/office/drawing/2014/main" id="{1A2317FE-03E5-A04B-9000-A7F06964F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779" y="13555993"/>
          <a:ext cx="3708400" cy="2234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1199444</xdr:colOff>
      <xdr:row>51</xdr:row>
      <xdr:rowOff>14111</xdr:rowOff>
    </xdr:from>
    <xdr:to>
      <xdr:col>7</xdr:col>
      <xdr:colOff>1466090</xdr:colOff>
      <xdr:row>74</xdr:row>
      <xdr:rowOff>80433</xdr:rowOff>
    </xdr:to>
    <xdr:pic>
      <xdr:nvPicPr>
        <xdr:cNvPr id="7" name="Bilde 6" descr="https://lh4.googleusercontent.com/aH84qfr4IT66PTTlFsDdsrWm1tckADACaa8K-9JCi8qtlTfencu8zjdS5W3SLxbJJ8RPjfzEMVZzHCxD7NpMTgkgLdPoozQrNe9tZTDjP9fO2QOIWI1XET-LIlhp0c1nEgsD-FON">
          <a:extLst>
            <a:ext uri="{FF2B5EF4-FFF2-40B4-BE49-F238E27FC236}">
              <a16:creationId xmlns:a16="http://schemas.microsoft.com/office/drawing/2014/main" id="{EDC4BCF1-744C-8742-AD2C-2FF9D60AC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8222" y="10470444"/>
          <a:ext cx="6304845" cy="461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77</xdr:row>
      <xdr:rowOff>146342</xdr:rowOff>
    </xdr:from>
    <xdr:to>
      <xdr:col>5</xdr:col>
      <xdr:colOff>1185332</xdr:colOff>
      <xdr:row>98</xdr:row>
      <xdr:rowOff>142867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9500DAA0-4328-0F41-A265-C34DD6C4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5833" y="16116592"/>
          <a:ext cx="5016500" cy="421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14109</xdr:colOff>
      <xdr:row>26</xdr:row>
      <xdr:rowOff>196865</xdr:rowOff>
    </xdr:from>
    <xdr:to>
      <xdr:col>4</xdr:col>
      <xdr:colOff>2934404</xdr:colOff>
      <xdr:row>56</xdr:row>
      <xdr:rowOff>122767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EDF30F4-234B-2B45-9869-792A4D23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9776" y="6490421"/>
          <a:ext cx="7044267" cy="5852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C14B2-E8CD-C045-AED8-7A9085D2612F}">
  <dimension ref="A1:M102"/>
  <sheetViews>
    <sheetView tabSelected="1" topLeftCell="A56" zoomScale="70" zoomScaleNormal="70" workbookViewId="0">
      <selection activeCell="E30" sqref="E30"/>
    </sheetView>
  </sheetViews>
  <sheetFormatPr baseColWidth="10" defaultRowHeight="16"/>
  <cols>
    <col min="1" max="1" width="14.6640625" customWidth="1"/>
    <col min="2" max="2" width="33.6640625" bestFit="1" customWidth="1"/>
    <col min="3" max="4" width="18.1640625" bestFit="1" customWidth="1"/>
    <col min="5" max="5" width="50.1640625" customWidth="1"/>
    <col min="6" max="6" width="18.1640625" bestFit="1" customWidth="1"/>
    <col min="8" max="8" width="21.6640625" bestFit="1" customWidth="1"/>
    <col min="9" max="9" width="18.1640625" bestFit="1" customWidth="1"/>
  </cols>
  <sheetData>
    <row r="1" spans="1:13" ht="24">
      <c r="A1" s="1" t="s">
        <v>0</v>
      </c>
      <c r="J1" s="9"/>
      <c r="K1" s="9"/>
      <c r="L1" s="9"/>
      <c r="M1" s="9"/>
    </row>
    <row r="2" spans="1:13">
      <c r="J2" s="9"/>
      <c r="K2" s="9"/>
      <c r="L2" s="9"/>
      <c r="M2" s="9"/>
    </row>
    <row r="3" spans="1:13" ht="19">
      <c r="A3" s="27" t="s">
        <v>51</v>
      </c>
      <c r="B3" s="28"/>
      <c r="C3" s="29"/>
      <c r="E3" s="27" t="s">
        <v>1</v>
      </c>
      <c r="F3" s="28"/>
      <c r="G3" s="28"/>
      <c r="H3" s="28"/>
      <c r="I3" s="28"/>
      <c r="J3" s="18"/>
      <c r="K3" s="9"/>
      <c r="L3" s="9"/>
      <c r="M3" s="9"/>
    </row>
    <row r="4" spans="1:13">
      <c r="A4" s="30" t="s">
        <v>1</v>
      </c>
      <c r="B4" s="9" t="s">
        <v>7</v>
      </c>
      <c r="C4" s="19">
        <v>484279</v>
      </c>
      <c r="E4" s="15" t="s">
        <v>4</v>
      </c>
      <c r="F4" s="16"/>
      <c r="G4" s="16"/>
      <c r="H4" s="17" t="s">
        <v>9</v>
      </c>
      <c r="I4" s="16"/>
      <c r="J4" s="18"/>
      <c r="K4" s="9"/>
      <c r="L4" s="9"/>
      <c r="M4" s="9"/>
    </row>
    <row r="5" spans="1:13">
      <c r="A5" s="18"/>
      <c r="B5" s="9" t="s">
        <v>10</v>
      </c>
      <c r="C5" s="31" t="s">
        <v>11</v>
      </c>
      <c r="E5" s="18" t="s">
        <v>69</v>
      </c>
      <c r="F5" s="9">
        <v>3</v>
      </c>
      <c r="G5" s="9"/>
      <c r="H5" s="9" t="s">
        <v>50</v>
      </c>
      <c r="I5" s="23">
        <v>17.03</v>
      </c>
      <c r="J5" s="18"/>
      <c r="K5" s="9"/>
      <c r="L5" s="9"/>
      <c r="M5" s="9"/>
    </row>
    <row r="6" spans="1:13">
      <c r="A6" s="18"/>
      <c r="B6" s="9" t="s">
        <v>25</v>
      </c>
      <c r="C6" s="32">
        <v>2600000</v>
      </c>
      <c r="E6" s="20" t="s">
        <v>2</v>
      </c>
      <c r="F6" s="5">
        <v>450000</v>
      </c>
      <c r="G6" s="9"/>
      <c r="H6" s="4" t="s">
        <v>8</v>
      </c>
      <c r="I6" s="4">
        <v>50000</v>
      </c>
      <c r="J6" s="18"/>
      <c r="K6" s="9"/>
      <c r="L6" s="9"/>
      <c r="M6" s="9"/>
    </row>
    <row r="7" spans="1:13" ht="17" thickBot="1">
      <c r="D7" s="42"/>
      <c r="E7" s="21" t="s">
        <v>3</v>
      </c>
      <c r="F7" s="7">
        <f>F6*F5</f>
        <v>1350000</v>
      </c>
      <c r="G7" s="9"/>
      <c r="H7" s="28" t="s">
        <v>12</v>
      </c>
      <c r="I7" s="85">
        <f>I5*I6</f>
        <v>851500</v>
      </c>
      <c r="J7" s="18"/>
      <c r="K7" s="9"/>
      <c r="L7" s="9"/>
      <c r="M7" s="9"/>
    </row>
    <row r="8" spans="1:13" ht="17" thickTop="1">
      <c r="A8" s="30" t="s">
        <v>14</v>
      </c>
      <c r="B8" s="9" t="s">
        <v>15</v>
      </c>
      <c r="C8" s="19">
        <v>18090019</v>
      </c>
      <c r="E8" s="18"/>
      <c r="F8" s="9"/>
      <c r="G8" s="9"/>
      <c r="H8" s="4" t="s">
        <v>40</v>
      </c>
      <c r="I8" s="86">
        <f>C4</f>
        <v>484279</v>
      </c>
      <c r="J8" s="18"/>
      <c r="K8" s="9"/>
      <c r="L8" s="9"/>
      <c r="M8" s="9"/>
    </row>
    <row r="9" spans="1:13" ht="17" thickBot="1">
      <c r="A9" s="20"/>
      <c r="B9" s="4" t="s">
        <v>16</v>
      </c>
      <c r="C9" s="26">
        <v>2221930</v>
      </c>
      <c r="E9" s="22" t="s">
        <v>26</v>
      </c>
      <c r="F9" s="9"/>
      <c r="G9" s="9"/>
      <c r="H9" s="6" t="s">
        <v>13</v>
      </c>
      <c r="I9" s="87">
        <f>I7/I8</f>
        <v>1.7582839644089461</v>
      </c>
      <c r="J9" s="18"/>
      <c r="K9" s="9"/>
      <c r="L9" s="9"/>
      <c r="M9" s="9"/>
    </row>
    <row r="10" spans="1:13" ht="17" thickTop="1">
      <c r="E10" s="18" t="s">
        <v>27</v>
      </c>
      <c r="F10" s="9" t="s">
        <v>28</v>
      </c>
      <c r="G10" s="9"/>
      <c r="H10" s="9"/>
      <c r="I10" s="9"/>
      <c r="J10" s="18"/>
      <c r="K10" s="9"/>
      <c r="L10" s="9"/>
      <c r="M10" s="9"/>
    </row>
    <row r="11" spans="1:13">
      <c r="E11" s="18" t="s">
        <v>25</v>
      </c>
      <c r="F11" s="23">
        <v>2600000</v>
      </c>
      <c r="G11" s="9"/>
      <c r="H11" s="9" t="s">
        <v>54</v>
      </c>
      <c r="I11" s="9"/>
      <c r="J11" s="18"/>
      <c r="K11" s="9"/>
      <c r="L11" s="9"/>
      <c r="M11" s="9"/>
    </row>
    <row r="12" spans="1:13" ht="19">
      <c r="B12" s="27" t="s">
        <v>37</v>
      </c>
      <c r="C12" s="29"/>
      <c r="D12" s="3"/>
      <c r="E12" s="18" t="s">
        <v>5</v>
      </c>
      <c r="F12" s="23">
        <v>240</v>
      </c>
      <c r="G12" s="9"/>
      <c r="H12" s="9"/>
      <c r="I12" s="9"/>
      <c r="J12" s="18"/>
      <c r="K12" s="9"/>
      <c r="L12" s="9"/>
      <c r="M12" s="9"/>
    </row>
    <row r="13" spans="1:13">
      <c r="B13" s="20" t="s">
        <v>52</v>
      </c>
      <c r="C13" s="33">
        <v>120400000</v>
      </c>
      <c r="D13" s="3"/>
      <c r="E13" s="18" t="s">
        <v>29</v>
      </c>
      <c r="F13" s="24">
        <f>F11/F12</f>
        <v>10833.333333333334</v>
      </c>
      <c r="G13" s="9"/>
      <c r="H13" s="9"/>
      <c r="I13" s="9"/>
      <c r="J13" s="18"/>
      <c r="K13" s="9"/>
      <c r="L13" s="9"/>
      <c r="M13" s="9"/>
    </row>
    <row r="14" spans="1:13">
      <c r="D14" s="3"/>
      <c r="E14" s="18" t="s">
        <v>30</v>
      </c>
      <c r="F14" s="25">
        <f>F13/365</f>
        <v>29.680365296803654</v>
      </c>
      <c r="G14" s="9"/>
      <c r="H14" s="9"/>
      <c r="I14" s="9"/>
      <c r="J14" s="18"/>
      <c r="K14" s="9"/>
      <c r="L14" s="9"/>
      <c r="M14" s="9"/>
    </row>
    <row r="15" spans="1:13" ht="19">
      <c r="B15" s="27" t="s">
        <v>18</v>
      </c>
      <c r="C15" s="29"/>
      <c r="D15" s="51"/>
      <c r="E15" s="20"/>
      <c r="F15" s="4"/>
      <c r="G15" s="4"/>
      <c r="H15" s="4"/>
      <c r="I15" s="4"/>
      <c r="J15" s="18"/>
      <c r="K15" s="9"/>
      <c r="L15" s="9"/>
      <c r="M15" s="9"/>
    </row>
    <row r="16" spans="1:13">
      <c r="B16" s="18" t="s">
        <v>7</v>
      </c>
      <c r="C16" s="19">
        <v>484279</v>
      </c>
    </row>
    <row r="17" spans="2:9">
      <c r="B17" s="20" t="s">
        <v>19</v>
      </c>
      <c r="C17" s="26">
        <v>72.599999999999994</v>
      </c>
      <c r="D17" s="9" t="s">
        <v>20</v>
      </c>
    </row>
    <row r="18" spans="2:9">
      <c r="E18" s="9"/>
      <c r="F18" s="9"/>
    </row>
    <row r="19" spans="2:9">
      <c r="E19" s="9"/>
      <c r="F19" s="9"/>
    </row>
    <row r="20" spans="2:9" ht="19">
      <c r="B20" s="27" t="s">
        <v>14</v>
      </c>
      <c r="C20" s="29"/>
      <c r="E20" s="27" t="s">
        <v>42</v>
      </c>
      <c r="F20" s="41"/>
      <c r="H20" s="3"/>
    </row>
    <row r="21" spans="2:9">
      <c r="B21" s="40" t="s">
        <v>17</v>
      </c>
      <c r="C21" s="29">
        <v>41000</v>
      </c>
      <c r="E21" s="18" t="s">
        <v>43</v>
      </c>
      <c r="F21" s="43">
        <v>0.01</v>
      </c>
    </row>
    <row r="22" spans="2:9">
      <c r="B22" s="18"/>
      <c r="C22" s="19"/>
      <c r="E22" s="20" t="s">
        <v>44</v>
      </c>
      <c r="F22" s="44">
        <v>20200000</v>
      </c>
    </row>
    <row r="23" spans="2:9">
      <c r="B23" s="34" t="s">
        <v>21</v>
      </c>
      <c r="C23" s="35" t="s">
        <v>14</v>
      </c>
      <c r="E23" s="45" t="s">
        <v>45</v>
      </c>
      <c r="F23" s="41">
        <f>F22*F21</f>
        <v>202000</v>
      </c>
    </row>
    <row r="24" spans="2:9">
      <c r="B24" s="36">
        <v>4.1666666666666664E-2</v>
      </c>
      <c r="C24" s="37" t="s">
        <v>22</v>
      </c>
      <c r="E24" s="18" t="s">
        <v>46</v>
      </c>
      <c r="F24" s="46">
        <v>0.59</v>
      </c>
    </row>
    <row r="25" spans="2:9" ht="17" thickBot="1">
      <c r="B25" s="38">
        <v>8.3333333333333329E-2</v>
      </c>
      <c r="C25" s="37" t="s">
        <v>22</v>
      </c>
      <c r="E25" s="47" t="s">
        <v>77</v>
      </c>
      <c r="F25" s="48">
        <f>F24*F23</f>
        <v>119180</v>
      </c>
      <c r="H25" s="9"/>
      <c r="I25" s="52"/>
    </row>
    <row r="26" spans="2:9" ht="17" thickTop="1">
      <c r="B26" s="36">
        <v>0.125</v>
      </c>
      <c r="C26" s="37" t="s">
        <v>23</v>
      </c>
      <c r="E26" s="14" t="s">
        <v>87</v>
      </c>
      <c r="F26" s="49"/>
      <c r="H26" s="9"/>
    </row>
    <row r="27" spans="2:9">
      <c r="B27" s="38">
        <v>0.16666666666666699</v>
      </c>
      <c r="C27" s="37" t="s">
        <v>23</v>
      </c>
      <c r="E27" s="11"/>
      <c r="F27" s="9"/>
    </row>
    <row r="28" spans="2:9">
      <c r="B28" s="36">
        <v>0.20833333333333401</v>
      </c>
      <c r="C28" s="37" t="s">
        <v>23</v>
      </c>
    </row>
    <row r="29" spans="2:9">
      <c r="B29" s="38">
        <v>0.25</v>
      </c>
      <c r="C29" s="37" t="s">
        <v>24</v>
      </c>
    </row>
    <row r="30" spans="2:9">
      <c r="B30" s="36">
        <v>0.29166666666666702</v>
      </c>
      <c r="C30" s="37">
        <v>2000</v>
      </c>
    </row>
    <row r="31" spans="2:9" ht="19">
      <c r="B31" s="38">
        <v>0.33333333333333398</v>
      </c>
      <c r="C31" s="37">
        <v>10000</v>
      </c>
      <c r="E31" s="27" t="s">
        <v>37</v>
      </c>
      <c r="F31" s="41"/>
    </row>
    <row r="32" spans="2:9">
      <c r="B32" s="36">
        <v>0.375</v>
      </c>
      <c r="C32" s="37">
        <v>6000</v>
      </c>
      <c r="E32" s="18" t="s">
        <v>52</v>
      </c>
      <c r="F32" s="61">
        <v>120400000</v>
      </c>
    </row>
    <row r="33" spans="2:7">
      <c r="B33" s="38">
        <v>0.41666666666666702</v>
      </c>
      <c r="C33" s="37">
        <v>4500</v>
      </c>
      <c r="E33" s="55" t="s">
        <v>68</v>
      </c>
      <c r="F33" s="62">
        <f>F7</f>
        <v>1350000</v>
      </c>
    </row>
    <row r="34" spans="2:7" ht="17" thickBot="1">
      <c r="B34" s="36">
        <v>0.45833333333333398</v>
      </c>
      <c r="C34" s="37">
        <v>5500</v>
      </c>
      <c r="E34" s="56" t="s">
        <v>53</v>
      </c>
      <c r="F34" s="63">
        <f>F32-F33</f>
        <v>119050000</v>
      </c>
    </row>
    <row r="35" spans="2:7" ht="17" thickTop="1">
      <c r="B35" s="38">
        <v>0.5</v>
      </c>
      <c r="C35" s="37">
        <v>4300</v>
      </c>
    </row>
    <row r="36" spans="2:7">
      <c r="B36" s="36">
        <v>0.54166666666666696</v>
      </c>
      <c r="C36" s="37">
        <v>4000</v>
      </c>
    </row>
    <row r="37" spans="2:7" ht="19">
      <c r="B37" s="38">
        <v>0.58333333333333404</v>
      </c>
      <c r="C37" s="37">
        <v>3000</v>
      </c>
      <c r="E37" s="27" t="s">
        <v>70</v>
      </c>
      <c r="F37" s="41"/>
      <c r="G37" s="18"/>
    </row>
    <row r="38" spans="2:7">
      <c r="B38" s="36">
        <v>0.625</v>
      </c>
      <c r="C38" s="37">
        <v>1000</v>
      </c>
      <c r="E38" s="18" t="s">
        <v>71</v>
      </c>
      <c r="F38" s="64">
        <f>C13+C6+I7</f>
        <v>123851500</v>
      </c>
      <c r="G38" s="83"/>
    </row>
    <row r="39" spans="2:7">
      <c r="B39" s="38">
        <v>0.66666666666666696</v>
      </c>
      <c r="C39" s="19" t="s">
        <v>23</v>
      </c>
      <c r="E39" s="20" t="s">
        <v>72</v>
      </c>
      <c r="F39" s="62">
        <f>C6+F7+I7</f>
        <v>4801500</v>
      </c>
      <c r="G39" s="83"/>
    </row>
    <row r="40" spans="2:7">
      <c r="B40" s="36">
        <v>0.70833333333333404</v>
      </c>
      <c r="C40" s="19" t="s">
        <v>23</v>
      </c>
      <c r="E40" s="20" t="s">
        <v>73</v>
      </c>
      <c r="F40" s="75">
        <f>F39/F38</f>
        <v>3.8768202242201344E-2</v>
      </c>
    </row>
    <row r="41" spans="2:7">
      <c r="B41" s="38">
        <v>0.75</v>
      </c>
      <c r="C41" s="19" t="s">
        <v>23</v>
      </c>
    </row>
    <row r="42" spans="2:7" ht="19">
      <c r="B42" s="36">
        <v>0.79166666666666696</v>
      </c>
      <c r="C42" s="19" t="s">
        <v>23</v>
      </c>
      <c r="E42" s="27" t="s">
        <v>60</v>
      </c>
      <c r="F42" s="41"/>
    </row>
    <row r="43" spans="2:7">
      <c r="B43" s="38">
        <v>0.83333333333333404</v>
      </c>
      <c r="C43" s="19" t="s">
        <v>23</v>
      </c>
      <c r="E43" s="54" t="s">
        <v>61</v>
      </c>
      <c r="F43" s="71">
        <v>5000</v>
      </c>
    </row>
    <row r="44" spans="2:7">
      <c r="B44" s="36">
        <v>0.875</v>
      </c>
      <c r="C44" s="19" t="s">
        <v>23</v>
      </c>
      <c r="E44" s="20" t="s">
        <v>62</v>
      </c>
      <c r="F44" s="72">
        <v>3</v>
      </c>
    </row>
    <row r="45" spans="2:7">
      <c r="B45" s="38">
        <v>0.91666666666666696</v>
      </c>
      <c r="C45" s="19" t="s">
        <v>23</v>
      </c>
      <c r="E45" s="18" t="s">
        <v>63</v>
      </c>
      <c r="F45" s="58">
        <f>F43*F44</f>
        <v>15000</v>
      </c>
    </row>
    <row r="46" spans="2:7">
      <c r="B46" s="36">
        <v>0.95833333333333404</v>
      </c>
      <c r="C46" s="19" t="s">
        <v>23</v>
      </c>
      <c r="E46" s="18" t="s">
        <v>64</v>
      </c>
      <c r="F46" s="68">
        <v>4000</v>
      </c>
    </row>
    <row r="47" spans="2:7" ht="17" thickBot="1">
      <c r="B47" s="39">
        <v>1</v>
      </c>
      <c r="C47" s="26" t="s">
        <v>23</v>
      </c>
      <c r="E47" s="21" t="s">
        <v>65</v>
      </c>
      <c r="F47" s="67">
        <f>F45*F46</f>
        <v>60000000</v>
      </c>
    </row>
    <row r="48" spans="2:7" ht="17" thickTop="1">
      <c r="E48" s="73" t="s">
        <v>66</v>
      </c>
      <c r="F48" s="19"/>
    </row>
    <row r="49" spans="2:6" ht="30">
      <c r="E49" s="74" t="s">
        <v>67</v>
      </c>
      <c r="F49" s="26"/>
    </row>
    <row r="50" spans="2:6" ht="19">
      <c r="B50" s="50" t="s">
        <v>41</v>
      </c>
    </row>
    <row r="100" spans="5:5">
      <c r="E100" s="14" t="s">
        <v>74</v>
      </c>
    </row>
    <row r="101" spans="5:5">
      <c r="E101" s="70" t="s">
        <v>75</v>
      </c>
    </row>
    <row r="102" spans="5:5">
      <c r="E102" t="s">
        <v>76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7B2A-5052-E84E-8E7E-A3DA1A2193CF}">
  <dimension ref="A1:G35"/>
  <sheetViews>
    <sheetView topLeftCell="A14" zoomScaleNormal="100" workbookViewId="0">
      <selection activeCell="C18" sqref="C18"/>
    </sheetView>
  </sheetViews>
  <sheetFormatPr baseColWidth="10" defaultRowHeight="16"/>
  <cols>
    <col min="1" max="1" width="22.83203125" bestFit="1" customWidth="1"/>
    <col min="2" max="2" width="26" bestFit="1" customWidth="1"/>
    <col min="3" max="3" width="17.1640625" bestFit="1" customWidth="1"/>
    <col min="5" max="5" width="42.83203125" bestFit="1" customWidth="1"/>
    <col min="6" max="6" width="19.6640625" bestFit="1" customWidth="1"/>
    <col min="8" max="8" width="36.5" bestFit="1" customWidth="1"/>
    <col min="9" max="9" width="11.5" bestFit="1" customWidth="1"/>
  </cols>
  <sheetData>
    <row r="1" spans="1:6" ht="24">
      <c r="A1" s="1" t="s">
        <v>31</v>
      </c>
    </row>
    <row r="2" spans="1:6">
      <c r="A2" t="s">
        <v>81</v>
      </c>
      <c r="C2" s="3"/>
    </row>
    <row r="3" spans="1:6">
      <c r="C3" s="3"/>
    </row>
    <row r="4" spans="1:6" ht="19">
      <c r="A4" s="8" t="s">
        <v>6</v>
      </c>
      <c r="B4" s="4"/>
      <c r="C4" s="4"/>
      <c r="E4" s="27" t="s">
        <v>1</v>
      </c>
      <c r="F4" s="41"/>
    </row>
    <row r="5" spans="1:6">
      <c r="A5" s="84" t="s">
        <v>1</v>
      </c>
      <c r="B5" s="16" t="s">
        <v>7</v>
      </c>
      <c r="C5" s="78">
        <v>484279</v>
      </c>
      <c r="E5" s="57" t="s">
        <v>5</v>
      </c>
      <c r="F5" s="42"/>
    </row>
    <row r="6" spans="1:6">
      <c r="A6" s="18"/>
      <c r="B6" s="9" t="s">
        <v>10</v>
      </c>
      <c r="C6" s="88" t="s">
        <v>32</v>
      </c>
      <c r="E6" s="18" t="s">
        <v>47</v>
      </c>
      <c r="F6" s="58">
        <f>0.24*8.68</f>
        <v>2.0831999999999997</v>
      </c>
    </row>
    <row r="7" spans="1:6">
      <c r="A7" s="18"/>
      <c r="B7" s="9" t="s">
        <v>33</v>
      </c>
      <c r="C7" s="58">
        <f>0.24*8.68</f>
        <v>2.0831999999999997</v>
      </c>
      <c r="E7" s="20" t="s">
        <v>35</v>
      </c>
      <c r="F7" s="59">
        <f>F6/8</f>
        <v>0.26039999999999996</v>
      </c>
    </row>
    <row r="8" spans="1:6" ht="17" thickBot="1">
      <c r="A8" s="20"/>
      <c r="B8" s="4" t="s">
        <v>34</v>
      </c>
      <c r="C8" s="59">
        <f>900000*8.68</f>
        <v>7812000</v>
      </c>
      <c r="E8" s="21" t="s">
        <v>36</v>
      </c>
      <c r="F8" s="60">
        <f>F7*1.75</f>
        <v>0.45569999999999994</v>
      </c>
    </row>
    <row r="9" spans="1:6" ht="46" thickTop="1">
      <c r="E9" s="65" t="s">
        <v>48</v>
      </c>
      <c r="F9" s="44"/>
    </row>
    <row r="10" spans="1:6" ht="19">
      <c r="A10" s="27" t="s">
        <v>55</v>
      </c>
      <c r="B10" s="41"/>
    </row>
    <row r="11" spans="1:6">
      <c r="A11" s="18" t="s">
        <v>56</v>
      </c>
      <c r="B11" s="68">
        <v>119180</v>
      </c>
    </row>
    <row r="12" spans="1:6" ht="19">
      <c r="A12" s="18" t="s">
        <v>57</v>
      </c>
      <c r="B12" s="46">
        <v>0.45</v>
      </c>
      <c r="E12" s="27" t="s">
        <v>39</v>
      </c>
      <c r="F12" s="41"/>
    </row>
    <row r="13" spans="1:6">
      <c r="A13" s="18" t="s">
        <v>58</v>
      </c>
      <c r="B13" s="68">
        <f>B11*B12</f>
        <v>53631</v>
      </c>
      <c r="E13" s="78" t="s">
        <v>80</v>
      </c>
      <c r="F13" s="78">
        <v>900000</v>
      </c>
    </row>
    <row r="14" spans="1:6" ht="17" thickBot="1">
      <c r="A14" s="21" t="s">
        <v>59</v>
      </c>
      <c r="B14" s="69">
        <f>B11-B13</f>
        <v>65549</v>
      </c>
      <c r="E14" s="44" t="s">
        <v>86</v>
      </c>
      <c r="F14" s="59">
        <v>8.68</v>
      </c>
    </row>
    <row r="15" spans="1:6" ht="18" thickTop="1" thickBot="1">
      <c r="A15" s="70" t="s">
        <v>88</v>
      </c>
      <c r="E15" s="80" t="s">
        <v>82</v>
      </c>
      <c r="F15" s="67">
        <f>900000*8.68</f>
        <v>7812000</v>
      </c>
    </row>
    <row r="16" spans="1:6" ht="17" thickTop="1">
      <c r="E16" s="82" t="s">
        <v>85</v>
      </c>
      <c r="F16" s="81"/>
    </row>
    <row r="17" spans="1:7" ht="19">
      <c r="A17" s="27" t="s">
        <v>37</v>
      </c>
      <c r="B17" s="41"/>
      <c r="D17" s="42"/>
      <c r="E17" s="79" t="s">
        <v>84</v>
      </c>
      <c r="F17" s="42"/>
    </row>
    <row r="18" spans="1:7" ht="45">
      <c r="A18" s="54" t="s">
        <v>79</v>
      </c>
      <c r="B18" s="76">
        <f>'Current Situation'!F32</f>
        <v>120400000</v>
      </c>
      <c r="E18" s="66" t="s">
        <v>83</v>
      </c>
      <c r="F18" s="62"/>
    </row>
    <row r="19" spans="1:7">
      <c r="A19" s="20" t="s">
        <v>78</v>
      </c>
      <c r="B19" s="77">
        <v>0.3</v>
      </c>
    </row>
    <row r="20" spans="1:7" ht="19">
      <c r="A20" s="20" t="s">
        <v>89</v>
      </c>
      <c r="B20" s="59">
        <f>120400000*0.3</f>
        <v>36120000</v>
      </c>
      <c r="E20" s="27" t="s">
        <v>55</v>
      </c>
      <c r="F20" s="41"/>
    </row>
    <row r="21" spans="1:7" ht="17" thickBot="1">
      <c r="A21" s="21" t="s">
        <v>38</v>
      </c>
      <c r="B21" s="67">
        <f>120400000-B20</f>
        <v>84280000</v>
      </c>
      <c r="E21" s="18" t="s">
        <v>56</v>
      </c>
      <c r="F21" s="68">
        <v>119180</v>
      </c>
      <c r="G21" s="18"/>
    </row>
    <row r="22" spans="1:7" ht="17" thickTop="1">
      <c r="E22" s="18" t="s">
        <v>57</v>
      </c>
      <c r="F22" s="46">
        <v>0.45</v>
      </c>
    </row>
    <row r="23" spans="1:7">
      <c r="E23" s="18" t="s">
        <v>58</v>
      </c>
      <c r="F23" s="68">
        <f>F21*F22</f>
        <v>53631</v>
      </c>
    </row>
    <row r="24" spans="1:7" ht="17" thickBot="1">
      <c r="B24" s="3"/>
      <c r="E24" s="21" t="s">
        <v>59</v>
      </c>
      <c r="F24" s="69">
        <f>F21-F23</f>
        <v>65549</v>
      </c>
    </row>
    <row r="25" spans="1:7" ht="17" thickTop="1">
      <c r="E25" s="70" t="s">
        <v>88</v>
      </c>
    </row>
    <row r="28" spans="1:7">
      <c r="A28" s="53" t="s">
        <v>49</v>
      </c>
      <c r="B28" s="10"/>
    </row>
    <row r="30" spans="1:7">
      <c r="B30" s="10"/>
    </row>
    <row r="32" spans="1:7">
      <c r="C32" s="2"/>
    </row>
    <row r="33" spans="3:3">
      <c r="C33" s="2"/>
    </row>
    <row r="34" spans="3:3">
      <c r="C34" s="13"/>
    </row>
    <row r="35" spans="3:3">
      <c r="C35" s="1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Current Situation</vt:lpstr>
      <vt:lpstr>Future Situation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Bolstad, Johan</dc:creator>
  <cp:lastModifiedBy>Bolstad, Johan</cp:lastModifiedBy>
  <dcterms:created xsi:type="dcterms:W3CDTF">2019-06-20T13:53:50Z</dcterms:created>
  <dcterms:modified xsi:type="dcterms:W3CDTF">2019-07-01T01:15:09Z</dcterms:modified>
</cp:coreProperties>
</file>